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ate1904="1" codeName="ThisWorkbook" hidePivotFieldList="1"/>
  <mc:AlternateContent xmlns:mc="http://schemas.openxmlformats.org/markup-compatibility/2006">
    <mc:Choice Requires="x15">
      <x15ac:absPath xmlns:x15ac="http://schemas.microsoft.com/office/spreadsheetml/2010/11/ac" url="U:\Administration\Communication\03 - Internet pages.vd\16 - Typo3 PDF+CAPTURE\2023\16.03.2023\"/>
    </mc:Choice>
  </mc:AlternateContent>
  <xr:revisionPtr revIDLastSave="0" documentId="8_{E1001140-EE44-494B-87AE-FA48587A9D5C}" xr6:coauthVersionLast="47" xr6:coauthVersionMax="47" xr10:uidLastSave="{00000000-0000-0000-0000-000000000000}"/>
  <workbookProtection workbookAlgorithmName="SHA-512" workbookHashValue="JK9erJV3MnJRayy4w1iGqDugzPWgIn2eU617M176jpc1WYp+3wef0EROdd/6c5KjraoI9TWuIwk0Vwo1tvsyTw==" workbookSaltValue="lJM3rGbB9OIysKSnfz2ciQ==" workbookSpinCount="100000" lockStructure="1"/>
  <bookViews>
    <workbookView xWindow="29010" yWindow="75" windowWidth="28875" windowHeight="14790" tabRatio="923" firstSheet="2" activeTab="2" xr2:uid="{00000000-000D-0000-FFFF-FFFF00000000}"/>
  </bookViews>
  <sheets>
    <sheet name="Table des matières" sheetId="56" state="hidden" r:id="rId1"/>
    <sheet name="Paramètres" sheetId="40" state="hidden" r:id="rId2"/>
    <sheet name="Recherche" sheetId="48" r:id="rId3"/>
    <sheet name="Données" sheetId="42" state="hidden" r:id="rId4"/>
    <sheet name="VPI" sheetId="19" state="hidden" r:id="rId5"/>
    <sheet name="PCS" sheetId="9" state="hidden" r:id="rId6"/>
    <sheet name="Ecrêtage" sheetId="33" state="hidden" r:id="rId7"/>
    <sheet name="Péréquation directe" sheetId="34" state="hidden" r:id="rId8"/>
    <sheet name="Population" sheetId="36" state="hidden" r:id="rId9"/>
    <sheet name="Solidarité" sheetId="37" state="hidden" r:id="rId10"/>
    <sheet name="DT" sheetId="11" state="hidden" r:id="rId11"/>
    <sheet name="Effort" sheetId="12" state="hidden" r:id="rId12"/>
    <sheet name="Aide" sheetId="39" state="hidden" r:id="rId13"/>
    <sheet name="Taux" sheetId="13" state="hidden" r:id="rId14"/>
    <sheet name="Facture policière" sheetId="49" state="hidden" r:id="rId15"/>
    <sheet name="Synthèse" sheetId="25" state="hidden" r:id="rId16"/>
    <sheet name="Décompte vs acomptes" sheetId="54" state="hidden" r:id="rId17"/>
  </sheets>
  <definedNames>
    <definedName name="_xlnm._FilterDatabase" localSheetId="5" hidden="1">PCS!$A$10:$I$312</definedName>
    <definedName name="_xlnm._FilterDatabase" localSheetId="7" hidden="1">'Péréquation directe'!$A$10:$J$312</definedName>
    <definedName name="_xlnm._FilterDatabase" localSheetId="15" hidden="1">Synthèse!$A$4:$G$307</definedName>
    <definedName name="_xlnm.Database" localSheetId="16">#REF!</definedName>
    <definedName name="_xlnm.Database">#REF!</definedName>
    <definedName name="_xlnm.Print_Titles" localSheetId="10">DT!$4:$5</definedName>
    <definedName name="_xlnm.Print_Titles" localSheetId="11">Effort!$4:$5</definedName>
    <definedName name="_xlnm.Print_Titles" localSheetId="14">'Facture policière'!$4:$4</definedName>
    <definedName name="_xlnm.Print_Titles" localSheetId="5">PCS!$10:$11</definedName>
    <definedName name="_xlnm.Print_Titles" localSheetId="15">Synthèse!$4:$4</definedName>
    <definedName name="_xlnm.Print_Titles" localSheetId="13">Taux!$4:$5</definedName>
    <definedName name="ind">2</definedName>
    <definedName name="_xlnm.Print_Area" localSheetId="3">Données!#REF!</definedName>
    <definedName name="_xlnm.Print_Area" localSheetId="14">'Facture policière'!$A$1:$M$306</definedName>
    <definedName name="_xlnm.Print_Area" localSheetId="7">'Péréquation directe'!$303:$334</definedName>
    <definedName name="_xlnm.Print_Area" localSheetId="2">Recherche!$B$6:$F$72</definedName>
    <definedName name="_xlnm.Print_Area" localSheetId="15">Synthèse!$A$1:$J$305</definedName>
    <definedName name="_xlnm.Print_Area" localSheetId="13">Taux!$A$1:$P$307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42" l="1"/>
  <c r="T12" i="42"/>
  <c r="T19" i="42"/>
  <c r="T20" i="42"/>
  <c r="T27" i="42"/>
  <c r="T28" i="42"/>
  <c r="T35" i="42"/>
  <c r="T36" i="42"/>
  <c r="T43" i="42"/>
  <c r="T44" i="42"/>
  <c r="T51" i="42"/>
  <c r="T52" i="42"/>
  <c r="T59" i="42"/>
  <c r="T60" i="42"/>
  <c r="T67" i="42"/>
  <c r="T68" i="42"/>
  <c r="T75" i="42"/>
  <c r="T76" i="42"/>
  <c r="T83" i="42"/>
  <c r="T84" i="42"/>
  <c r="T91" i="42"/>
  <c r="T92" i="42"/>
  <c r="T99" i="42"/>
  <c r="T100" i="42"/>
  <c r="T107" i="42"/>
  <c r="T108" i="42"/>
  <c r="T115" i="42"/>
  <c r="T116" i="42"/>
  <c r="T123" i="42"/>
  <c r="T124" i="42"/>
  <c r="T131" i="42"/>
  <c r="T132" i="42"/>
  <c r="T139" i="42"/>
  <c r="T140" i="42"/>
  <c r="T147" i="42"/>
  <c r="T148" i="42"/>
  <c r="T155" i="42"/>
  <c r="T156" i="42"/>
  <c r="T163" i="42"/>
  <c r="T164" i="42"/>
  <c r="T171" i="42"/>
  <c r="T172" i="42"/>
  <c r="T179" i="42"/>
  <c r="T180" i="42"/>
  <c r="T187" i="42"/>
  <c r="T188" i="42"/>
  <c r="T195" i="42"/>
  <c r="T196" i="42"/>
  <c r="T203" i="42"/>
  <c r="T204" i="42"/>
  <c r="T211" i="42"/>
  <c r="T212" i="42"/>
  <c r="T219" i="42"/>
  <c r="T220" i="42"/>
  <c r="T227" i="42"/>
  <c r="T228" i="42"/>
  <c r="T235" i="42"/>
  <c r="T236" i="42"/>
  <c r="T243" i="42"/>
  <c r="T244" i="42"/>
  <c r="T251" i="42"/>
  <c r="T252" i="42"/>
  <c r="T259" i="42"/>
  <c r="T260" i="42"/>
  <c r="T267" i="42"/>
  <c r="T268" i="42"/>
  <c r="T275" i="42"/>
  <c r="T276" i="42"/>
  <c r="T283" i="42"/>
  <c r="T284" i="42"/>
  <c r="T291" i="42"/>
  <c r="T292" i="42"/>
  <c r="T299" i="42"/>
  <c r="T300" i="42"/>
  <c r="M7" i="42"/>
  <c r="T7" i="42" s="1"/>
  <c r="M8" i="42"/>
  <c r="T8" i="42" s="1"/>
  <c r="M9" i="42"/>
  <c r="T9" i="42" s="1"/>
  <c r="M10" i="42"/>
  <c r="T10" i="42" s="1"/>
  <c r="M11" i="42"/>
  <c r="M12" i="42"/>
  <c r="M13" i="42"/>
  <c r="T13" i="42" s="1"/>
  <c r="M14" i="42"/>
  <c r="T14" i="42" s="1"/>
  <c r="M15" i="42"/>
  <c r="T15" i="42" s="1"/>
  <c r="M16" i="42"/>
  <c r="T16" i="42" s="1"/>
  <c r="M17" i="42"/>
  <c r="T17" i="42" s="1"/>
  <c r="M18" i="42"/>
  <c r="T18" i="42" s="1"/>
  <c r="M19" i="42"/>
  <c r="M20" i="42"/>
  <c r="M21" i="42"/>
  <c r="T21" i="42" s="1"/>
  <c r="M22" i="42"/>
  <c r="T22" i="42" s="1"/>
  <c r="M23" i="42"/>
  <c r="T23" i="42" s="1"/>
  <c r="M24" i="42"/>
  <c r="T24" i="42" s="1"/>
  <c r="M25" i="42"/>
  <c r="T25" i="42" s="1"/>
  <c r="M26" i="42"/>
  <c r="T26" i="42" s="1"/>
  <c r="M27" i="42"/>
  <c r="M28" i="42"/>
  <c r="M29" i="42"/>
  <c r="T29" i="42" s="1"/>
  <c r="M30" i="42"/>
  <c r="T30" i="42" s="1"/>
  <c r="M31" i="42"/>
  <c r="T31" i="42" s="1"/>
  <c r="M32" i="42"/>
  <c r="T32" i="42" s="1"/>
  <c r="M33" i="42"/>
  <c r="T33" i="42" s="1"/>
  <c r="M34" i="42"/>
  <c r="T34" i="42" s="1"/>
  <c r="M35" i="42"/>
  <c r="M36" i="42"/>
  <c r="M37" i="42"/>
  <c r="T37" i="42" s="1"/>
  <c r="M38" i="42"/>
  <c r="T38" i="42" s="1"/>
  <c r="M39" i="42"/>
  <c r="T39" i="42" s="1"/>
  <c r="M40" i="42"/>
  <c r="T40" i="42" s="1"/>
  <c r="M41" i="42"/>
  <c r="T41" i="42" s="1"/>
  <c r="M42" i="42"/>
  <c r="T42" i="42" s="1"/>
  <c r="M43" i="42"/>
  <c r="M44" i="42"/>
  <c r="M45" i="42"/>
  <c r="T45" i="42" s="1"/>
  <c r="M46" i="42"/>
  <c r="T46" i="42" s="1"/>
  <c r="M47" i="42"/>
  <c r="T47" i="42" s="1"/>
  <c r="M48" i="42"/>
  <c r="T48" i="42" s="1"/>
  <c r="M49" i="42"/>
  <c r="T49" i="42" s="1"/>
  <c r="M50" i="42"/>
  <c r="T50" i="42" s="1"/>
  <c r="M51" i="42"/>
  <c r="M52" i="42"/>
  <c r="M53" i="42"/>
  <c r="T53" i="42" s="1"/>
  <c r="M54" i="42"/>
  <c r="T54" i="42" s="1"/>
  <c r="M55" i="42"/>
  <c r="T55" i="42" s="1"/>
  <c r="M56" i="42"/>
  <c r="T56" i="42" s="1"/>
  <c r="M57" i="42"/>
  <c r="T57" i="42" s="1"/>
  <c r="M58" i="42"/>
  <c r="T58" i="42" s="1"/>
  <c r="M59" i="42"/>
  <c r="M60" i="42"/>
  <c r="M61" i="42"/>
  <c r="T61" i="42" s="1"/>
  <c r="M62" i="42"/>
  <c r="T62" i="42" s="1"/>
  <c r="M63" i="42"/>
  <c r="T63" i="42" s="1"/>
  <c r="M64" i="42"/>
  <c r="T64" i="42" s="1"/>
  <c r="M65" i="42"/>
  <c r="T65" i="42" s="1"/>
  <c r="M66" i="42"/>
  <c r="T66" i="42" s="1"/>
  <c r="M67" i="42"/>
  <c r="M68" i="42"/>
  <c r="M69" i="42"/>
  <c r="T69" i="42" s="1"/>
  <c r="M70" i="42"/>
  <c r="T70" i="42" s="1"/>
  <c r="M71" i="42"/>
  <c r="T71" i="42" s="1"/>
  <c r="M72" i="42"/>
  <c r="T72" i="42" s="1"/>
  <c r="M73" i="42"/>
  <c r="T73" i="42" s="1"/>
  <c r="M74" i="42"/>
  <c r="T74" i="42" s="1"/>
  <c r="M75" i="42"/>
  <c r="M76" i="42"/>
  <c r="M77" i="42"/>
  <c r="T77" i="42" s="1"/>
  <c r="M78" i="42"/>
  <c r="T78" i="42" s="1"/>
  <c r="M79" i="42"/>
  <c r="T79" i="42" s="1"/>
  <c r="M80" i="42"/>
  <c r="T80" i="42" s="1"/>
  <c r="M81" i="42"/>
  <c r="T81" i="42" s="1"/>
  <c r="M82" i="42"/>
  <c r="T82" i="42" s="1"/>
  <c r="M83" i="42"/>
  <c r="M84" i="42"/>
  <c r="M85" i="42"/>
  <c r="T85" i="42" s="1"/>
  <c r="M86" i="42"/>
  <c r="T86" i="42" s="1"/>
  <c r="M87" i="42"/>
  <c r="T87" i="42" s="1"/>
  <c r="M88" i="42"/>
  <c r="T88" i="42" s="1"/>
  <c r="M89" i="42"/>
  <c r="T89" i="42" s="1"/>
  <c r="M90" i="42"/>
  <c r="T90" i="42" s="1"/>
  <c r="M91" i="42"/>
  <c r="M92" i="42"/>
  <c r="M93" i="42"/>
  <c r="T93" i="42" s="1"/>
  <c r="M94" i="42"/>
  <c r="T94" i="42" s="1"/>
  <c r="M95" i="42"/>
  <c r="T95" i="42" s="1"/>
  <c r="M96" i="42"/>
  <c r="T96" i="42" s="1"/>
  <c r="M97" i="42"/>
  <c r="T97" i="42" s="1"/>
  <c r="M98" i="42"/>
  <c r="T98" i="42" s="1"/>
  <c r="M99" i="42"/>
  <c r="M100" i="42"/>
  <c r="M101" i="42"/>
  <c r="T101" i="42" s="1"/>
  <c r="M102" i="42"/>
  <c r="T102" i="42" s="1"/>
  <c r="M103" i="42"/>
  <c r="T103" i="42" s="1"/>
  <c r="M104" i="42"/>
  <c r="T104" i="42" s="1"/>
  <c r="M105" i="42"/>
  <c r="T105" i="42" s="1"/>
  <c r="M106" i="42"/>
  <c r="T106" i="42" s="1"/>
  <c r="M107" i="42"/>
  <c r="M108" i="42"/>
  <c r="M109" i="42"/>
  <c r="T109" i="42" s="1"/>
  <c r="M110" i="42"/>
  <c r="T110" i="42" s="1"/>
  <c r="M111" i="42"/>
  <c r="T111" i="42" s="1"/>
  <c r="M112" i="42"/>
  <c r="T112" i="42" s="1"/>
  <c r="M113" i="42"/>
  <c r="T113" i="42" s="1"/>
  <c r="M114" i="42"/>
  <c r="T114" i="42" s="1"/>
  <c r="M115" i="42"/>
  <c r="M116" i="42"/>
  <c r="M117" i="42"/>
  <c r="T117" i="42" s="1"/>
  <c r="M118" i="42"/>
  <c r="T118" i="42" s="1"/>
  <c r="M119" i="42"/>
  <c r="T119" i="42" s="1"/>
  <c r="M120" i="42"/>
  <c r="T120" i="42" s="1"/>
  <c r="M121" i="42"/>
  <c r="T121" i="42" s="1"/>
  <c r="M122" i="42"/>
  <c r="T122" i="42" s="1"/>
  <c r="M123" i="42"/>
  <c r="M124" i="42"/>
  <c r="M125" i="42"/>
  <c r="T125" i="42" s="1"/>
  <c r="M126" i="42"/>
  <c r="T126" i="42" s="1"/>
  <c r="M127" i="42"/>
  <c r="T127" i="42" s="1"/>
  <c r="M128" i="42"/>
  <c r="T128" i="42" s="1"/>
  <c r="M129" i="42"/>
  <c r="T129" i="42" s="1"/>
  <c r="M130" i="42"/>
  <c r="T130" i="42" s="1"/>
  <c r="M131" i="42"/>
  <c r="M132" i="42"/>
  <c r="M133" i="42"/>
  <c r="T133" i="42" s="1"/>
  <c r="M134" i="42"/>
  <c r="T134" i="42" s="1"/>
  <c r="M135" i="42"/>
  <c r="T135" i="42" s="1"/>
  <c r="M136" i="42"/>
  <c r="T136" i="42" s="1"/>
  <c r="M137" i="42"/>
  <c r="T137" i="42" s="1"/>
  <c r="M138" i="42"/>
  <c r="T138" i="42" s="1"/>
  <c r="M139" i="42"/>
  <c r="M140" i="42"/>
  <c r="M141" i="42"/>
  <c r="T141" i="42" s="1"/>
  <c r="M142" i="42"/>
  <c r="T142" i="42" s="1"/>
  <c r="M143" i="42"/>
  <c r="T143" i="42" s="1"/>
  <c r="M144" i="42"/>
  <c r="T144" i="42" s="1"/>
  <c r="M145" i="42"/>
  <c r="T145" i="42" s="1"/>
  <c r="M146" i="42"/>
  <c r="T146" i="42" s="1"/>
  <c r="M147" i="42"/>
  <c r="M148" i="42"/>
  <c r="M149" i="42"/>
  <c r="T149" i="42" s="1"/>
  <c r="M150" i="42"/>
  <c r="T150" i="42" s="1"/>
  <c r="M151" i="42"/>
  <c r="T151" i="42" s="1"/>
  <c r="M152" i="42"/>
  <c r="T152" i="42" s="1"/>
  <c r="M153" i="42"/>
  <c r="T153" i="42" s="1"/>
  <c r="M154" i="42"/>
  <c r="T154" i="42" s="1"/>
  <c r="M155" i="42"/>
  <c r="M156" i="42"/>
  <c r="M157" i="42"/>
  <c r="T157" i="42" s="1"/>
  <c r="M158" i="42"/>
  <c r="T158" i="42" s="1"/>
  <c r="M159" i="42"/>
  <c r="T159" i="42" s="1"/>
  <c r="M160" i="42"/>
  <c r="T160" i="42" s="1"/>
  <c r="M161" i="42"/>
  <c r="T161" i="42" s="1"/>
  <c r="M162" i="42"/>
  <c r="T162" i="42" s="1"/>
  <c r="M163" i="42"/>
  <c r="M164" i="42"/>
  <c r="M165" i="42"/>
  <c r="T165" i="42" s="1"/>
  <c r="M166" i="42"/>
  <c r="T166" i="42" s="1"/>
  <c r="M167" i="42"/>
  <c r="T167" i="42" s="1"/>
  <c r="M168" i="42"/>
  <c r="T168" i="42" s="1"/>
  <c r="M169" i="42"/>
  <c r="T169" i="42" s="1"/>
  <c r="M170" i="42"/>
  <c r="T170" i="42" s="1"/>
  <c r="M171" i="42"/>
  <c r="M172" i="42"/>
  <c r="M173" i="42"/>
  <c r="T173" i="42" s="1"/>
  <c r="M174" i="42"/>
  <c r="T174" i="42" s="1"/>
  <c r="M175" i="42"/>
  <c r="T175" i="42" s="1"/>
  <c r="M176" i="42"/>
  <c r="T176" i="42" s="1"/>
  <c r="M177" i="42"/>
  <c r="T177" i="42" s="1"/>
  <c r="M178" i="42"/>
  <c r="T178" i="42" s="1"/>
  <c r="M179" i="42"/>
  <c r="M180" i="42"/>
  <c r="M181" i="42"/>
  <c r="T181" i="42" s="1"/>
  <c r="M182" i="42"/>
  <c r="T182" i="42" s="1"/>
  <c r="M183" i="42"/>
  <c r="T183" i="42" s="1"/>
  <c r="M184" i="42"/>
  <c r="T184" i="42" s="1"/>
  <c r="M185" i="42"/>
  <c r="T185" i="42" s="1"/>
  <c r="M186" i="42"/>
  <c r="T186" i="42" s="1"/>
  <c r="M187" i="42"/>
  <c r="M188" i="42"/>
  <c r="M189" i="42"/>
  <c r="T189" i="42" s="1"/>
  <c r="M190" i="42"/>
  <c r="T190" i="42" s="1"/>
  <c r="M191" i="42"/>
  <c r="T191" i="42" s="1"/>
  <c r="M192" i="42"/>
  <c r="T192" i="42" s="1"/>
  <c r="M193" i="42"/>
  <c r="T193" i="42" s="1"/>
  <c r="M194" i="42"/>
  <c r="T194" i="42" s="1"/>
  <c r="M195" i="42"/>
  <c r="M196" i="42"/>
  <c r="M197" i="42"/>
  <c r="T197" i="42" s="1"/>
  <c r="M198" i="42"/>
  <c r="T198" i="42" s="1"/>
  <c r="M199" i="42"/>
  <c r="T199" i="42" s="1"/>
  <c r="M200" i="42"/>
  <c r="T200" i="42" s="1"/>
  <c r="M201" i="42"/>
  <c r="T201" i="42" s="1"/>
  <c r="M202" i="42"/>
  <c r="T202" i="42" s="1"/>
  <c r="M203" i="42"/>
  <c r="M204" i="42"/>
  <c r="M205" i="42"/>
  <c r="T205" i="42" s="1"/>
  <c r="M206" i="42"/>
  <c r="T206" i="42" s="1"/>
  <c r="M207" i="42"/>
  <c r="T207" i="42" s="1"/>
  <c r="M208" i="42"/>
  <c r="T208" i="42" s="1"/>
  <c r="M209" i="42"/>
  <c r="T209" i="42" s="1"/>
  <c r="M210" i="42"/>
  <c r="T210" i="42" s="1"/>
  <c r="M211" i="42"/>
  <c r="M212" i="42"/>
  <c r="M213" i="42"/>
  <c r="T213" i="42" s="1"/>
  <c r="M214" i="42"/>
  <c r="T214" i="42" s="1"/>
  <c r="M215" i="42"/>
  <c r="T215" i="42" s="1"/>
  <c r="M216" i="42"/>
  <c r="T216" i="42" s="1"/>
  <c r="M217" i="42"/>
  <c r="T217" i="42" s="1"/>
  <c r="M218" i="42"/>
  <c r="T218" i="42" s="1"/>
  <c r="M219" i="42"/>
  <c r="M220" i="42"/>
  <c r="M221" i="42"/>
  <c r="T221" i="42" s="1"/>
  <c r="M222" i="42"/>
  <c r="T222" i="42" s="1"/>
  <c r="M223" i="42"/>
  <c r="T223" i="42" s="1"/>
  <c r="M224" i="42"/>
  <c r="T224" i="42" s="1"/>
  <c r="M225" i="42"/>
  <c r="T225" i="42" s="1"/>
  <c r="M226" i="42"/>
  <c r="T226" i="42" s="1"/>
  <c r="M227" i="42"/>
  <c r="M228" i="42"/>
  <c r="M229" i="42"/>
  <c r="T229" i="42" s="1"/>
  <c r="M230" i="42"/>
  <c r="T230" i="42" s="1"/>
  <c r="M231" i="42"/>
  <c r="T231" i="42" s="1"/>
  <c r="M232" i="42"/>
  <c r="T232" i="42" s="1"/>
  <c r="M233" i="42"/>
  <c r="T233" i="42" s="1"/>
  <c r="M234" i="42"/>
  <c r="T234" i="42" s="1"/>
  <c r="M235" i="42"/>
  <c r="M236" i="42"/>
  <c r="M237" i="42"/>
  <c r="T237" i="42" s="1"/>
  <c r="M238" i="42"/>
  <c r="T238" i="42" s="1"/>
  <c r="M239" i="42"/>
  <c r="T239" i="42" s="1"/>
  <c r="M240" i="42"/>
  <c r="T240" i="42" s="1"/>
  <c r="M241" i="42"/>
  <c r="T241" i="42" s="1"/>
  <c r="M242" i="42"/>
  <c r="T242" i="42" s="1"/>
  <c r="M243" i="42"/>
  <c r="M244" i="42"/>
  <c r="M245" i="42"/>
  <c r="T245" i="42" s="1"/>
  <c r="M246" i="42"/>
  <c r="T246" i="42" s="1"/>
  <c r="M247" i="42"/>
  <c r="T247" i="42" s="1"/>
  <c r="M248" i="42"/>
  <c r="T248" i="42" s="1"/>
  <c r="M249" i="42"/>
  <c r="T249" i="42" s="1"/>
  <c r="M250" i="42"/>
  <c r="T250" i="42" s="1"/>
  <c r="M251" i="42"/>
  <c r="M252" i="42"/>
  <c r="M253" i="42"/>
  <c r="T253" i="42" s="1"/>
  <c r="M254" i="42"/>
  <c r="T254" i="42" s="1"/>
  <c r="M255" i="42"/>
  <c r="T255" i="42" s="1"/>
  <c r="M256" i="42"/>
  <c r="T256" i="42" s="1"/>
  <c r="M257" i="42"/>
  <c r="T257" i="42" s="1"/>
  <c r="M258" i="42"/>
  <c r="T258" i="42" s="1"/>
  <c r="M259" i="42"/>
  <c r="M260" i="42"/>
  <c r="M261" i="42"/>
  <c r="T261" i="42" s="1"/>
  <c r="M262" i="42"/>
  <c r="T262" i="42" s="1"/>
  <c r="M263" i="42"/>
  <c r="T263" i="42" s="1"/>
  <c r="M264" i="42"/>
  <c r="T264" i="42" s="1"/>
  <c r="M265" i="42"/>
  <c r="T265" i="42" s="1"/>
  <c r="M266" i="42"/>
  <c r="T266" i="42" s="1"/>
  <c r="M267" i="42"/>
  <c r="M268" i="42"/>
  <c r="M269" i="42"/>
  <c r="T269" i="42" s="1"/>
  <c r="M270" i="42"/>
  <c r="T270" i="42" s="1"/>
  <c r="M271" i="42"/>
  <c r="T271" i="42" s="1"/>
  <c r="M272" i="42"/>
  <c r="T272" i="42" s="1"/>
  <c r="M273" i="42"/>
  <c r="T273" i="42" s="1"/>
  <c r="M274" i="42"/>
  <c r="T274" i="42" s="1"/>
  <c r="M275" i="42"/>
  <c r="M276" i="42"/>
  <c r="M277" i="42"/>
  <c r="T277" i="42" s="1"/>
  <c r="M278" i="42"/>
  <c r="T278" i="42" s="1"/>
  <c r="M279" i="42"/>
  <c r="T279" i="42" s="1"/>
  <c r="M280" i="42"/>
  <c r="T280" i="42" s="1"/>
  <c r="M281" i="42"/>
  <c r="T281" i="42" s="1"/>
  <c r="M282" i="42"/>
  <c r="T282" i="42" s="1"/>
  <c r="M283" i="42"/>
  <c r="M284" i="42"/>
  <c r="M285" i="42"/>
  <c r="T285" i="42" s="1"/>
  <c r="M286" i="42"/>
  <c r="T286" i="42" s="1"/>
  <c r="M287" i="42"/>
  <c r="T287" i="42" s="1"/>
  <c r="M288" i="42"/>
  <c r="T288" i="42" s="1"/>
  <c r="M289" i="42"/>
  <c r="T289" i="42" s="1"/>
  <c r="M290" i="42"/>
  <c r="T290" i="42" s="1"/>
  <c r="M291" i="42"/>
  <c r="M292" i="42"/>
  <c r="M293" i="42"/>
  <c r="T293" i="42" s="1"/>
  <c r="M294" i="42"/>
  <c r="T294" i="42" s="1"/>
  <c r="M295" i="42"/>
  <c r="T295" i="42" s="1"/>
  <c r="M296" i="42"/>
  <c r="T296" i="42" s="1"/>
  <c r="M297" i="42"/>
  <c r="T297" i="42" s="1"/>
  <c r="M298" i="42"/>
  <c r="T298" i="42" s="1"/>
  <c r="M299" i="42"/>
  <c r="M300" i="42"/>
  <c r="M301" i="42"/>
  <c r="T301" i="42" s="1"/>
  <c r="M302" i="42"/>
  <c r="T302" i="42" s="1"/>
  <c r="M303" i="42"/>
  <c r="T303" i="42" s="1"/>
  <c r="M304" i="42"/>
  <c r="T304" i="42" s="1"/>
  <c r="M305" i="42"/>
  <c r="T305" i="42" s="1"/>
  <c r="M6" i="42"/>
  <c r="T6" i="42" s="1"/>
  <c r="AP5" i="42" l="1"/>
  <c r="D5" i="13"/>
  <c r="F44" i="48"/>
  <c r="G5" i="13"/>
  <c r="AD282" i="42" l="1"/>
  <c r="B14" i="40"/>
  <c r="C14" i="40" s="1"/>
  <c r="A7" i="11"/>
  <c r="B7" i="11"/>
  <c r="E7" i="11"/>
  <c r="J7" i="11"/>
  <c r="A8" i="11"/>
  <c r="B8" i="11"/>
  <c r="E8" i="11"/>
  <c r="J8" i="11"/>
  <c r="A9" i="11"/>
  <c r="B9" i="11"/>
  <c r="E9" i="11"/>
  <c r="J9" i="11"/>
  <c r="A10" i="11"/>
  <c r="B10" i="11"/>
  <c r="E10" i="11"/>
  <c r="J10" i="11"/>
  <c r="A11" i="11"/>
  <c r="B11" i="11"/>
  <c r="E11" i="11"/>
  <c r="J11" i="11"/>
  <c r="A12" i="11"/>
  <c r="B12" i="11"/>
  <c r="E12" i="11"/>
  <c r="J12" i="11"/>
  <c r="A13" i="11"/>
  <c r="B13" i="11"/>
  <c r="E13" i="11"/>
  <c r="J13" i="11"/>
  <c r="A14" i="11"/>
  <c r="B14" i="11"/>
  <c r="E14" i="11"/>
  <c r="J14" i="11"/>
  <c r="A15" i="11"/>
  <c r="B15" i="11"/>
  <c r="E15" i="11"/>
  <c r="J15" i="11"/>
  <c r="A16" i="11"/>
  <c r="B16" i="11"/>
  <c r="E16" i="11"/>
  <c r="J16" i="11"/>
  <c r="A17" i="11"/>
  <c r="B17" i="11"/>
  <c r="E17" i="11"/>
  <c r="J17" i="11"/>
  <c r="A18" i="11"/>
  <c r="B18" i="11"/>
  <c r="E18" i="11"/>
  <c r="J18" i="11"/>
  <c r="A19" i="11"/>
  <c r="B19" i="11"/>
  <c r="E19" i="11"/>
  <c r="J19" i="11"/>
  <c r="A20" i="11"/>
  <c r="B20" i="11"/>
  <c r="E20" i="11"/>
  <c r="J20" i="11"/>
  <c r="A21" i="11"/>
  <c r="B21" i="11"/>
  <c r="E21" i="11"/>
  <c r="J21" i="11"/>
  <c r="A22" i="11"/>
  <c r="B22" i="11"/>
  <c r="E22" i="11"/>
  <c r="J22" i="11"/>
  <c r="A23" i="11"/>
  <c r="B23" i="11"/>
  <c r="E23" i="11"/>
  <c r="J23" i="11"/>
  <c r="A24" i="11"/>
  <c r="B24" i="11"/>
  <c r="E24" i="11"/>
  <c r="J24" i="11"/>
  <c r="A25" i="11"/>
  <c r="B25" i="11"/>
  <c r="E25" i="11"/>
  <c r="J25" i="11"/>
  <c r="A26" i="11"/>
  <c r="B26" i="11"/>
  <c r="E26" i="11"/>
  <c r="J26" i="11"/>
  <c r="A27" i="11"/>
  <c r="B27" i="11"/>
  <c r="E27" i="11"/>
  <c r="J27" i="11"/>
  <c r="A28" i="11"/>
  <c r="B28" i="11"/>
  <c r="E28" i="11"/>
  <c r="J28" i="11"/>
  <c r="A29" i="11"/>
  <c r="B29" i="11"/>
  <c r="J29" i="11"/>
  <c r="A30" i="11"/>
  <c r="B30" i="11"/>
  <c r="E30" i="11"/>
  <c r="J30" i="11"/>
  <c r="A31" i="11"/>
  <c r="B31" i="11"/>
  <c r="E31" i="11"/>
  <c r="J31" i="11"/>
  <c r="A32" i="11"/>
  <c r="B32" i="11"/>
  <c r="E32" i="11"/>
  <c r="J32" i="11"/>
  <c r="A33" i="11"/>
  <c r="B33" i="11"/>
  <c r="E33" i="11"/>
  <c r="J33" i="11"/>
  <c r="A34" i="11"/>
  <c r="B34" i="11"/>
  <c r="E34" i="11"/>
  <c r="J34" i="11"/>
  <c r="A35" i="11"/>
  <c r="B35" i="11"/>
  <c r="E35" i="11"/>
  <c r="J35" i="11"/>
  <c r="A36" i="11"/>
  <c r="B36" i="11"/>
  <c r="E36" i="11"/>
  <c r="J36" i="11"/>
  <c r="A37" i="11"/>
  <c r="B37" i="11"/>
  <c r="E37" i="11"/>
  <c r="J37" i="11"/>
  <c r="A38" i="11"/>
  <c r="B38" i="11"/>
  <c r="E38" i="11"/>
  <c r="J38" i="11"/>
  <c r="A39" i="11"/>
  <c r="B39" i="11"/>
  <c r="E39" i="11"/>
  <c r="J39" i="11"/>
  <c r="A40" i="11"/>
  <c r="B40" i="11"/>
  <c r="E40" i="11"/>
  <c r="J40" i="11"/>
  <c r="A41" i="11"/>
  <c r="B41" i="11"/>
  <c r="E41" i="11"/>
  <c r="J41" i="11"/>
  <c r="A42" i="11"/>
  <c r="B42" i="11"/>
  <c r="E42" i="11"/>
  <c r="J42" i="11"/>
  <c r="A43" i="11"/>
  <c r="B43" i="11"/>
  <c r="E43" i="11"/>
  <c r="J43" i="11"/>
  <c r="A44" i="11"/>
  <c r="B44" i="11"/>
  <c r="E44" i="11"/>
  <c r="J44" i="11"/>
  <c r="A45" i="11"/>
  <c r="B45" i="11"/>
  <c r="E45" i="11"/>
  <c r="J45" i="11"/>
  <c r="A46" i="11"/>
  <c r="B46" i="11"/>
  <c r="E46" i="11"/>
  <c r="J46" i="11"/>
  <c r="A47" i="11"/>
  <c r="B47" i="11"/>
  <c r="E47" i="11"/>
  <c r="J47" i="11"/>
  <c r="A48" i="11"/>
  <c r="B48" i="11"/>
  <c r="E48" i="11"/>
  <c r="J48" i="11"/>
  <c r="A49" i="11"/>
  <c r="B49" i="11"/>
  <c r="E49" i="11"/>
  <c r="J49" i="11"/>
  <c r="A50" i="11"/>
  <c r="B50" i="11"/>
  <c r="E50" i="11"/>
  <c r="J50" i="11"/>
  <c r="A51" i="11"/>
  <c r="B51" i="11"/>
  <c r="E51" i="11"/>
  <c r="J51" i="11"/>
  <c r="A52" i="11"/>
  <c r="B52" i="11"/>
  <c r="E52" i="11"/>
  <c r="J52" i="11"/>
  <c r="A53" i="11"/>
  <c r="B53" i="11"/>
  <c r="E53" i="11"/>
  <c r="J53" i="11"/>
  <c r="A54" i="11"/>
  <c r="B54" i="11"/>
  <c r="E54" i="11"/>
  <c r="J54" i="11"/>
  <c r="A55" i="11"/>
  <c r="B55" i="11"/>
  <c r="E55" i="11"/>
  <c r="J55" i="11"/>
  <c r="A56" i="11"/>
  <c r="B56" i="11"/>
  <c r="E56" i="11"/>
  <c r="J56" i="11"/>
  <c r="A57" i="11"/>
  <c r="B57" i="11"/>
  <c r="E57" i="11"/>
  <c r="J57" i="11"/>
  <c r="A58" i="11"/>
  <c r="B58" i="11"/>
  <c r="E58" i="11"/>
  <c r="J58" i="11"/>
  <c r="A59" i="11"/>
  <c r="B59" i="11"/>
  <c r="E59" i="11"/>
  <c r="J59" i="11"/>
  <c r="A60" i="11"/>
  <c r="B60" i="11"/>
  <c r="E60" i="11"/>
  <c r="J60" i="11"/>
  <c r="A61" i="11"/>
  <c r="B61" i="11"/>
  <c r="E61" i="11"/>
  <c r="J61" i="11"/>
  <c r="A62" i="11"/>
  <c r="B62" i="11"/>
  <c r="E62" i="11"/>
  <c r="J62" i="11"/>
  <c r="A63" i="11"/>
  <c r="B63" i="11"/>
  <c r="E63" i="11"/>
  <c r="J63" i="11"/>
  <c r="A64" i="11"/>
  <c r="B64" i="11"/>
  <c r="E64" i="11"/>
  <c r="J64" i="11"/>
  <c r="A65" i="11"/>
  <c r="B65" i="11"/>
  <c r="E65" i="11"/>
  <c r="J65" i="11"/>
  <c r="A66" i="11"/>
  <c r="B66" i="11"/>
  <c r="E66" i="11"/>
  <c r="J66" i="11"/>
  <c r="A67" i="11"/>
  <c r="B67" i="11"/>
  <c r="E67" i="11"/>
  <c r="J67" i="11"/>
  <c r="A68" i="11"/>
  <c r="B68" i="11"/>
  <c r="E68" i="11"/>
  <c r="J68" i="11"/>
  <c r="A69" i="11"/>
  <c r="B69" i="11"/>
  <c r="E69" i="11"/>
  <c r="J69" i="11"/>
  <c r="A70" i="11"/>
  <c r="B70" i="11"/>
  <c r="E70" i="11"/>
  <c r="J70" i="11"/>
  <c r="A71" i="11"/>
  <c r="B71" i="11"/>
  <c r="E71" i="11"/>
  <c r="J71" i="11"/>
  <c r="A72" i="11"/>
  <c r="B72" i="11"/>
  <c r="E72" i="11"/>
  <c r="J72" i="11"/>
  <c r="A73" i="11"/>
  <c r="B73" i="11"/>
  <c r="E73" i="11"/>
  <c r="J73" i="11"/>
  <c r="A74" i="11"/>
  <c r="B74" i="11"/>
  <c r="E74" i="11"/>
  <c r="J74" i="11"/>
  <c r="A75" i="11"/>
  <c r="B75" i="11"/>
  <c r="E75" i="11"/>
  <c r="J75" i="11"/>
  <c r="A76" i="11"/>
  <c r="B76" i="11"/>
  <c r="E76" i="11"/>
  <c r="J76" i="11"/>
  <c r="A77" i="11"/>
  <c r="B77" i="11"/>
  <c r="E77" i="11"/>
  <c r="J77" i="11"/>
  <c r="A78" i="11"/>
  <c r="B78" i="11"/>
  <c r="E78" i="11"/>
  <c r="J78" i="11"/>
  <c r="A79" i="11"/>
  <c r="B79" i="11"/>
  <c r="E79" i="11"/>
  <c r="J79" i="11"/>
  <c r="A80" i="11"/>
  <c r="B80" i="11"/>
  <c r="E80" i="11"/>
  <c r="J80" i="11"/>
  <c r="A81" i="11"/>
  <c r="B81" i="11"/>
  <c r="E81" i="11"/>
  <c r="J81" i="11"/>
  <c r="A82" i="11"/>
  <c r="B82" i="11"/>
  <c r="E82" i="11"/>
  <c r="J82" i="11"/>
  <c r="A83" i="11"/>
  <c r="B83" i="11"/>
  <c r="E83" i="11"/>
  <c r="J83" i="11"/>
  <c r="A84" i="11"/>
  <c r="B84" i="11"/>
  <c r="E84" i="11"/>
  <c r="J84" i="11"/>
  <c r="A85" i="11"/>
  <c r="B85" i="11"/>
  <c r="E85" i="11"/>
  <c r="J85" i="11"/>
  <c r="A86" i="11"/>
  <c r="B86" i="11"/>
  <c r="E86" i="11"/>
  <c r="J86" i="11"/>
  <c r="A87" i="11"/>
  <c r="B87" i="11"/>
  <c r="E87" i="11"/>
  <c r="J87" i="11"/>
  <c r="A88" i="11"/>
  <c r="B88" i="11"/>
  <c r="E88" i="11"/>
  <c r="J88" i="11"/>
  <c r="A89" i="11"/>
  <c r="B89" i="11"/>
  <c r="E89" i="11"/>
  <c r="J89" i="11"/>
  <c r="A90" i="11"/>
  <c r="B90" i="11"/>
  <c r="E90" i="11"/>
  <c r="J90" i="11"/>
  <c r="A91" i="11"/>
  <c r="B91" i="11"/>
  <c r="E91" i="11"/>
  <c r="J91" i="11"/>
  <c r="A92" i="11"/>
  <c r="B92" i="11"/>
  <c r="E92" i="11"/>
  <c r="J92" i="11"/>
  <c r="A93" i="11"/>
  <c r="B93" i="11"/>
  <c r="E93" i="11"/>
  <c r="J93" i="11"/>
  <c r="A94" i="11"/>
  <c r="B94" i="11"/>
  <c r="E94" i="11"/>
  <c r="J94" i="11"/>
  <c r="A95" i="11"/>
  <c r="B95" i="11"/>
  <c r="E95" i="11"/>
  <c r="J95" i="11"/>
  <c r="A96" i="11"/>
  <c r="B96" i="11"/>
  <c r="E96" i="11"/>
  <c r="J96" i="11"/>
  <c r="A97" i="11"/>
  <c r="B97" i="11"/>
  <c r="E97" i="11"/>
  <c r="J97" i="11"/>
  <c r="A98" i="11"/>
  <c r="B98" i="11"/>
  <c r="E98" i="11"/>
  <c r="J98" i="11"/>
  <c r="A99" i="11"/>
  <c r="B99" i="11"/>
  <c r="E99" i="11"/>
  <c r="J99" i="11"/>
  <c r="A100" i="11"/>
  <c r="B100" i="11"/>
  <c r="E100" i="11"/>
  <c r="J100" i="11"/>
  <c r="A101" i="11"/>
  <c r="B101" i="11"/>
  <c r="E101" i="11"/>
  <c r="J101" i="11"/>
  <c r="A102" i="11"/>
  <c r="B102" i="11"/>
  <c r="E102" i="11"/>
  <c r="J102" i="11"/>
  <c r="A103" i="11"/>
  <c r="B103" i="11"/>
  <c r="E103" i="11"/>
  <c r="J103" i="11"/>
  <c r="A104" i="11"/>
  <c r="B104" i="11"/>
  <c r="E104" i="11"/>
  <c r="J104" i="11"/>
  <c r="A105" i="11"/>
  <c r="B105" i="11"/>
  <c r="E105" i="11"/>
  <c r="J105" i="11"/>
  <c r="A106" i="11"/>
  <c r="B106" i="11"/>
  <c r="E106" i="11"/>
  <c r="J106" i="11"/>
  <c r="A107" i="11"/>
  <c r="B107" i="11"/>
  <c r="E107" i="11"/>
  <c r="J107" i="11"/>
  <c r="A108" i="11"/>
  <c r="B108" i="11"/>
  <c r="E108" i="11"/>
  <c r="J108" i="11"/>
  <c r="A109" i="11"/>
  <c r="B109" i="11"/>
  <c r="E109" i="11"/>
  <c r="J109" i="11"/>
  <c r="A110" i="11"/>
  <c r="B110" i="11"/>
  <c r="E110" i="11"/>
  <c r="J110" i="11"/>
  <c r="A111" i="11"/>
  <c r="B111" i="11"/>
  <c r="E111" i="11"/>
  <c r="J111" i="11"/>
  <c r="A112" i="11"/>
  <c r="B112" i="11"/>
  <c r="E112" i="11"/>
  <c r="J112" i="11"/>
  <c r="A113" i="11"/>
  <c r="B113" i="11"/>
  <c r="E113" i="11"/>
  <c r="J113" i="11"/>
  <c r="A114" i="11"/>
  <c r="B114" i="11"/>
  <c r="E114" i="11"/>
  <c r="J114" i="11"/>
  <c r="A115" i="11"/>
  <c r="B115" i="11"/>
  <c r="E115" i="11"/>
  <c r="J115" i="11"/>
  <c r="A116" i="11"/>
  <c r="B116" i="11"/>
  <c r="E116" i="11"/>
  <c r="J116" i="11"/>
  <c r="A117" i="11"/>
  <c r="B117" i="11"/>
  <c r="E117" i="11"/>
  <c r="J117" i="11"/>
  <c r="A118" i="11"/>
  <c r="B118" i="11"/>
  <c r="E118" i="11"/>
  <c r="J118" i="11"/>
  <c r="A119" i="11"/>
  <c r="B119" i="11"/>
  <c r="E119" i="11"/>
  <c r="J119" i="11"/>
  <c r="A120" i="11"/>
  <c r="B120" i="11"/>
  <c r="E120" i="11"/>
  <c r="J120" i="11"/>
  <c r="A121" i="11"/>
  <c r="B121" i="11"/>
  <c r="E121" i="11"/>
  <c r="J121" i="11"/>
  <c r="A122" i="11"/>
  <c r="B122" i="11"/>
  <c r="E122" i="11"/>
  <c r="J122" i="11"/>
  <c r="A123" i="11"/>
  <c r="B123" i="11"/>
  <c r="E123" i="11"/>
  <c r="J123" i="11"/>
  <c r="A124" i="11"/>
  <c r="B124" i="11"/>
  <c r="E124" i="11"/>
  <c r="J124" i="11"/>
  <c r="A125" i="11"/>
  <c r="B125" i="11"/>
  <c r="E125" i="11"/>
  <c r="J125" i="11"/>
  <c r="A126" i="11"/>
  <c r="B126" i="11"/>
  <c r="E126" i="11"/>
  <c r="J126" i="11"/>
  <c r="A127" i="11"/>
  <c r="B127" i="11"/>
  <c r="E127" i="11"/>
  <c r="J127" i="11"/>
  <c r="A128" i="11"/>
  <c r="B128" i="11"/>
  <c r="E128" i="11"/>
  <c r="J128" i="11"/>
  <c r="A129" i="11"/>
  <c r="B129" i="11"/>
  <c r="E129" i="11"/>
  <c r="J129" i="11"/>
  <c r="A130" i="11"/>
  <c r="B130" i="11"/>
  <c r="E130" i="11"/>
  <c r="J130" i="11"/>
  <c r="A131" i="11"/>
  <c r="B131" i="11"/>
  <c r="E131" i="11"/>
  <c r="J131" i="11"/>
  <c r="A132" i="11"/>
  <c r="B132" i="11"/>
  <c r="E132" i="11"/>
  <c r="J132" i="11"/>
  <c r="A133" i="11"/>
  <c r="B133" i="11"/>
  <c r="E133" i="11"/>
  <c r="J133" i="11"/>
  <c r="A134" i="11"/>
  <c r="B134" i="11"/>
  <c r="E134" i="11"/>
  <c r="J134" i="11"/>
  <c r="A135" i="11"/>
  <c r="B135" i="11"/>
  <c r="E135" i="11"/>
  <c r="J135" i="11"/>
  <c r="A136" i="11"/>
  <c r="B136" i="11"/>
  <c r="E136" i="11"/>
  <c r="J136" i="11"/>
  <c r="A137" i="11"/>
  <c r="B137" i="11"/>
  <c r="E137" i="11"/>
  <c r="J137" i="11"/>
  <c r="A138" i="11"/>
  <c r="B138" i="11"/>
  <c r="E138" i="11"/>
  <c r="J138" i="11"/>
  <c r="A139" i="11"/>
  <c r="B139" i="11"/>
  <c r="E139" i="11"/>
  <c r="J139" i="11"/>
  <c r="A140" i="11"/>
  <c r="B140" i="11"/>
  <c r="E140" i="11"/>
  <c r="J140" i="11"/>
  <c r="A141" i="11"/>
  <c r="B141" i="11"/>
  <c r="E141" i="11"/>
  <c r="J141" i="11"/>
  <c r="A142" i="11"/>
  <c r="B142" i="11"/>
  <c r="E142" i="11"/>
  <c r="J142" i="11"/>
  <c r="A143" i="11"/>
  <c r="B143" i="11"/>
  <c r="E143" i="11"/>
  <c r="J143" i="11"/>
  <c r="A144" i="11"/>
  <c r="B144" i="11"/>
  <c r="E144" i="11"/>
  <c r="J144" i="11"/>
  <c r="A145" i="11"/>
  <c r="B145" i="11"/>
  <c r="E145" i="11"/>
  <c r="J145" i="11"/>
  <c r="A146" i="11"/>
  <c r="B146" i="11"/>
  <c r="E146" i="11"/>
  <c r="J146" i="11"/>
  <c r="A147" i="11"/>
  <c r="B147" i="11"/>
  <c r="E147" i="11"/>
  <c r="J147" i="11"/>
  <c r="A148" i="11"/>
  <c r="B148" i="11"/>
  <c r="E148" i="11"/>
  <c r="J148" i="11"/>
  <c r="A149" i="11"/>
  <c r="B149" i="11"/>
  <c r="E149" i="11"/>
  <c r="J149" i="11"/>
  <c r="A150" i="11"/>
  <c r="B150" i="11"/>
  <c r="E150" i="11"/>
  <c r="J150" i="11"/>
  <c r="A151" i="11"/>
  <c r="B151" i="11"/>
  <c r="E151" i="11"/>
  <c r="J151" i="11"/>
  <c r="A152" i="11"/>
  <c r="B152" i="11"/>
  <c r="E152" i="11"/>
  <c r="J152" i="11"/>
  <c r="A153" i="11"/>
  <c r="B153" i="11"/>
  <c r="E153" i="11"/>
  <c r="J153" i="11"/>
  <c r="A154" i="11"/>
  <c r="B154" i="11"/>
  <c r="E154" i="11"/>
  <c r="J154" i="11"/>
  <c r="A155" i="11"/>
  <c r="B155" i="11"/>
  <c r="E155" i="11"/>
  <c r="J155" i="11"/>
  <c r="A156" i="11"/>
  <c r="B156" i="11"/>
  <c r="E156" i="11"/>
  <c r="J156" i="11"/>
  <c r="A157" i="11"/>
  <c r="B157" i="11"/>
  <c r="E157" i="11"/>
  <c r="J157" i="11"/>
  <c r="A158" i="11"/>
  <c r="B158" i="11"/>
  <c r="E158" i="11"/>
  <c r="J158" i="11"/>
  <c r="A159" i="11"/>
  <c r="B159" i="11"/>
  <c r="E159" i="11"/>
  <c r="J159" i="11"/>
  <c r="A160" i="11"/>
  <c r="B160" i="11"/>
  <c r="E160" i="11"/>
  <c r="J160" i="11"/>
  <c r="A161" i="11"/>
  <c r="B161" i="11"/>
  <c r="E161" i="11"/>
  <c r="J161" i="11"/>
  <c r="A162" i="11"/>
  <c r="B162" i="11"/>
  <c r="E162" i="11"/>
  <c r="J162" i="11"/>
  <c r="A163" i="11"/>
  <c r="B163" i="11"/>
  <c r="E163" i="11"/>
  <c r="J163" i="11"/>
  <c r="A164" i="11"/>
  <c r="B164" i="11"/>
  <c r="E164" i="11"/>
  <c r="J164" i="11"/>
  <c r="A165" i="11"/>
  <c r="B165" i="11"/>
  <c r="E165" i="11"/>
  <c r="J165" i="11"/>
  <c r="A166" i="11"/>
  <c r="B166" i="11"/>
  <c r="E166" i="11"/>
  <c r="J166" i="11"/>
  <c r="A167" i="11"/>
  <c r="B167" i="11"/>
  <c r="E167" i="11"/>
  <c r="J167" i="11"/>
  <c r="A168" i="11"/>
  <c r="B168" i="11"/>
  <c r="E168" i="11"/>
  <c r="J168" i="11"/>
  <c r="A169" i="11"/>
  <c r="B169" i="11"/>
  <c r="E169" i="11"/>
  <c r="J169" i="11"/>
  <c r="A170" i="11"/>
  <c r="B170" i="11"/>
  <c r="E170" i="11"/>
  <c r="J170" i="11"/>
  <c r="A171" i="11"/>
  <c r="B171" i="11"/>
  <c r="E171" i="11"/>
  <c r="J171" i="11"/>
  <c r="A172" i="11"/>
  <c r="B172" i="11"/>
  <c r="E172" i="11"/>
  <c r="J172" i="11"/>
  <c r="A173" i="11"/>
  <c r="B173" i="11"/>
  <c r="E173" i="11"/>
  <c r="J173" i="11"/>
  <c r="A174" i="11"/>
  <c r="B174" i="11"/>
  <c r="E174" i="11"/>
  <c r="J174" i="11"/>
  <c r="A175" i="11"/>
  <c r="B175" i="11"/>
  <c r="E175" i="11"/>
  <c r="J175" i="11"/>
  <c r="A176" i="11"/>
  <c r="B176" i="11"/>
  <c r="E176" i="11"/>
  <c r="J176" i="11"/>
  <c r="A177" i="11"/>
  <c r="B177" i="11"/>
  <c r="E177" i="11"/>
  <c r="J177" i="11"/>
  <c r="A178" i="11"/>
  <c r="B178" i="11"/>
  <c r="E178" i="11"/>
  <c r="J178" i="11"/>
  <c r="A179" i="11"/>
  <c r="B179" i="11"/>
  <c r="E179" i="11"/>
  <c r="J179" i="11"/>
  <c r="A180" i="11"/>
  <c r="B180" i="11"/>
  <c r="E180" i="11"/>
  <c r="J180" i="11"/>
  <c r="A181" i="11"/>
  <c r="B181" i="11"/>
  <c r="E181" i="11"/>
  <c r="J181" i="11"/>
  <c r="A182" i="11"/>
  <c r="B182" i="11"/>
  <c r="E182" i="11"/>
  <c r="J182" i="11"/>
  <c r="A183" i="11"/>
  <c r="B183" i="11"/>
  <c r="E183" i="11"/>
  <c r="J183" i="11"/>
  <c r="A184" i="11"/>
  <c r="B184" i="11"/>
  <c r="E184" i="11"/>
  <c r="J184" i="11"/>
  <c r="A185" i="11"/>
  <c r="B185" i="11"/>
  <c r="E185" i="11"/>
  <c r="J185" i="11"/>
  <c r="A186" i="11"/>
  <c r="B186" i="11"/>
  <c r="E186" i="11"/>
  <c r="J186" i="11"/>
  <c r="A187" i="11"/>
  <c r="B187" i="11"/>
  <c r="E187" i="11"/>
  <c r="J187" i="11"/>
  <c r="A188" i="11"/>
  <c r="B188" i="11"/>
  <c r="E188" i="11"/>
  <c r="J188" i="11"/>
  <c r="A189" i="11"/>
  <c r="B189" i="11"/>
  <c r="E189" i="11"/>
  <c r="J189" i="11"/>
  <c r="A190" i="11"/>
  <c r="B190" i="11"/>
  <c r="E190" i="11"/>
  <c r="J190" i="11"/>
  <c r="A191" i="11"/>
  <c r="B191" i="11"/>
  <c r="E191" i="11"/>
  <c r="J191" i="11"/>
  <c r="A192" i="11"/>
  <c r="B192" i="11"/>
  <c r="E192" i="11"/>
  <c r="J192" i="11"/>
  <c r="A193" i="11"/>
  <c r="B193" i="11"/>
  <c r="E193" i="11"/>
  <c r="J193" i="11"/>
  <c r="A194" i="11"/>
  <c r="B194" i="11"/>
  <c r="E194" i="11"/>
  <c r="J194" i="11"/>
  <c r="A195" i="11"/>
  <c r="B195" i="11"/>
  <c r="E195" i="11"/>
  <c r="J195" i="11"/>
  <c r="A196" i="11"/>
  <c r="B196" i="11"/>
  <c r="E196" i="11"/>
  <c r="J196" i="11"/>
  <c r="A197" i="11"/>
  <c r="B197" i="11"/>
  <c r="E197" i="11"/>
  <c r="J197" i="11"/>
  <c r="A198" i="11"/>
  <c r="B198" i="11"/>
  <c r="E198" i="11"/>
  <c r="J198" i="11"/>
  <c r="A199" i="11"/>
  <c r="B199" i="11"/>
  <c r="E199" i="11"/>
  <c r="J199" i="11"/>
  <c r="A200" i="11"/>
  <c r="B200" i="11"/>
  <c r="E200" i="11"/>
  <c r="J200" i="11"/>
  <c r="A201" i="11"/>
  <c r="B201" i="11"/>
  <c r="E201" i="11"/>
  <c r="J201" i="11"/>
  <c r="A202" i="11"/>
  <c r="B202" i="11"/>
  <c r="E202" i="11"/>
  <c r="J202" i="11"/>
  <c r="A203" i="11"/>
  <c r="B203" i="11"/>
  <c r="E203" i="11"/>
  <c r="J203" i="11"/>
  <c r="A204" i="11"/>
  <c r="B204" i="11"/>
  <c r="E204" i="11"/>
  <c r="J204" i="11"/>
  <c r="A205" i="11"/>
  <c r="B205" i="11"/>
  <c r="E205" i="11"/>
  <c r="J205" i="11"/>
  <c r="A206" i="11"/>
  <c r="B206" i="11"/>
  <c r="E206" i="11"/>
  <c r="J206" i="11"/>
  <c r="A207" i="11"/>
  <c r="B207" i="11"/>
  <c r="E207" i="11"/>
  <c r="J207" i="11"/>
  <c r="A208" i="11"/>
  <c r="B208" i="11"/>
  <c r="E208" i="11"/>
  <c r="J208" i="11"/>
  <c r="A209" i="11"/>
  <c r="B209" i="11"/>
  <c r="E209" i="11"/>
  <c r="J209" i="11"/>
  <c r="A210" i="11"/>
  <c r="B210" i="11"/>
  <c r="E210" i="11"/>
  <c r="J210" i="11"/>
  <c r="A211" i="11"/>
  <c r="B211" i="11"/>
  <c r="E211" i="11"/>
  <c r="J211" i="11"/>
  <c r="A212" i="11"/>
  <c r="B212" i="11"/>
  <c r="E212" i="11"/>
  <c r="J212" i="11"/>
  <c r="A213" i="11"/>
  <c r="B213" i="11"/>
  <c r="E213" i="11"/>
  <c r="J213" i="11"/>
  <c r="A214" i="11"/>
  <c r="B214" i="11"/>
  <c r="E214" i="11"/>
  <c r="J214" i="11"/>
  <c r="A215" i="11"/>
  <c r="B215" i="11"/>
  <c r="E215" i="11"/>
  <c r="J215" i="11"/>
  <c r="A216" i="11"/>
  <c r="B216" i="11"/>
  <c r="E216" i="11"/>
  <c r="J216" i="11"/>
  <c r="A217" i="11"/>
  <c r="B217" i="11"/>
  <c r="E217" i="11"/>
  <c r="J217" i="11"/>
  <c r="A218" i="11"/>
  <c r="B218" i="11"/>
  <c r="E218" i="11"/>
  <c r="J218" i="11"/>
  <c r="A219" i="11"/>
  <c r="B219" i="11"/>
  <c r="E219" i="11"/>
  <c r="J219" i="11"/>
  <c r="A220" i="11"/>
  <c r="B220" i="11"/>
  <c r="E220" i="11"/>
  <c r="J220" i="11"/>
  <c r="A221" i="11"/>
  <c r="B221" i="11"/>
  <c r="E221" i="11"/>
  <c r="J221" i="11"/>
  <c r="A222" i="11"/>
  <c r="B222" i="11"/>
  <c r="E222" i="11"/>
  <c r="J222" i="11"/>
  <c r="A223" i="11"/>
  <c r="B223" i="11"/>
  <c r="E223" i="11"/>
  <c r="J223" i="11"/>
  <c r="A224" i="11"/>
  <c r="B224" i="11"/>
  <c r="E224" i="11"/>
  <c r="J224" i="11"/>
  <c r="A225" i="11"/>
  <c r="B225" i="11"/>
  <c r="E225" i="11"/>
  <c r="J225" i="11"/>
  <c r="A226" i="11"/>
  <c r="B226" i="11"/>
  <c r="E226" i="11"/>
  <c r="J226" i="11"/>
  <c r="A227" i="11"/>
  <c r="B227" i="11"/>
  <c r="E227" i="11"/>
  <c r="J227" i="11"/>
  <c r="A228" i="11"/>
  <c r="B228" i="11"/>
  <c r="E228" i="11"/>
  <c r="J228" i="11"/>
  <c r="A229" i="11"/>
  <c r="B229" i="11"/>
  <c r="E229" i="11"/>
  <c r="J229" i="11"/>
  <c r="A230" i="11"/>
  <c r="B230" i="11"/>
  <c r="E230" i="11"/>
  <c r="J230" i="11"/>
  <c r="A231" i="11"/>
  <c r="B231" i="11"/>
  <c r="E231" i="11"/>
  <c r="J231" i="11"/>
  <c r="A232" i="11"/>
  <c r="B232" i="11"/>
  <c r="E232" i="11"/>
  <c r="J232" i="11"/>
  <c r="A233" i="11"/>
  <c r="B233" i="11"/>
  <c r="E233" i="11"/>
  <c r="J233" i="11"/>
  <c r="A234" i="11"/>
  <c r="B234" i="11"/>
  <c r="E234" i="11"/>
  <c r="J234" i="11"/>
  <c r="A235" i="11"/>
  <c r="B235" i="11"/>
  <c r="E235" i="11"/>
  <c r="J235" i="11"/>
  <c r="A236" i="11"/>
  <c r="B236" i="11"/>
  <c r="E236" i="11"/>
  <c r="J236" i="11"/>
  <c r="A237" i="11"/>
  <c r="B237" i="11"/>
  <c r="E237" i="11"/>
  <c r="J237" i="11"/>
  <c r="A238" i="11"/>
  <c r="B238" i="11"/>
  <c r="E238" i="11"/>
  <c r="J238" i="11"/>
  <c r="A239" i="11"/>
  <c r="B239" i="11"/>
  <c r="E239" i="11"/>
  <c r="J239" i="11"/>
  <c r="A240" i="11"/>
  <c r="B240" i="11"/>
  <c r="E240" i="11"/>
  <c r="J240" i="11"/>
  <c r="A241" i="11"/>
  <c r="B241" i="11"/>
  <c r="E241" i="11"/>
  <c r="J241" i="11"/>
  <c r="A242" i="11"/>
  <c r="B242" i="11"/>
  <c r="E242" i="11"/>
  <c r="J242" i="11"/>
  <c r="A243" i="11"/>
  <c r="B243" i="11"/>
  <c r="E243" i="11"/>
  <c r="J243" i="11"/>
  <c r="A244" i="11"/>
  <c r="B244" i="11"/>
  <c r="E244" i="11"/>
  <c r="J244" i="11"/>
  <c r="A245" i="11"/>
  <c r="B245" i="11"/>
  <c r="E245" i="11"/>
  <c r="J245" i="11"/>
  <c r="A246" i="11"/>
  <c r="B246" i="11"/>
  <c r="E246" i="11"/>
  <c r="J246" i="11"/>
  <c r="A247" i="11"/>
  <c r="B247" i="11"/>
  <c r="E247" i="11"/>
  <c r="J247" i="11"/>
  <c r="A248" i="11"/>
  <c r="B248" i="11"/>
  <c r="E248" i="11"/>
  <c r="J248" i="11"/>
  <c r="A249" i="11"/>
  <c r="B249" i="11"/>
  <c r="E249" i="11"/>
  <c r="J249" i="11"/>
  <c r="A250" i="11"/>
  <c r="B250" i="11"/>
  <c r="E250" i="11"/>
  <c r="J250" i="11"/>
  <c r="A251" i="11"/>
  <c r="B251" i="11"/>
  <c r="E251" i="11"/>
  <c r="J251" i="11"/>
  <c r="A252" i="11"/>
  <c r="B252" i="11"/>
  <c r="E252" i="11"/>
  <c r="J252" i="11"/>
  <c r="A253" i="11"/>
  <c r="B253" i="11"/>
  <c r="E253" i="11"/>
  <c r="J253" i="11"/>
  <c r="A254" i="11"/>
  <c r="B254" i="11"/>
  <c r="E254" i="11"/>
  <c r="J254" i="11"/>
  <c r="A255" i="11"/>
  <c r="B255" i="11"/>
  <c r="E255" i="11"/>
  <c r="J255" i="11"/>
  <c r="A256" i="11"/>
  <c r="B256" i="11"/>
  <c r="E256" i="11"/>
  <c r="J256" i="11"/>
  <c r="A257" i="11"/>
  <c r="B257" i="11"/>
  <c r="E257" i="11"/>
  <c r="J257" i="11"/>
  <c r="A258" i="11"/>
  <c r="B258" i="11"/>
  <c r="E258" i="11"/>
  <c r="J258" i="11"/>
  <c r="A259" i="11"/>
  <c r="B259" i="11"/>
  <c r="E259" i="11"/>
  <c r="J259" i="11"/>
  <c r="A260" i="11"/>
  <c r="B260" i="11"/>
  <c r="E260" i="11"/>
  <c r="J260" i="11"/>
  <c r="A261" i="11"/>
  <c r="B261" i="11"/>
  <c r="E261" i="11"/>
  <c r="J261" i="11"/>
  <c r="A262" i="11"/>
  <c r="B262" i="11"/>
  <c r="E262" i="11"/>
  <c r="J262" i="11"/>
  <c r="A263" i="11"/>
  <c r="B263" i="11"/>
  <c r="E263" i="11"/>
  <c r="J263" i="11"/>
  <c r="A264" i="11"/>
  <c r="B264" i="11"/>
  <c r="E264" i="11"/>
  <c r="J264" i="11"/>
  <c r="A265" i="11"/>
  <c r="B265" i="11"/>
  <c r="E265" i="11"/>
  <c r="J265" i="11"/>
  <c r="A266" i="11"/>
  <c r="B266" i="11"/>
  <c r="E266" i="11"/>
  <c r="J266" i="11"/>
  <c r="A267" i="11"/>
  <c r="B267" i="11"/>
  <c r="E267" i="11"/>
  <c r="J267" i="11"/>
  <c r="A268" i="11"/>
  <c r="B268" i="11"/>
  <c r="E268" i="11"/>
  <c r="J268" i="11"/>
  <c r="A269" i="11"/>
  <c r="B269" i="11"/>
  <c r="E269" i="11"/>
  <c r="J269" i="11"/>
  <c r="A270" i="11"/>
  <c r="B270" i="11"/>
  <c r="E270" i="11"/>
  <c r="J270" i="11"/>
  <c r="A271" i="11"/>
  <c r="B271" i="11"/>
  <c r="E271" i="11"/>
  <c r="J271" i="11"/>
  <c r="A272" i="11"/>
  <c r="B272" i="11"/>
  <c r="E272" i="11"/>
  <c r="J272" i="11"/>
  <c r="A273" i="11"/>
  <c r="B273" i="11"/>
  <c r="E273" i="11"/>
  <c r="J273" i="11"/>
  <c r="A274" i="11"/>
  <c r="B274" i="11"/>
  <c r="E274" i="11"/>
  <c r="J274" i="11"/>
  <c r="A275" i="11"/>
  <c r="B275" i="11"/>
  <c r="E275" i="11"/>
  <c r="J275" i="11"/>
  <c r="A276" i="11"/>
  <c r="B276" i="11"/>
  <c r="E276" i="11"/>
  <c r="J276" i="11"/>
  <c r="A277" i="11"/>
  <c r="B277" i="11"/>
  <c r="E277" i="11"/>
  <c r="J277" i="11"/>
  <c r="A278" i="11"/>
  <c r="B278" i="11"/>
  <c r="E278" i="11"/>
  <c r="J278" i="11"/>
  <c r="A279" i="11"/>
  <c r="B279" i="11"/>
  <c r="E279" i="11"/>
  <c r="J279" i="11"/>
  <c r="A280" i="11"/>
  <c r="B280" i="11"/>
  <c r="E280" i="11"/>
  <c r="J280" i="11"/>
  <c r="A281" i="11"/>
  <c r="B281" i="11"/>
  <c r="E281" i="11"/>
  <c r="J281" i="11"/>
  <c r="A282" i="11"/>
  <c r="B282" i="11"/>
  <c r="E282" i="11"/>
  <c r="J282" i="11"/>
  <c r="A283" i="11"/>
  <c r="B283" i="11"/>
  <c r="E283" i="11"/>
  <c r="J283" i="11"/>
  <c r="A284" i="11"/>
  <c r="B284" i="11"/>
  <c r="E284" i="11"/>
  <c r="J284" i="11"/>
  <c r="A285" i="11"/>
  <c r="B285" i="11"/>
  <c r="E285" i="11"/>
  <c r="J285" i="11"/>
  <c r="A286" i="11"/>
  <c r="B286" i="11"/>
  <c r="E286" i="11"/>
  <c r="J286" i="11"/>
  <c r="A287" i="11"/>
  <c r="B287" i="11"/>
  <c r="E287" i="11"/>
  <c r="J287" i="11"/>
  <c r="A288" i="11"/>
  <c r="B288" i="11"/>
  <c r="E288" i="11"/>
  <c r="J288" i="11"/>
  <c r="A289" i="11"/>
  <c r="B289" i="11"/>
  <c r="E289" i="11"/>
  <c r="J289" i="11"/>
  <c r="A290" i="11"/>
  <c r="B290" i="11"/>
  <c r="E290" i="11"/>
  <c r="J290" i="11"/>
  <c r="A291" i="11"/>
  <c r="B291" i="11"/>
  <c r="E291" i="11"/>
  <c r="J291" i="11"/>
  <c r="A292" i="11"/>
  <c r="B292" i="11"/>
  <c r="E292" i="11"/>
  <c r="J292" i="11"/>
  <c r="A293" i="11"/>
  <c r="B293" i="11"/>
  <c r="E293" i="11"/>
  <c r="J293" i="11"/>
  <c r="A294" i="11"/>
  <c r="B294" i="11"/>
  <c r="E294" i="11"/>
  <c r="J294" i="11"/>
  <c r="A295" i="11"/>
  <c r="B295" i="11"/>
  <c r="E295" i="11"/>
  <c r="J295" i="11"/>
  <c r="A296" i="11"/>
  <c r="B296" i="11"/>
  <c r="E296" i="11"/>
  <c r="J296" i="11"/>
  <c r="A297" i="11"/>
  <c r="B297" i="11"/>
  <c r="E297" i="11"/>
  <c r="J297" i="11"/>
  <c r="A298" i="11"/>
  <c r="B298" i="11"/>
  <c r="E298" i="11"/>
  <c r="J298" i="11"/>
  <c r="A299" i="11"/>
  <c r="B299" i="11"/>
  <c r="E299" i="11"/>
  <c r="J299" i="11"/>
  <c r="A300" i="11"/>
  <c r="B300" i="11"/>
  <c r="E300" i="11"/>
  <c r="J300" i="11"/>
  <c r="A301" i="11"/>
  <c r="B301" i="11"/>
  <c r="E301" i="11"/>
  <c r="J301" i="11"/>
  <c r="A302" i="11"/>
  <c r="B302" i="11"/>
  <c r="E302" i="11"/>
  <c r="J302" i="11"/>
  <c r="A303" i="11"/>
  <c r="B303" i="11"/>
  <c r="E303" i="11"/>
  <c r="J303" i="11"/>
  <c r="A304" i="11"/>
  <c r="B304" i="11"/>
  <c r="E304" i="11"/>
  <c r="J304" i="11"/>
  <c r="A305" i="11"/>
  <c r="B305" i="11"/>
  <c r="E305" i="11"/>
  <c r="J305" i="11"/>
  <c r="K45" i="40" l="1"/>
  <c r="C5" i="9"/>
  <c r="B16" i="40"/>
  <c r="A6" i="25"/>
  <c r="B6" i="25"/>
  <c r="D6" i="25"/>
  <c r="A7" i="25"/>
  <c r="B7" i="25"/>
  <c r="D7" i="25"/>
  <c r="A8" i="25"/>
  <c r="B8" i="25"/>
  <c r="D8" i="25"/>
  <c r="A9" i="25"/>
  <c r="B9" i="25"/>
  <c r="D9" i="25"/>
  <c r="A10" i="25"/>
  <c r="B10" i="25"/>
  <c r="D10" i="25"/>
  <c r="A11" i="25"/>
  <c r="B11" i="25"/>
  <c r="D11" i="25"/>
  <c r="A12" i="25"/>
  <c r="B12" i="25"/>
  <c r="D12" i="25"/>
  <c r="A13" i="25"/>
  <c r="B13" i="25"/>
  <c r="D13" i="25"/>
  <c r="A14" i="25"/>
  <c r="B14" i="25"/>
  <c r="D14" i="25"/>
  <c r="A15" i="25"/>
  <c r="B15" i="25"/>
  <c r="D15" i="25"/>
  <c r="A16" i="25"/>
  <c r="B16" i="25"/>
  <c r="D16" i="25"/>
  <c r="A17" i="25"/>
  <c r="B17" i="25"/>
  <c r="D17" i="25"/>
  <c r="A18" i="25"/>
  <c r="B18" i="25"/>
  <c r="D18" i="25"/>
  <c r="A19" i="25"/>
  <c r="B19" i="25"/>
  <c r="D19" i="25"/>
  <c r="A20" i="25"/>
  <c r="B20" i="25"/>
  <c r="D20" i="25"/>
  <c r="A21" i="25"/>
  <c r="B21" i="25"/>
  <c r="D21" i="25"/>
  <c r="A22" i="25"/>
  <c r="B22" i="25"/>
  <c r="D22" i="25"/>
  <c r="A23" i="25"/>
  <c r="B23" i="25"/>
  <c r="D23" i="25"/>
  <c r="A24" i="25"/>
  <c r="B24" i="25"/>
  <c r="D24" i="25"/>
  <c r="A25" i="25"/>
  <c r="B25" i="25"/>
  <c r="D25" i="25"/>
  <c r="A26" i="25"/>
  <c r="B26" i="25"/>
  <c r="D26" i="25"/>
  <c r="A27" i="25"/>
  <c r="B27" i="25"/>
  <c r="D27" i="25"/>
  <c r="A28" i="25"/>
  <c r="B28" i="25"/>
  <c r="D28" i="25"/>
  <c r="A29" i="25"/>
  <c r="B29" i="25"/>
  <c r="D29" i="25"/>
  <c r="A30" i="25"/>
  <c r="B30" i="25"/>
  <c r="D30" i="25"/>
  <c r="A31" i="25"/>
  <c r="B31" i="25"/>
  <c r="D31" i="25"/>
  <c r="A32" i="25"/>
  <c r="B32" i="25"/>
  <c r="D32" i="25"/>
  <c r="A33" i="25"/>
  <c r="B33" i="25"/>
  <c r="D33" i="25"/>
  <c r="A34" i="25"/>
  <c r="B34" i="25"/>
  <c r="D34" i="25"/>
  <c r="A35" i="25"/>
  <c r="B35" i="25"/>
  <c r="D35" i="25"/>
  <c r="A36" i="25"/>
  <c r="B36" i="25"/>
  <c r="D36" i="25"/>
  <c r="A37" i="25"/>
  <c r="B37" i="25"/>
  <c r="D37" i="25"/>
  <c r="A38" i="25"/>
  <c r="B38" i="25"/>
  <c r="D38" i="25"/>
  <c r="A39" i="25"/>
  <c r="B39" i="25"/>
  <c r="D39" i="25"/>
  <c r="A40" i="25"/>
  <c r="B40" i="25"/>
  <c r="D40" i="25"/>
  <c r="A41" i="25"/>
  <c r="B41" i="25"/>
  <c r="D41" i="25"/>
  <c r="A42" i="25"/>
  <c r="B42" i="25"/>
  <c r="D42" i="25"/>
  <c r="A43" i="25"/>
  <c r="B43" i="25"/>
  <c r="D43" i="25"/>
  <c r="A44" i="25"/>
  <c r="B44" i="25"/>
  <c r="D44" i="25"/>
  <c r="A45" i="25"/>
  <c r="B45" i="25"/>
  <c r="D45" i="25"/>
  <c r="A46" i="25"/>
  <c r="B46" i="25"/>
  <c r="D46" i="25"/>
  <c r="A47" i="25"/>
  <c r="B47" i="25"/>
  <c r="D47" i="25"/>
  <c r="A48" i="25"/>
  <c r="B48" i="25"/>
  <c r="D48" i="25"/>
  <c r="A49" i="25"/>
  <c r="B49" i="25"/>
  <c r="D49" i="25"/>
  <c r="A50" i="25"/>
  <c r="B50" i="25"/>
  <c r="D50" i="25"/>
  <c r="A51" i="25"/>
  <c r="B51" i="25"/>
  <c r="D51" i="25"/>
  <c r="A52" i="25"/>
  <c r="B52" i="25"/>
  <c r="D52" i="25"/>
  <c r="A53" i="25"/>
  <c r="B53" i="25"/>
  <c r="D53" i="25"/>
  <c r="A54" i="25"/>
  <c r="B54" i="25"/>
  <c r="D54" i="25"/>
  <c r="A55" i="25"/>
  <c r="B55" i="25"/>
  <c r="D55" i="25"/>
  <c r="A56" i="25"/>
  <c r="B56" i="25"/>
  <c r="D56" i="25"/>
  <c r="A57" i="25"/>
  <c r="B57" i="25"/>
  <c r="D57" i="25"/>
  <c r="A58" i="25"/>
  <c r="B58" i="25"/>
  <c r="D58" i="25"/>
  <c r="A59" i="25"/>
  <c r="B59" i="25"/>
  <c r="D59" i="25"/>
  <c r="A60" i="25"/>
  <c r="B60" i="25"/>
  <c r="D60" i="25"/>
  <c r="A61" i="25"/>
  <c r="B61" i="25"/>
  <c r="D61" i="25"/>
  <c r="A62" i="25"/>
  <c r="B62" i="25"/>
  <c r="D62" i="25"/>
  <c r="A63" i="25"/>
  <c r="B63" i="25"/>
  <c r="D63" i="25"/>
  <c r="A64" i="25"/>
  <c r="B64" i="25"/>
  <c r="D64" i="25"/>
  <c r="A65" i="25"/>
  <c r="B65" i="25"/>
  <c r="D65" i="25"/>
  <c r="A66" i="25"/>
  <c r="B66" i="25"/>
  <c r="D66" i="25"/>
  <c r="A67" i="25"/>
  <c r="B67" i="25"/>
  <c r="D67" i="25"/>
  <c r="A68" i="25"/>
  <c r="B68" i="25"/>
  <c r="D68" i="25"/>
  <c r="A69" i="25"/>
  <c r="B69" i="25"/>
  <c r="D69" i="25"/>
  <c r="A70" i="25"/>
  <c r="B70" i="25"/>
  <c r="D70" i="25"/>
  <c r="A71" i="25"/>
  <c r="B71" i="25"/>
  <c r="D71" i="25"/>
  <c r="A72" i="25"/>
  <c r="B72" i="25"/>
  <c r="D72" i="25"/>
  <c r="A73" i="25"/>
  <c r="B73" i="25"/>
  <c r="D73" i="25"/>
  <c r="A74" i="25"/>
  <c r="B74" i="25"/>
  <c r="D74" i="25"/>
  <c r="A75" i="25"/>
  <c r="B75" i="25"/>
  <c r="D75" i="25"/>
  <c r="A76" i="25"/>
  <c r="B76" i="25"/>
  <c r="D76" i="25"/>
  <c r="A77" i="25"/>
  <c r="B77" i="25"/>
  <c r="D77" i="25"/>
  <c r="A78" i="25"/>
  <c r="B78" i="25"/>
  <c r="D78" i="25"/>
  <c r="A79" i="25"/>
  <c r="B79" i="25"/>
  <c r="D79" i="25"/>
  <c r="A80" i="25"/>
  <c r="B80" i="25"/>
  <c r="D80" i="25"/>
  <c r="A81" i="25"/>
  <c r="B81" i="25"/>
  <c r="D81" i="25"/>
  <c r="A82" i="25"/>
  <c r="B82" i="25"/>
  <c r="D82" i="25"/>
  <c r="A83" i="25"/>
  <c r="B83" i="25"/>
  <c r="D83" i="25"/>
  <c r="A84" i="25"/>
  <c r="B84" i="25"/>
  <c r="D84" i="25"/>
  <c r="A85" i="25"/>
  <c r="B85" i="25"/>
  <c r="D85" i="25"/>
  <c r="A86" i="25"/>
  <c r="B86" i="25"/>
  <c r="D86" i="25"/>
  <c r="A87" i="25"/>
  <c r="B87" i="25"/>
  <c r="D87" i="25"/>
  <c r="A88" i="25"/>
  <c r="B88" i="25"/>
  <c r="D88" i="25"/>
  <c r="A89" i="25"/>
  <c r="B89" i="25"/>
  <c r="D89" i="25"/>
  <c r="A90" i="25"/>
  <c r="B90" i="25"/>
  <c r="D90" i="25"/>
  <c r="A91" i="25"/>
  <c r="B91" i="25"/>
  <c r="D91" i="25"/>
  <c r="A92" i="25"/>
  <c r="B92" i="25"/>
  <c r="D92" i="25"/>
  <c r="A93" i="25"/>
  <c r="B93" i="25"/>
  <c r="D93" i="25"/>
  <c r="A94" i="25"/>
  <c r="B94" i="25"/>
  <c r="D94" i="25"/>
  <c r="A95" i="25"/>
  <c r="B95" i="25"/>
  <c r="D95" i="25"/>
  <c r="A96" i="25"/>
  <c r="B96" i="25"/>
  <c r="D96" i="25"/>
  <c r="A97" i="25"/>
  <c r="B97" i="25"/>
  <c r="D97" i="25"/>
  <c r="A98" i="25"/>
  <c r="B98" i="25"/>
  <c r="D98" i="25"/>
  <c r="A99" i="25"/>
  <c r="B99" i="25"/>
  <c r="D99" i="25"/>
  <c r="A100" i="25"/>
  <c r="B100" i="25"/>
  <c r="D100" i="25"/>
  <c r="A101" i="25"/>
  <c r="B101" i="25"/>
  <c r="D101" i="25"/>
  <c r="A102" i="25"/>
  <c r="B102" i="25"/>
  <c r="D102" i="25"/>
  <c r="A103" i="25"/>
  <c r="B103" i="25"/>
  <c r="D103" i="25"/>
  <c r="A104" i="25"/>
  <c r="B104" i="25"/>
  <c r="D104" i="25"/>
  <c r="A105" i="25"/>
  <c r="B105" i="25"/>
  <c r="D105" i="25"/>
  <c r="A106" i="25"/>
  <c r="B106" i="25"/>
  <c r="D106" i="25"/>
  <c r="A107" i="25"/>
  <c r="B107" i="25"/>
  <c r="D107" i="25"/>
  <c r="A108" i="25"/>
  <c r="B108" i="25"/>
  <c r="D108" i="25"/>
  <c r="A109" i="25"/>
  <c r="B109" i="25"/>
  <c r="D109" i="25"/>
  <c r="A110" i="25"/>
  <c r="B110" i="25"/>
  <c r="D110" i="25"/>
  <c r="A111" i="25"/>
  <c r="B111" i="25"/>
  <c r="D111" i="25"/>
  <c r="A112" i="25"/>
  <c r="B112" i="25"/>
  <c r="D112" i="25"/>
  <c r="A113" i="25"/>
  <c r="B113" i="25"/>
  <c r="D113" i="25"/>
  <c r="A114" i="25"/>
  <c r="B114" i="25"/>
  <c r="D114" i="25"/>
  <c r="A115" i="25"/>
  <c r="B115" i="25"/>
  <c r="D115" i="25"/>
  <c r="A116" i="25"/>
  <c r="B116" i="25"/>
  <c r="D116" i="25"/>
  <c r="A117" i="25"/>
  <c r="B117" i="25"/>
  <c r="D117" i="25"/>
  <c r="A118" i="25"/>
  <c r="B118" i="25"/>
  <c r="D118" i="25"/>
  <c r="A119" i="25"/>
  <c r="B119" i="25"/>
  <c r="D119" i="25"/>
  <c r="A120" i="25"/>
  <c r="B120" i="25"/>
  <c r="D120" i="25"/>
  <c r="A121" i="25"/>
  <c r="B121" i="25"/>
  <c r="D121" i="25"/>
  <c r="A122" i="25"/>
  <c r="B122" i="25"/>
  <c r="D122" i="25"/>
  <c r="A123" i="25"/>
  <c r="B123" i="25"/>
  <c r="D123" i="25"/>
  <c r="A124" i="25"/>
  <c r="B124" i="25"/>
  <c r="D124" i="25"/>
  <c r="A125" i="25"/>
  <c r="B125" i="25"/>
  <c r="D125" i="25"/>
  <c r="A126" i="25"/>
  <c r="B126" i="25"/>
  <c r="D126" i="25"/>
  <c r="A127" i="25"/>
  <c r="B127" i="25"/>
  <c r="D127" i="25"/>
  <c r="A128" i="25"/>
  <c r="B128" i="25"/>
  <c r="D128" i="25"/>
  <c r="A129" i="25"/>
  <c r="B129" i="25"/>
  <c r="D129" i="25"/>
  <c r="A130" i="25"/>
  <c r="B130" i="25"/>
  <c r="D130" i="25"/>
  <c r="A131" i="25"/>
  <c r="B131" i="25"/>
  <c r="D131" i="25"/>
  <c r="A132" i="25"/>
  <c r="B132" i="25"/>
  <c r="D132" i="25"/>
  <c r="A133" i="25"/>
  <c r="B133" i="25"/>
  <c r="D133" i="25"/>
  <c r="A134" i="25"/>
  <c r="B134" i="25"/>
  <c r="D134" i="25"/>
  <c r="A135" i="25"/>
  <c r="B135" i="25"/>
  <c r="D135" i="25"/>
  <c r="A136" i="25"/>
  <c r="B136" i="25"/>
  <c r="D136" i="25"/>
  <c r="A137" i="25"/>
  <c r="B137" i="25"/>
  <c r="D137" i="25"/>
  <c r="A138" i="25"/>
  <c r="B138" i="25"/>
  <c r="D138" i="25"/>
  <c r="A139" i="25"/>
  <c r="B139" i="25"/>
  <c r="D139" i="25"/>
  <c r="A140" i="25"/>
  <c r="B140" i="25"/>
  <c r="D140" i="25"/>
  <c r="A141" i="25"/>
  <c r="B141" i="25"/>
  <c r="D141" i="25"/>
  <c r="A142" i="25"/>
  <c r="B142" i="25"/>
  <c r="D142" i="25"/>
  <c r="A143" i="25"/>
  <c r="B143" i="25"/>
  <c r="D143" i="25"/>
  <c r="A144" i="25"/>
  <c r="B144" i="25"/>
  <c r="D144" i="25"/>
  <c r="A145" i="25"/>
  <c r="B145" i="25"/>
  <c r="D145" i="25"/>
  <c r="A146" i="25"/>
  <c r="B146" i="25"/>
  <c r="D146" i="25"/>
  <c r="A147" i="25"/>
  <c r="B147" i="25"/>
  <c r="D147" i="25"/>
  <c r="A148" i="25"/>
  <c r="B148" i="25"/>
  <c r="D148" i="25"/>
  <c r="A149" i="25"/>
  <c r="B149" i="25"/>
  <c r="D149" i="25"/>
  <c r="A150" i="25"/>
  <c r="B150" i="25"/>
  <c r="D150" i="25"/>
  <c r="A151" i="25"/>
  <c r="B151" i="25"/>
  <c r="D151" i="25"/>
  <c r="A152" i="25"/>
  <c r="B152" i="25"/>
  <c r="D152" i="25"/>
  <c r="A153" i="25"/>
  <c r="B153" i="25"/>
  <c r="D153" i="25"/>
  <c r="A154" i="25"/>
  <c r="B154" i="25"/>
  <c r="D154" i="25"/>
  <c r="A155" i="25"/>
  <c r="B155" i="25"/>
  <c r="D155" i="25"/>
  <c r="A156" i="25"/>
  <c r="B156" i="25"/>
  <c r="D156" i="25"/>
  <c r="A157" i="25"/>
  <c r="B157" i="25"/>
  <c r="D157" i="25"/>
  <c r="A158" i="25"/>
  <c r="B158" i="25"/>
  <c r="D158" i="25"/>
  <c r="A159" i="25"/>
  <c r="B159" i="25"/>
  <c r="D159" i="25"/>
  <c r="A160" i="25"/>
  <c r="B160" i="25"/>
  <c r="D160" i="25"/>
  <c r="A161" i="25"/>
  <c r="B161" i="25"/>
  <c r="D161" i="25"/>
  <c r="A162" i="25"/>
  <c r="B162" i="25"/>
  <c r="D162" i="25"/>
  <c r="A163" i="25"/>
  <c r="B163" i="25"/>
  <c r="D163" i="25"/>
  <c r="A164" i="25"/>
  <c r="B164" i="25"/>
  <c r="D164" i="25"/>
  <c r="A165" i="25"/>
  <c r="B165" i="25"/>
  <c r="D165" i="25"/>
  <c r="A166" i="25"/>
  <c r="B166" i="25"/>
  <c r="D166" i="25"/>
  <c r="A167" i="25"/>
  <c r="B167" i="25"/>
  <c r="D167" i="25"/>
  <c r="A168" i="25"/>
  <c r="B168" i="25"/>
  <c r="D168" i="25"/>
  <c r="A169" i="25"/>
  <c r="B169" i="25"/>
  <c r="D169" i="25"/>
  <c r="A170" i="25"/>
  <c r="B170" i="25"/>
  <c r="D170" i="25"/>
  <c r="A171" i="25"/>
  <c r="B171" i="25"/>
  <c r="D171" i="25"/>
  <c r="A172" i="25"/>
  <c r="B172" i="25"/>
  <c r="D172" i="25"/>
  <c r="A173" i="25"/>
  <c r="B173" i="25"/>
  <c r="D173" i="25"/>
  <c r="A174" i="25"/>
  <c r="B174" i="25"/>
  <c r="D174" i="25"/>
  <c r="A175" i="25"/>
  <c r="B175" i="25"/>
  <c r="D175" i="25"/>
  <c r="A176" i="25"/>
  <c r="B176" i="25"/>
  <c r="D176" i="25"/>
  <c r="A177" i="25"/>
  <c r="B177" i="25"/>
  <c r="D177" i="25"/>
  <c r="A178" i="25"/>
  <c r="B178" i="25"/>
  <c r="D178" i="25"/>
  <c r="A179" i="25"/>
  <c r="B179" i="25"/>
  <c r="D179" i="25"/>
  <c r="A180" i="25"/>
  <c r="B180" i="25"/>
  <c r="D180" i="25"/>
  <c r="A181" i="25"/>
  <c r="B181" i="25"/>
  <c r="D181" i="25"/>
  <c r="A182" i="25"/>
  <c r="B182" i="25"/>
  <c r="D182" i="25"/>
  <c r="A183" i="25"/>
  <c r="B183" i="25"/>
  <c r="D183" i="25"/>
  <c r="A184" i="25"/>
  <c r="B184" i="25"/>
  <c r="D184" i="25"/>
  <c r="A185" i="25"/>
  <c r="B185" i="25"/>
  <c r="D185" i="25"/>
  <c r="A186" i="25"/>
  <c r="B186" i="25"/>
  <c r="D186" i="25"/>
  <c r="A187" i="25"/>
  <c r="B187" i="25"/>
  <c r="D187" i="25"/>
  <c r="A188" i="25"/>
  <c r="B188" i="25"/>
  <c r="D188" i="25"/>
  <c r="A189" i="25"/>
  <c r="B189" i="25"/>
  <c r="D189" i="25"/>
  <c r="A190" i="25"/>
  <c r="B190" i="25"/>
  <c r="D190" i="25"/>
  <c r="A191" i="25"/>
  <c r="B191" i="25"/>
  <c r="D191" i="25"/>
  <c r="A192" i="25"/>
  <c r="B192" i="25"/>
  <c r="D192" i="25"/>
  <c r="A193" i="25"/>
  <c r="B193" i="25"/>
  <c r="D193" i="25"/>
  <c r="A194" i="25"/>
  <c r="B194" i="25"/>
  <c r="D194" i="25"/>
  <c r="A195" i="25"/>
  <c r="B195" i="25"/>
  <c r="D195" i="25"/>
  <c r="A196" i="25"/>
  <c r="B196" i="25"/>
  <c r="D196" i="25"/>
  <c r="A197" i="25"/>
  <c r="B197" i="25"/>
  <c r="D197" i="25"/>
  <c r="A198" i="25"/>
  <c r="B198" i="25"/>
  <c r="D198" i="25"/>
  <c r="A199" i="25"/>
  <c r="B199" i="25"/>
  <c r="D199" i="25"/>
  <c r="A200" i="25"/>
  <c r="B200" i="25"/>
  <c r="D200" i="25"/>
  <c r="A201" i="25"/>
  <c r="B201" i="25"/>
  <c r="D201" i="25"/>
  <c r="A202" i="25"/>
  <c r="B202" i="25"/>
  <c r="D202" i="25"/>
  <c r="A203" i="25"/>
  <c r="B203" i="25"/>
  <c r="D203" i="25"/>
  <c r="A204" i="25"/>
  <c r="B204" i="25"/>
  <c r="D204" i="25"/>
  <c r="A205" i="25"/>
  <c r="B205" i="25"/>
  <c r="D205" i="25"/>
  <c r="A206" i="25"/>
  <c r="B206" i="25"/>
  <c r="D206" i="25"/>
  <c r="A207" i="25"/>
  <c r="B207" i="25"/>
  <c r="D207" i="25"/>
  <c r="A208" i="25"/>
  <c r="B208" i="25"/>
  <c r="D208" i="25"/>
  <c r="A209" i="25"/>
  <c r="B209" i="25"/>
  <c r="D209" i="25"/>
  <c r="A210" i="25"/>
  <c r="B210" i="25"/>
  <c r="D210" i="25"/>
  <c r="A211" i="25"/>
  <c r="B211" i="25"/>
  <c r="D211" i="25"/>
  <c r="A212" i="25"/>
  <c r="B212" i="25"/>
  <c r="D212" i="25"/>
  <c r="A213" i="25"/>
  <c r="B213" i="25"/>
  <c r="D213" i="25"/>
  <c r="A214" i="25"/>
  <c r="B214" i="25"/>
  <c r="D214" i="25"/>
  <c r="A215" i="25"/>
  <c r="B215" i="25"/>
  <c r="D215" i="25"/>
  <c r="A216" i="25"/>
  <c r="B216" i="25"/>
  <c r="D216" i="25"/>
  <c r="A217" i="25"/>
  <c r="B217" i="25"/>
  <c r="D217" i="25"/>
  <c r="A218" i="25"/>
  <c r="B218" i="25"/>
  <c r="D218" i="25"/>
  <c r="A219" i="25"/>
  <c r="B219" i="25"/>
  <c r="D219" i="25"/>
  <c r="A220" i="25"/>
  <c r="B220" i="25"/>
  <c r="D220" i="25"/>
  <c r="A221" i="25"/>
  <c r="B221" i="25"/>
  <c r="D221" i="25"/>
  <c r="A222" i="25"/>
  <c r="B222" i="25"/>
  <c r="D222" i="25"/>
  <c r="A223" i="25"/>
  <c r="B223" i="25"/>
  <c r="D223" i="25"/>
  <c r="A224" i="25"/>
  <c r="B224" i="25"/>
  <c r="D224" i="25"/>
  <c r="A225" i="25"/>
  <c r="B225" i="25"/>
  <c r="D225" i="25"/>
  <c r="A226" i="25"/>
  <c r="B226" i="25"/>
  <c r="D226" i="25"/>
  <c r="A227" i="25"/>
  <c r="B227" i="25"/>
  <c r="D227" i="25"/>
  <c r="A228" i="25"/>
  <c r="B228" i="25"/>
  <c r="D228" i="25"/>
  <c r="A229" i="25"/>
  <c r="B229" i="25"/>
  <c r="D229" i="25"/>
  <c r="A230" i="25"/>
  <c r="B230" i="25"/>
  <c r="D230" i="25"/>
  <c r="A231" i="25"/>
  <c r="B231" i="25"/>
  <c r="D231" i="25"/>
  <c r="A232" i="25"/>
  <c r="B232" i="25"/>
  <c r="D232" i="25"/>
  <c r="A233" i="25"/>
  <c r="B233" i="25"/>
  <c r="D233" i="25"/>
  <c r="A234" i="25"/>
  <c r="B234" i="25"/>
  <c r="D234" i="25"/>
  <c r="A235" i="25"/>
  <c r="B235" i="25"/>
  <c r="D235" i="25"/>
  <c r="A236" i="25"/>
  <c r="B236" i="25"/>
  <c r="D236" i="25"/>
  <c r="A237" i="25"/>
  <c r="B237" i="25"/>
  <c r="D237" i="25"/>
  <c r="A238" i="25"/>
  <c r="B238" i="25"/>
  <c r="D238" i="25"/>
  <c r="A239" i="25"/>
  <c r="B239" i="25"/>
  <c r="D239" i="25"/>
  <c r="A240" i="25"/>
  <c r="B240" i="25"/>
  <c r="D240" i="25"/>
  <c r="A241" i="25"/>
  <c r="B241" i="25"/>
  <c r="D241" i="25"/>
  <c r="A242" i="25"/>
  <c r="B242" i="25"/>
  <c r="D242" i="25"/>
  <c r="A243" i="25"/>
  <c r="B243" i="25"/>
  <c r="D243" i="25"/>
  <c r="A244" i="25"/>
  <c r="B244" i="25"/>
  <c r="D244" i="25"/>
  <c r="A245" i="25"/>
  <c r="B245" i="25"/>
  <c r="D245" i="25"/>
  <c r="A246" i="25"/>
  <c r="B246" i="25"/>
  <c r="D246" i="25"/>
  <c r="A247" i="25"/>
  <c r="B247" i="25"/>
  <c r="D247" i="25"/>
  <c r="A248" i="25"/>
  <c r="B248" i="25"/>
  <c r="D248" i="25"/>
  <c r="A249" i="25"/>
  <c r="B249" i="25"/>
  <c r="D249" i="25"/>
  <c r="A250" i="25"/>
  <c r="B250" i="25"/>
  <c r="D250" i="25"/>
  <c r="A251" i="25"/>
  <c r="B251" i="25"/>
  <c r="D251" i="25"/>
  <c r="A252" i="25"/>
  <c r="B252" i="25"/>
  <c r="D252" i="25"/>
  <c r="A253" i="25"/>
  <c r="B253" i="25"/>
  <c r="D253" i="25"/>
  <c r="A254" i="25"/>
  <c r="B254" i="25"/>
  <c r="D254" i="25"/>
  <c r="A255" i="25"/>
  <c r="B255" i="25"/>
  <c r="D255" i="25"/>
  <c r="A256" i="25"/>
  <c r="B256" i="25"/>
  <c r="D256" i="25"/>
  <c r="A257" i="25"/>
  <c r="B257" i="25"/>
  <c r="D257" i="25"/>
  <c r="A258" i="25"/>
  <c r="B258" i="25"/>
  <c r="D258" i="25"/>
  <c r="A259" i="25"/>
  <c r="B259" i="25"/>
  <c r="D259" i="25"/>
  <c r="A260" i="25"/>
  <c r="B260" i="25"/>
  <c r="D260" i="25"/>
  <c r="A261" i="25"/>
  <c r="B261" i="25"/>
  <c r="D261" i="25"/>
  <c r="A262" i="25"/>
  <c r="B262" i="25"/>
  <c r="D262" i="25"/>
  <c r="A263" i="25"/>
  <c r="B263" i="25"/>
  <c r="D263" i="25"/>
  <c r="A264" i="25"/>
  <c r="B264" i="25"/>
  <c r="D264" i="25"/>
  <c r="A265" i="25"/>
  <c r="B265" i="25"/>
  <c r="D265" i="25"/>
  <c r="A266" i="25"/>
  <c r="B266" i="25"/>
  <c r="D266" i="25"/>
  <c r="A267" i="25"/>
  <c r="B267" i="25"/>
  <c r="D267" i="25"/>
  <c r="A268" i="25"/>
  <c r="B268" i="25"/>
  <c r="D268" i="25"/>
  <c r="A269" i="25"/>
  <c r="B269" i="25"/>
  <c r="D269" i="25"/>
  <c r="A270" i="25"/>
  <c r="B270" i="25"/>
  <c r="D270" i="25"/>
  <c r="A271" i="25"/>
  <c r="B271" i="25"/>
  <c r="D271" i="25"/>
  <c r="A272" i="25"/>
  <c r="B272" i="25"/>
  <c r="D272" i="25"/>
  <c r="A273" i="25"/>
  <c r="B273" i="25"/>
  <c r="D273" i="25"/>
  <c r="A274" i="25"/>
  <c r="B274" i="25"/>
  <c r="D274" i="25"/>
  <c r="A275" i="25"/>
  <c r="B275" i="25"/>
  <c r="D275" i="25"/>
  <c r="A276" i="25"/>
  <c r="B276" i="25"/>
  <c r="D276" i="25"/>
  <c r="A277" i="25"/>
  <c r="B277" i="25"/>
  <c r="D277" i="25"/>
  <c r="A278" i="25"/>
  <c r="B278" i="25"/>
  <c r="D278" i="25"/>
  <c r="A279" i="25"/>
  <c r="B279" i="25"/>
  <c r="D279" i="25"/>
  <c r="A280" i="25"/>
  <c r="B280" i="25"/>
  <c r="D280" i="25"/>
  <c r="A281" i="25"/>
  <c r="B281" i="25"/>
  <c r="D281" i="25"/>
  <c r="A282" i="25"/>
  <c r="B282" i="25"/>
  <c r="D282" i="25"/>
  <c r="A283" i="25"/>
  <c r="B283" i="25"/>
  <c r="D283" i="25"/>
  <c r="A284" i="25"/>
  <c r="B284" i="25"/>
  <c r="D284" i="25"/>
  <c r="A285" i="25"/>
  <c r="B285" i="25"/>
  <c r="D285" i="25"/>
  <c r="A286" i="25"/>
  <c r="B286" i="25"/>
  <c r="D286" i="25"/>
  <c r="A287" i="25"/>
  <c r="B287" i="25"/>
  <c r="D287" i="25"/>
  <c r="A288" i="25"/>
  <c r="B288" i="25"/>
  <c r="D288" i="25"/>
  <c r="A289" i="25"/>
  <c r="B289" i="25"/>
  <c r="D289" i="25"/>
  <c r="A290" i="25"/>
  <c r="B290" i="25"/>
  <c r="D290" i="25"/>
  <c r="A291" i="25"/>
  <c r="B291" i="25"/>
  <c r="D291" i="25"/>
  <c r="A292" i="25"/>
  <c r="B292" i="25"/>
  <c r="D292" i="25"/>
  <c r="A293" i="25"/>
  <c r="B293" i="25"/>
  <c r="D293" i="25"/>
  <c r="A294" i="25"/>
  <c r="B294" i="25"/>
  <c r="D294" i="25"/>
  <c r="A295" i="25"/>
  <c r="B295" i="25"/>
  <c r="D295" i="25"/>
  <c r="A296" i="25"/>
  <c r="B296" i="25"/>
  <c r="D296" i="25"/>
  <c r="A297" i="25"/>
  <c r="B297" i="25"/>
  <c r="D297" i="25"/>
  <c r="A298" i="25"/>
  <c r="B298" i="25"/>
  <c r="D298" i="25"/>
  <c r="A299" i="25"/>
  <c r="B299" i="25"/>
  <c r="D299" i="25"/>
  <c r="A300" i="25"/>
  <c r="B300" i="25"/>
  <c r="D300" i="25"/>
  <c r="A301" i="25"/>
  <c r="B301" i="25"/>
  <c r="D301" i="25"/>
  <c r="A302" i="25"/>
  <c r="B302" i="25"/>
  <c r="D302" i="25"/>
  <c r="A303" i="25"/>
  <c r="B303" i="25"/>
  <c r="D303" i="25"/>
  <c r="A304" i="25"/>
  <c r="B304" i="25"/>
  <c r="D304" i="25"/>
  <c r="D7" i="49"/>
  <c r="E7" i="49"/>
  <c r="D8" i="49"/>
  <c r="E8" i="49"/>
  <c r="D9" i="49"/>
  <c r="E9" i="49"/>
  <c r="D10" i="49"/>
  <c r="E10" i="49"/>
  <c r="D11" i="49"/>
  <c r="E11" i="49"/>
  <c r="D12" i="49"/>
  <c r="E12" i="49"/>
  <c r="D13" i="49"/>
  <c r="E13" i="49"/>
  <c r="D14" i="49"/>
  <c r="E14" i="49"/>
  <c r="D15" i="49"/>
  <c r="E15" i="49"/>
  <c r="D16" i="49"/>
  <c r="E16" i="49"/>
  <c r="D17" i="49"/>
  <c r="E17" i="49"/>
  <c r="D18" i="49"/>
  <c r="E18" i="49"/>
  <c r="D19" i="49"/>
  <c r="E19" i="49"/>
  <c r="D20" i="49"/>
  <c r="E20" i="49"/>
  <c r="D21" i="49"/>
  <c r="E21" i="49"/>
  <c r="D22" i="49"/>
  <c r="E22" i="49"/>
  <c r="D23" i="49"/>
  <c r="E23" i="49"/>
  <c r="D24" i="49"/>
  <c r="E24" i="49"/>
  <c r="D25" i="49"/>
  <c r="E25" i="49"/>
  <c r="D26" i="49"/>
  <c r="E26" i="49"/>
  <c r="D27" i="49"/>
  <c r="E27" i="49"/>
  <c r="D28" i="49"/>
  <c r="E28" i="49"/>
  <c r="D29" i="49"/>
  <c r="E29" i="49"/>
  <c r="D30" i="49"/>
  <c r="E30" i="49"/>
  <c r="D31" i="49"/>
  <c r="E31" i="49"/>
  <c r="D32" i="49"/>
  <c r="E32" i="49"/>
  <c r="D33" i="49"/>
  <c r="E33" i="49"/>
  <c r="D34" i="49"/>
  <c r="E34" i="49"/>
  <c r="D35" i="49"/>
  <c r="E35" i="49"/>
  <c r="D36" i="49"/>
  <c r="E36" i="49"/>
  <c r="D37" i="49"/>
  <c r="E37" i="49"/>
  <c r="D38" i="49"/>
  <c r="E38" i="49"/>
  <c r="D39" i="49"/>
  <c r="E39" i="49"/>
  <c r="D40" i="49"/>
  <c r="E40" i="49"/>
  <c r="D41" i="49"/>
  <c r="E41" i="49"/>
  <c r="D42" i="49"/>
  <c r="E42" i="49"/>
  <c r="D43" i="49"/>
  <c r="E43" i="49"/>
  <c r="D44" i="49"/>
  <c r="E44" i="49"/>
  <c r="D45" i="49"/>
  <c r="E45" i="49"/>
  <c r="D46" i="49"/>
  <c r="E46" i="49"/>
  <c r="D47" i="49"/>
  <c r="E47" i="49"/>
  <c r="D48" i="49"/>
  <c r="E48" i="49"/>
  <c r="D49" i="49"/>
  <c r="E49" i="49"/>
  <c r="D50" i="49"/>
  <c r="E50" i="49"/>
  <c r="D51" i="49"/>
  <c r="E51" i="49"/>
  <c r="D52" i="49"/>
  <c r="E52" i="49"/>
  <c r="D53" i="49"/>
  <c r="E53" i="49"/>
  <c r="D54" i="49"/>
  <c r="E54" i="49"/>
  <c r="D55" i="49"/>
  <c r="E55" i="49"/>
  <c r="D56" i="49"/>
  <c r="E56" i="49"/>
  <c r="D57" i="49"/>
  <c r="E57" i="49"/>
  <c r="D58" i="49"/>
  <c r="E58" i="49"/>
  <c r="D59" i="49"/>
  <c r="E59" i="49"/>
  <c r="D60" i="49"/>
  <c r="E60" i="49"/>
  <c r="D61" i="49"/>
  <c r="E61" i="49"/>
  <c r="D62" i="49"/>
  <c r="E62" i="49"/>
  <c r="D63" i="49"/>
  <c r="E63" i="49"/>
  <c r="D64" i="49"/>
  <c r="E64" i="49"/>
  <c r="D65" i="49"/>
  <c r="E65" i="49"/>
  <c r="D66" i="49"/>
  <c r="E66" i="49"/>
  <c r="D67" i="49"/>
  <c r="E67" i="49"/>
  <c r="D68" i="49"/>
  <c r="E68" i="49"/>
  <c r="D69" i="49"/>
  <c r="E69" i="49"/>
  <c r="D70" i="49"/>
  <c r="E70" i="49"/>
  <c r="D71" i="49"/>
  <c r="E71" i="49"/>
  <c r="D72" i="49"/>
  <c r="E72" i="49"/>
  <c r="D73" i="49"/>
  <c r="E73" i="49"/>
  <c r="D74" i="49"/>
  <c r="E74" i="49"/>
  <c r="D75" i="49"/>
  <c r="E75" i="49"/>
  <c r="D76" i="49"/>
  <c r="E76" i="49"/>
  <c r="D77" i="49"/>
  <c r="E77" i="49"/>
  <c r="D78" i="49"/>
  <c r="E78" i="49"/>
  <c r="D79" i="49"/>
  <c r="E79" i="49"/>
  <c r="D80" i="49"/>
  <c r="E80" i="49"/>
  <c r="D81" i="49"/>
  <c r="E81" i="49"/>
  <c r="D82" i="49"/>
  <c r="E82" i="49"/>
  <c r="D83" i="49"/>
  <c r="E83" i="49"/>
  <c r="D84" i="49"/>
  <c r="E84" i="49"/>
  <c r="D85" i="49"/>
  <c r="E85" i="49"/>
  <c r="D86" i="49"/>
  <c r="E86" i="49"/>
  <c r="D87" i="49"/>
  <c r="E87" i="49"/>
  <c r="D88" i="49"/>
  <c r="E88" i="49"/>
  <c r="D89" i="49"/>
  <c r="E89" i="49"/>
  <c r="D90" i="49"/>
  <c r="E90" i="49"/>
  <c r="D91" i="49"/>
  <c r="E91" i="49"/>
  <c r="D92" i="49"/>
  <c r="E92" i="49"/>
  <c r="D93" i="49"/>
  <c r="E93" i="49"/>
  <c r="D94" i="49"/>
  <c r="E94" i="49"/>
  <c r="D95" i="49"/>
  <c r="E95" i="49"/>
  <c r="D96" i="49"/>
  <c r="E96" i="49"/>
  <c r="D97" i="49"/>
  <c r="E97" i="49"/>
  <c r="D98" i="49"/>
  <c r="E98" i="49"/>
  <c r="D99" i="49"/>
  <c r="E99" i="49"/>
  <c r="D100" i="49"/>
  <c r="E100" i="49"/>
  <c r="D101" i="49"/>
  <c r="E101" i="49"/>
  <c r="D102" i="49"/>
  <c r="E102" i="49"/>
  <c r="D103" i="49"/>
  <c r="E103" i="49"/>
  <c r="D104" i="49"/>
  <c r="E104" i="49"/>
  <c r="D105" i="49"/>
  <c r="E105" i="49"/>
  <c r="D106" i="49"/>
  <c r="E106" i="49"/>
  <c r="D107" i="49"/>
  <c r="E107" i="49"/>
  <c r="D108" i="49"/>
  <c r="E108" i="49"/>
  <c r="D109" i="49"/>
  <c r="E109" i="49"/>
  <c r="D110" i="49"/>
  <c r="E110" i="49"/>
  <c r="D111" i="49"/>
  <c r="E111" i="49"/>
  <c r="D112" i="49"/>
  <c r="E112" i="49"/>
  <c r="D113" i="49"/>
  <c r="E113" i="49"/>
  <c r="D114" i="49"/>
  <c r="E114" i="49"/>
  <c r="D115" i="49"/>
  <c r="E115" i="49"/>
  <c r="D116" i="49"/>
  <c r="E116" i="49"/>
  <c r="D117" i="49"/>
  <c r="E117" i="49"/>
  <c r="D118" i="49"/>
  <c r="E118" i="49"/>
  <c r="D119" i="49"/>
  <c r="E119" i="49"/>
  <c r="D120" i="49"/>
  <c r="E120" i="49"/>
  <c r="D121" i="49"/>
  <c r="E121" i="49"/>
  <c r="D122" i="49"/>
  <c r="E122" i="49"/>
  <c r="D123" i="49"/>
  <c r="E123" i="49"/>
  <c r="D124" i="49"/>
  <c r="E124" i="49"/>
  <c r="D125" i="49"/>
  <c r="E125" i="49"/>
  <c r="D126" i="49"/>
  <c r="E126" i="49"/>
  <c r="D127" i="49"/>
  <c r="E127" i="49"/>
  <c r="D128" i="49"/>
  <c r="E128" i="49"/>
  <c r="D129" i="49"/>
  <c r="E129" i="49"/>
  <c r="D130" i="49"/>
  <c r="E130" i="49"/>
  <c r="D131" i="49"/>
  <c r="E131" i="49"/>
  <c r="D132" i="49"/>
  <c r="E132" i="49"/>
  <c r="D133" i="49"/>
  <c r="E133" i="49"/>
  <c r="D134" i="49"/>
  <c r="E134" i="49"/>
  <c r="D135" i="49"/>
  <c r="E135" i="49"/>
  <c r="D136" i="49"/>
  <c r="E136" i="49"/>
  <c r="D137" i="49"/>
  <c r="E137" i="49"/>
  <c r="D138" i="49"/>
  <c r="E138" i="49"/>
  <c r="D139" i="49"/>
  <c r="E139" i="49"/>
  <c r="D140" i="49"/>
  <c r="E140" i="49"/>
  <c r="D141" i="49"/>
  <c r="E141" i="49"/>
  <c r="D142" i="49"/>
  <c r="E142" i="49"/>
  <c r="D143" i="49"/>
  <c r="E143" i="49"/>
  <c r="D144" i="49"/>
  <c r="E144" i="49"/>
  <c r="D145" i="49"/>
  <c r="E145" i="49"/>
  <c r="D146" i="49"/>
  <c r="E146" i="49"/>
  <c r="D147" i="49"/>
  <c r="E147" i="49"/>
  <c r="D148" i="49"/>
  <c r="E148" i="49"/>
  <c r="D149" i="49"/>
  <c r="E149" i="49"/>
  <c r="D150" i="49"/>
  <c r="E150" i="49"/>
  <c r="D151" i="49"/>
  <c r="E151" i="49"/>
  <c r="D152" i="49"/>
  <c r="E152" i="49"/>
  <c r="D153" i="49"/>
  <c r="E153" i="49"/>
  <c r="D154" i="49"/>
  <c r="E154" i="49"/>
  <c r="D155" i="49"/>
  <c r="E155" i="49"/>
  <c r="D156" i="49"/>
  <c r="E156" i="49"/>
  <c r="D157" i="49"/>
  <c r="E157" i="49"/>
  <c r="D158" i="49"/>
  <c r="E158" i="49"/>
  <c r="D159" i="49"/>
  <c r="E159" i="49"/>
  <c r="D160" i="49"/>
  <c r="E160" i="49"/>
  <c r="D161" i="49"/>
  <c r="E161" i="49"/>
  <c r="D162" i="49"/>
  <c r="E162" i="49"/>
  <c r="D163" i="49"/>
  <c r="E163" i="49"/>
  <c r="D164" i="49"/>
  <c r="E164" i="49"/>
  <c r="D165" i="49"/>
  <c r="E165" i="49"/>
  <c r="D166" i="49"/>
  <c r="E166" i="49"/>
  <c r="D167" i="49"/>
  <c r="E167" i="49"/>
  <c r="D168" i="49"/>
  <c r="E168" i="49"/>
  <c r="D169" i="49"/>
  <c r="E169" i="49"/>
  <c r="D170" i="49"/>
  <c r="E170" i="49"/>
  <c r="D171" i="49"/>
  <c r="E171" i="49"/>
  <c r="D172" i="49"/>
  <c r="E172" i="49"/>
  <c r="D173" i="49"/>
  <c r="E173" i="49"/>
  <c r="D174" i="49"/>
  <c r="E174" i="49"/>
  <c r="D175" i="49"/>
  <c r="E175" i="49"/>
  <c r="D176" i="49"/>
  <c r="E176" i="49"/>
  <c r="D177" i="49"/>
  <c r="E177" i="49"/>
  <c r="D178" i="49"/>
  <c r="E178" i="49"/>
  <c r="D179" i="49"/>
  <c r="E179" i="49"/>
  <c r="D180" i="49"/>
  <c r="E180" i="49"/>
  <c r="D181" i="49"/>
  <c r="E181" i="49"/>
  <c r="D182" i="49"/>
  <c r="E182" i="49"/>
  <c r="D183" i="49"/>
  <c r="E183" i="49"/>
  <c r="D184" i="49"/>
  <c r="E184" i="49"/>
  <c r="D185" i="49"/>
  <c r="E185" i="49"/>
  <c r="D186" i="49"/>
  <c r="E186" i="49"/>
  <c r="D187" i="49"/>
  <c r="E187" i="49"/>
  <c r="D188" i="49"/>
  <c r="E188" i="49"/>
  <c r="D189" i="49"/>
  <c r="E189" i="49"/>
  <c r="D190" i="49"/>
  <c r="E190" i="49"/>
  <c r="D191" i="49"/>
  <c r="E191" i="49"/>
  <c r="D192" i="49"/>
  <c r="E192" i="49"/>
  <c r="D193" i="49"/>
  <c r="E193" i="49"/>
  <c r="D194" i="49"/>
  <c r="E194" i="49"/>
  <c r="D195" i="49"/>
  <c r="E195" i="49"/>
  <c r="D196" i="49"/>
  <c r="E196" i="49"/>
  <c r="D197" i="49"/>
  <c r="E197" i="49"/>
  <c r="D198" i="49"/>
  <c r="E198" i="49"/>
  <c r="D199" i="49"/>
  <c r="E199" i="49"/>
  <c r="D200" i="49"/>
  <c r="E200" i="49"/>
  <c r="D201" i="49"/>
  <c r="E201" i="49"/>
  <c r="D202" i="49"/>
  <c r="E202" i="49"/>
  <c r="D203" i="49"/>
  <c r="E203" i="49"/>
  <c r="D204" i="49"/>
  <c r="E204" i="49"/>
  <c r="D205" i="49"/>
  <c r="E205" i="49"/>
  <c r="D206" i="49"/>
  <c r="E206" i="49"/>
  <c r="D207" i="49"/>
  <c r="E207" i="49"/>
  <c r="D208" i="49"/>
  <c r="E208" i="49"/>
  <c r="D209" i="49"/>
  <c r="E209" i="49"/>
  <c r="D210" i="49"/>
  <c r="E210" i="49"/>
  <c r="D211" i="49"/>
  <c r="E211" i="49"/>
  <c r="D212" i="49"/>
  <c r="E212" i="49"/>
  <c r="D213" i="49"/>
  <c r="E213" i="49"/>
  <c r="D214" i="49"/>
  <c r="E214" i="49"/>
  <c r="D215" i="49"/>
  <c r="E215" i="49"/>
  <c r="D216" i="49"/>
  <c r="E216" i="49"/>
  <c r="D217" i="49"/>
  <c r="E217" i="49"/>
  <c r="D218" i="49"/>
  <c r="E218" i="49"/>
  <c r="D219" i="49"/>
  <c r="E219" i="49"/>
  <c r="D220" i="49"/>
  <c r="E220" i="49"/>
  <c r="D221" i="49"/>
  <c r="E221" i="49"/>
  <c r="D222" i="49"/>
  <c r="E222" i="49"/>
  <c r="D223" i="49"/>
  <c r="E223" i="49"/>
  <c r="D224" i="49"/>
  <c r="E224" i="49"/>
  <c r="D225" i="49"/>
  <c r="E225" i="49"/>
  <c r="D226" i="49"/>
  <c r="E226" i="49"/>
  <c r="D227" i="49"/>
  <c r="E227" i="49"/>
  <c r="D228" i="49"/>
  <c r="E228" i="49"/>
  <c r="D229" i="49"/>
  <c r="E229" i="49"/>
  <c r="D230" i="49"/>
  <c r="E230" i="49"/>
  <c r="D231" i="49"/>
  <c r="E231" i="49"/>
  <c r="D232" i="49"/>
  <c r="E232" i="49"/>
  <c r="D233" i="49"/>
  <c r="E233" i="49"/>
  <c r="D234" i="49"/>
  <c r="E234" i="49"/>
  <c r="D235" i="49"/>
  <c r="E235" i="49"/>
  <c r="D236" i="49"/>
  <c r="E236" i="49"/>
  <c r="D237" i="49"/>
  <c r="E237" i="49"/>
  <c r="D238" i="49"/>
  <c r="E238" i="49"/>
  <c r="D239" i="49"/>
  <c r="E239" i="49"/>
  <c r="D240" i="49"/>
  <c r="E240" i="49"/>
  <c r="D241" i="49"/>
  <c r="E241" i="49"/>
  <c r="D242" i="49"/>
  <c r="E242" i="49"/>
  <c r="D243" i="49"/>
  <c r="E243" i="49"/>
  <c r="D244" i="49"/>
  <c r="E244" i="49"/>
  <c r="D245" i="49"/>
  <c r="E245" i="49"/>
  <c r="D246" i="49"/>
  <c r="E246" i="49"/>
  <c r="D247" i="49"/>
  <c r="E247" i="49"/>
  <c r="D248" i="49"/>
  <c r="E248" i="49"/>
  <c r="D249" i="49"/>
  <c r="E249" i="49"/>
  <c r="D250" i="49"/>
  <c r="E250" i="49"/>
  <c r="D251" i="49"/>
  <c r="E251" i="49"/>
  <c r="D252" i="49"/>
  <c r="E252" i="49"/>
  <c r="D253" i="49"/>
  <c r="E253" i="49"/>
  <c r="D254" i="49"/>
  <c r="E254" i="49"/>
  <c r="D255" i="49"/>
  <c r="E255" i="49"/>
  <c r="D256" i="49"/>
  <c r="E256" i="49"/>
  <c r="D257" i="49"/>
  <c r="E257" i="49"/>
  <c r="D258" i="49"/>
  <c r="E258" i="49"/>
  <c r="D259" i="49"/>
  <c r="E259" i="49"/>
  <c r="D260" i="49"/>
  <c r="E260" i="49"/>
  <c r="D261" i="49"/>
  <c r="E261" i="49"/>
  <c r="D262" i="49"/>
  <c r="E262" i="49"/>
  <c r="D263" i="49"/>
  <c r="E263" i="49"/>
  <c r="D264" i="49"/>
  <c r="E264" i="49"/>
  <c r="D265" i="49"/>
  <c r="E265" i="49"/>
  <c r="D266" i="49"/>
  <c r="E266" i="49"/>
  <c r="D267" i="49"/>
  <c r="E267" i="49"/>
  <c r="D268" i="49"/>
  <c r="E268" i="49"/>
  <c r="D269" i="49"/>
  <c r="E269" i="49"/>
  <c r="D270" i="49"/>
  <c r="E270" i="49"/>
  <c r="D271" i="49"/>
  <c r="E271" i="49"/>
  <c r="D272" i="49"/>
  <c r="E272" i="49"/>
  <c r="D273" i="49"/>
  <c r="E273" i="49"/>
  <c r="D274" i="49"/>
  <c r="E274" i="49"/>
  <c r="D275" i="49"/>
  <c r="E275" i="49"/>
  <c r="D276" i="49"/>
  <c r="E276" i="49"/>
  <c r="D277" i="49"/>
  <c r="E277" i="49"/>
  <c r="D278" i="49"/>
  <c r="E278" i="49"/>
  <c r="D279" i="49"/>
  <c r="E279" i="49"/>
  <c r="D280" i="49"/>
  <c r="E280" i="49"/>
  <c r="D281" i="49"/>
  <c r="E281" i="49"/>
  <c r="D282" i="49"/>
  <c r="E282" i="49"/>
  <c r="D283" i="49"/>
  <c r="E283" i="49"/>
  <c r="D284" i="49"/>
  <c r="E284" i="49"/>
  <c r="D285" i="49"/>
  <c r="E285" i="49"/>
  <c r="D286" i="49"/>
  <c r="E286" i="49"/>
  <c r="D287" i="49"/>
  <c r="E287" i="49"/>
  <c r="D288" i="49"/>
  <c r="E288" i="49"/>
  <c r="D289" i="49"/>
  <c r="E289" i="49"/>
  <c r="D290" i="49"/>
  <c r="E290" i="49"/>
  <c r="D291" i="49"/>
  <c r="E291" i="49"/>
  <c r="D292" i="49"/>
  <c r="E292" i="49"/>
  <c r="D293" i="49"/>
  <c r="E293" i="49"/>
  <c r="D294" i="49"/>
  <c r="E294" i="49"/>
  <c r="D295" i="49"/>
  <c r="E295" i="49"/>
  <c r="D296" i="49"/>
  <c r="E296" i="49"/>
  <c r="D297" i="49"/>
  <c r="E297" i="49"/>
  <c r="D298" i="49"/>
  <c r="E298" i="49"/>
  <c r="D299" i="49"/>
  <c r="E299" i="49"/>
  <c r="D300" i="49"/>
  <c r="E300" i="49"/>
  <c r="D301" i="49"/>
  <c r="E301" i="49"/>
  <c r="D302" i="49"/>
  <c r="E302" i="49"/>
  <c r="D303" i="49"/>
  <c r="E303" i="49"/>
  <c r="D304" i="49"/>
  <c r="E304" i="49"/>
  <c r="D305" i="49"/>
  <c r="E305" i="49"/>
  <c r="A7" i="13"/>
  <c r="B7" i="13"/>
  <c r="D7" i="13"/>
  <c r="A8" i="13"/>
  <c r="B8" i="13"/>
  <c r="D8" i="13"/>
  <c r="A9" i="13"/>
  <c r="B9" i="13"/>
  <c r="D9" i="13"/>
  <c r="A10" i="13"/>
  <c r="B10" i="13"/>
  <c r="D10" i="13"/>
  <c r="A11" i="13"/>
  <c r="B11" i="13"/>
  <c r="D11" i="13"/>
  <c r="A12" i="13"/>
  <c r="B12" i="13"/>
  <c r="D12" i="13"/>
  <c r="A13" i="13"/>
  <c r="B13" i="13"/>
  <c r="D13" i="13"/>
  <c r="A14" i="13"/>
  <c r="B14" i="13"/>
  <c r="D14" i="13"/>
  <c r="A15" i="13"/>
  <c r="B15" i="13"/>
  <c r="D15" i="13"/>
  <c r="A16" i="13"/>
  <c r="B16" i="13"/>
  <c r="D16" i="13"/>
  <c r="A17" i="13"/>
  <c r="B17" i="13"/>
  <c r="D17" i="13"/>
  <c r="A18" i="13"/>
  <c r="B18" i="13"/>
  <c r="D18" i="13"/>
  <c r="A19" i="13"/>
  <c r="B19" i="13"/>
  <c r="D19" i="13"/>
  <c r="A20" i="13"/>
  <c r="B20" i="13"/>
  <c r="D20" i="13"/>
  <c r="A21" i="13"/>
  <c r="B21" i="13"/>
  <c r="D21" i="13"/>
  <c r="A22" i="13"/>
  <c r="B22" i="13"/>
  <c r="D22" i="13"/>
  <c r="A23" i="13"/>
  <c r="B23" i="13"/>
  <c r="D23" i="13"/>
  <c r="A24" i="13"/>
  <c r="B24" i="13"/>
  <c r="D24" i="13"/>
  <c r="A25" i="13"/>
  <c r="B25" i="13"/>
  <c r="D25" i="13"/>
  <c r="A26" i="13"/>
  <c r="B26" i="13"/>
  <c r="D26" i="13"/>
  <c r="A27" i="13"/>
  <c r="B27" i="13"/>
  <c r="D27" i="13"/>
  <c r="A28" i="13"/>
  <c r="B28" i="13"/>
  <c r="D28" i="13"/>
  <c r="A29" i="13"/>
  <c r="B29" i="13"/>
  <c r="D29" i="13"/>
  <c r="A30" i="13"/>
  <c r="B30" i="13"/>
  <c r="D30" i="13"/>
  <c r="A31" i="13"/>
  <c r="B31" i="13"/>
  <c r="D31" i="13"/>
  <c r="A32" i="13"/>
  <c r="B32" i="13"/>
  <c r="D32" i="13"/>
  <c r="A33" i="13"/>
  <c r="B33" i="13"/>
  <c r="D33" i="13"/>
  <c r="A34" i="13"/>
  <c r="B34" i="13"/>
  <c r="D34" i="13"/>
  <c r="A35" i="13"/>
  <c r="B35" i="13"/>
  <c r="D35" i="13"/>
  <c r="A36" i="13"/>
  <c r="B36" i="13"/>
  <c r="D36" i="13"/>
  <c r="A37" i="13"/>
  <c r="B37" i="13"/>
  <c r="D37" i="13"/>
  <c r="A38" i="13"/>
  <c r="B38" i="13"/>
  <c r="D38" i="13"/>
  <c r="A39" i="13"/>
  <c r="B39" i="13"/>
  <c r="D39" i="13"/>
  <c r="A40" i="13"/>
  <c r="B40" i="13"/>
  <c r="D40" i="13"/>
  <c r="A41" i="13"/>
  <c r="B41" i="13"/>
  <c r="D41" i="13"/>
  <c r="A42" i="13"/>
  <c r="B42" i="13"/>
  <c r="D42" i="13"/>
  <c r="A43" i="13"/>
  <c r="B43" i="13"/>
  <c r="D43" i="13"/>
  <c r="A44" i="13"/>
  <c r="B44" i="13"/>
  <c r="D44" i="13"/>
  <c r="A45" i="13"/>
  <c r="B45" i="13"/>
  <c r="D45" i="13"/>
  <c r="A46" i="13"/>
  <c r="B46" i="13"/>
  <c r="D46" i="13"/>
  <c r="A47" i="13"/>
  <c r="B47" i="13"/>
  <c r="D47" i="13"/>
  <c r="A48" i="13"/>
  <c r="B48" i="13"/>
  <c r="D48" i="13"/>
  <c r="A49" i="13"/>
  <c r="B49" i="13"/>
  <c r="D49" i="13"/>
  <c r="A50" i="13"/>
  <c r="B50" i="13"/>
  <c r="D50" i="13"/>
  <c r="A51" i="13"/>
  <c r="B51" i="13"/>
  <c r="D51" i="13"/>
  <c r="A52" i="13"/>
  <c r="B52" i="13"/>
  <c r="D52" i="13"/>
  <c r="A53" i="13"/>
  <c r="B53" i="13"/>
  <c r="D53" i="13"/>
  <c r="A54" i="13"/>
  <c r="B54" i="13"/>
  <c r="D54" i="13"/>
  <c r="A55" i="13"/>
  <c r="B55" i="13"/>
  <c r="D55" i="13"/>
  <c r="A56" i="13"/>
  <c r="B56" i="13"/>
  <c r="D56" i="13"/>
  <c r="A57" i="13"/>
  <c r="B57" i="13"/>
  <c r="D57" i="13"/>
  <c r="A58" i="13"/>
  <c r="B58" i="13"/>
  <c r="D58" i="13"/>
  <c r="A59" i="13"/>
  <c r="B59" i="13"/>
  <c r="D59" i="13"/>
  <c r="A60" i="13"/>
  <c r="B60" i="13"/>
  <c r="D60" i="13"/>
  <c r="A61" i="13"/>
  <c r="B61" i="13"/>
  <c r="D61" i="13"/>
  <c r="A62" i="13"/>
  <c r="B62" i="13"/>
  <c r="D62" i="13"/>
  <c r="A63" i="13"/>
  <c r="B63" i="13"/>
  <c r="D63" i="13"/>
  <c r="A64" i="13"/>
  <c r="B64" i="13"/>
  <c r="D64" i="13"/>
  <c r="A65" i="13"/>
  <c r="B65" i="13"/>
  <c r="D65" i="13"/>
  <c r="A66" i="13"/>
  <c r="B66" i="13"/>
  <c r="D66" i="13"/>
  <c r="A67" i="13"/>
  <c r="B67" i="13"/>
  <c r="D67" i="13"/>
  <c r="A68" i="13"/>
  <c r="B68" i="13"/>
  <c r="D68" i="13"/>
  <c r="A69" i="13"/>
  <c r="B69" i="13"/>
  <c r="D69" i="13"/>
  <c r="A70" i="13"/>
  <c r="B70" i="13"/>
  <c r="D70" i="13"/>
  <c r="A71" i="13"/>
  <c r="B71" i="13"/>
  <c r="D71" i="13"/>
  <c r="A72" i="13"/>
  <c r="B72" i="13"/>
  <c r="D72" i="13"/>
  <c r="A73" i="13"/>
  <c r="B73" i="13"/>
  <c r="D73" i="13"/>
  <c r="A74" i="13"/>
  <c r="B74" i="13"/>
  <c r="D74" i="13"/>
  <c r="A75" i="13"/>
  <c r="B75" i="13"/>
  <c r="D75" i="13"/>
  <c r="A76" i="13"/>
  <c r="B76" i="13"/>
  <c r="D76" i="13"/>
  <c r="A77" i="13"/>
  <c r="B77" i="13"/>
  <c r="D77" i="13"/>
  <c r="A78" i="13"/>
  <c r="B78" i="13"/>
  <c r="D78" i="13"/>
  <c r="A79" i="13"/>
  <c r="B79" i="13"/>
  <c r="D79" i="13"/>
  <c r="A80" i="13"/>
  <c r="B80" i="13"/>
  <c r="D80" i="13"/>
  <c r="A81" i="13"/>
  <c r="B81" i="13"/>
  <c r="D81" i="13"/>
  <c r="A82" i="13"/>
  <c r="B82" i="13"/>
  <c r="D82" i="13"/>
  <c r="A83" i="13"/>
  <c r="B83" i="13"/>
  <c r="D83" i="13"/>
  <c r="A84" i="13"/>
  <c r="B84" i="13"/>
  <c r="D84" i="13"/>
  <c r="A85" i="13"/>
  <c r="B85" i="13"/>
  <c r="D85" i="13"/>
  <c r="A86" i="13"/>
  <c r="B86" i="13"/>
  <c r="D86" i="13"/>
  <c r="A87" i="13"/>
  <c r="B87" i="13"/>
  <c r="D87" i="13"/>
  <c r="A88" i="13"/>
  <c r="B88" i="13"/>
  <c r="D88" i="13"/>
  <c r="A89" i="13"/>
  <c r="B89" i="13"/>
  <c r="D89" i="13"/>
  <c r="A90" i="13"/>
  <c r="B90" i="13"/>
  <c r="D90" i="13"/>
  <c r="A91" i="13"/>
  <c r="B91" i="13"/>
  <c r="D91" i="13"/>
  <c r="A92" i="13"/>
  <c r="B92" i="13"/>
  <c r="D92" i="13"/>
  <c r="A93" i="13"/>
  <c r="B93" i="13"/>
  <c r="D93" i="13"/>
  <c r="A94" i="13"/>
  <c r="B94" i="13"/>
  <c r="D94" i="13"/>
  <c r="A95" i="13"/>
  <c r="B95" i="13"/>
  <c r="D95" i="13"/>
  <c r="A96" i="13"/>
  <c r="B96" i="13"/>
  <c r="D96" i="13"/>
  <c r="A97" i="13"/>
  <c r="B97" i="13"/>
  <c r="D97" i="13"/>
  <c r="A98" i="13"/>
  <c r="B98" i="13"/>
  <c r="D98" i="13"/>
  <c r="A99" i="13"/>
  <c r="B99" i="13"/>
  <c r="D99" i="13"/>
  <c r="A100" i="13"/>
  <c r="B100" i="13"/>
  <c r="D100" i="13"/>
  <c r="A101" i="13"/>
  <c r="B101" i="13"/>
  <c r="D101" i="13"/>
  <c r="A102" i="13"/>
  <c r="B102" i="13"/>
  <c r="D102" i="13"/>
  <c r="A103" i="13"/>
  <c r="B103" i="13"/>
  <c r="D103" i="13"/>
  <c r="A104" i="13"/>
  <c r="B104" i="13"/>
  <c r="D104" i="13"/>
  <c r="A105" i="13"/>
  <c r="B105" i="13"/>
  <c r="D105" i="13"/>
  <c r="A106" i="13"/>
  <c r="B106" i="13"/>
  <c r="D106" i="13"/>
  <c r="A107" i="13"/>
  <c r="B107" i="13"/>
  <c r="D107" i="13"/>
  <c r="A108" i="13"/>
  <c r="B108" i="13"/>
  <c r="D108" i="13"/>
  <c r="A109" i="13"/>
  <c r="B109" i="13"/>
  <c r="D109" i="13"/>
  <c r="A110" i="13"/>
  <c r="B110" i="13"/>
  <c r="D110" i="13"/>
  <c r="A111" i="13"/>
  <c r="B111" i="13"/>
  <c r="D111" i="13"/>
  <c r="A112" i="13"/>
  <c r="B112" i="13"/>
  <c r="D112" i="13"/>
  <c r="A113" i="13"/>
  <c r="B113" i="13"/>
  <c r="D113" i="13"/>
  <c r="A114" i="13"/>
  <c r="B114" i="13"/>
  <c r="D114" i="13"/>
  <c r="A115" i="13"/>
  <c r="B115" i="13"/>
  <c r="D115" i="13"/>
  <c r="A116" i="13"/>
  <c r="B116" i="13"/>
  <c r="D116" i="13"/>
  <c r="A117" i="13"/>
  <c r="B117" i="13"/>
  <c r="D117" i="13"/>
  <c r="A118" i="13"/>
  <c r="B118" i="13"/>
  <c r="D118" i="13"/>
  <c r="A119" i="13"/>
  <c r="B119" i="13"/>
  <c r="D119" i="13"/>
  <c r="A120" i="13"/>
  <c r="B120" i="13"/>
  <c r="D120" i="13"/>
  <c r="A121" i="13"/>
  <c r="B121" i="13"/>
  <c r="D121" i="13"/>
  <c r="A122" i="13"/>
  <c r="B122" i="13"/>
  <c r="D122" i="13"/>
  <c r="A123" i="13"/>
  <c r="B123" i="13"/>
  <c r="D123" i="13"/>
  <c r="A124" i="13"/>
  <c r="B124" i="13"/>
  <c r="D124" i="13"/>
  <c r="A125" i="13"/>
  <c r="B125" i="13"/>
  <c r="D125" i="13"/>
  <c r="A126" i="13"/>
  <c r="B126" i="13"/>
  <c r="D126" i="13"/>
  <c r="A127" i="13"/>
  <c r="B127" i="13"/>
  <c r="D127" i="13"/>
  <c r="A128" i="13"/>
  <c r="B128" i="13"/>
  <c r="D128" i="13"/>
  <c r="A129" i="13"/>
  <c r="B129" i="13"/>
  <c r="D129" i="13"/>
  <c r="A130" i="13"/>
  <c r="B130" i="13"/>
  <c r="D130" i="13"/>
  <c r="A131" i="13"/>
  <c r="B131" i="13"/>
  <c r="D131" i="13"/>
  <c r="A132" i="13"/>
  <c r="B132" i="13"/>
  <c r="D132" i="13"/>
  <c r="A133" i="13"/>
  <c r="B133" i="13"/>
  <c r="D133" i="13"/>
  <c r="A134" i="13"/>
  <c r="B134" i="13"/>
  <c r="D134" i="13"/>
  <c r="A135" i="13"/>
  <c r="B135" i="13"/>
  <c r="D135" i="13"/>
  <c r="A136" i="13"/>
  <c r="B136" i="13"/>
  <c r="D136" i="13"/>
  <c r="A137" i="13"/>
  <c r="B137" i="13"/>
  <c r="D137" i="13"/>
  <c r="A138" i="13"/>
  <c r="B138" i="13"/>
  <c r="D138" i="13"/>
  <c r="A139" i="13"/>
  <c r="B139" i="13"/>
  <c r="D139" i="13"/>
  <c r="A140" i="13"/>
  <c r="B140" i="13"/>
  <c r="D140" i="13"/>
  <c r="A141" i="13"/>
  <c r="B141" i="13"/>
  <c r="D141" i="13"/>
  <c r="A142" i="13"/>
  <c r="B142" i="13"/>
  <c r="D142" i="13"/>
  <c r="A143" i="13"/>
  <c r="B143" i="13"/>
  <c r="D143" i="13"/>
  <c r="A144" i="13"/>
  <c r="B144" i="13"/>
  <c r="D144" i="13"/>
  <c r="A145" i="13"/>
  <c r="B145" i="13"/>
  <c r="D145" i="13"/>
  <c r="A146" i="13"/>
  <c r="B146" i="13"/>
  <c r="D146" i="13"/>
  <c r="A147" i="13"/>
  <c r="B147" i="13"/>
  <c r="D147" i="13"/>
  <c r="A148" i="13"/>
  <c r="B148" i="13"/>
  <c r="D148" i="13"/>
  <c r="A149" i="13"/>
  <c r="B149" i="13"/>
  <c r="D149" i="13"/>
  <c r="A150" i="13"/>
  <c r="B150" i="13"/>
  <c r="D150" i="13"/>
  <c r="A151" i="13"/>
  <c r="B151" i="13"/>
  <c r="D151" i="13"/>
  <c r="A152" i="13"/>
  <c r="B152" i="13"/>
  <c r="D152" i="13"/>
  <c r="A153" i="13"/>
  <c r="B153" i="13"/>
  <c r="D153" i="13"/>
  <c r="A154" i="13"/>
  <c r="B154" i="13"/>
  <c r="D154" i="13"/>
  <c r="A155" i="13"/>
  <c r="B155" i="13"/>
  <c r="D155" i="13"/>
  <c r="A156" i="13"/>
  <c r="B156" i="13"/>
  <c r="D156" i="13"/>
  <c r="A157" i="13"/>
  <c r="B157" i="13"/>
  <c r="D157" i="13"/>
  <c r="A158" i="13"/>
  <c r="B158" i="13"/>
  <c r="D158" i="13"/>
  <c r="A159" i="13"/>
  <c r="B159" i="13"/>
  <c r="D159" i="13"/>
  <c r="A160" i="13"/>
  <c r="B160" i="13"/>
  <c r="D160" i="13"/>
  <c r="A161" i="13"/>
  <c r="B161" i="13"/>
  <c r="D161" i="13"/>
  <c r="A162" i="13"/>
  <c r="B162" i="13"/>
  <c r="D162" i="13"/>
  <c r="A163" i="13"/>
  <c r="B163" i="13"/>
  <c r="D163" i="13"/>
  <c r="A164" i="13"/>
  <c r="B164" i="13"/>
  <c r="D164" i="13"/>
  <c r="A165" i="13"/>
  <c r="B165" i="13"/>
  <c r="D165" i="13"/>
  <c r="A166" i="13"/>
  <c r="B166" i="13"/>
  <c r="D166" i="13"/>
  <c r="A167" i="13"/>
  <c r="B167" i="13"/>
  <c r="D167" i="13"/>
  <c r="A168" i="13"/>
  <c r="B168" i="13"/>
  <c r="D168" i="13"/>
  <c r="A169" i="13"/>
  <c r="B169" i="13"/>
  <c r="D169" i="13"/>
  <c r="A170" i="13"/>
  <c r="B170" i="13"/>
  <c r="D170" i="13"/>
  <c r="A171" i="13"/>
  <c r="B171" i="13"/>
  <c r="D171" i="13"/>
  <c r="A172" i="13"/>
  <c r="B172" i="13"/>
  <c r="D172" i="13"/>
  <c r="A173" i="13"/>
  <c r="B173" i="13"/>
  <c r="D173" i="13"/>
  <c r="A174" i="13"/>
  <c r="B174" i="13"/>
  <c r="D174" i="13"/>
  <c r="A175" i="13"/>
  <c r="B175" i="13"/>
  <c r="D175" i="13"/>
  <c r="A176" i="13"/>
  <c r="B176" i="13"/>
  <c r="D176" i="13"/>
  <c r="A177" i="13"/>
  <c r="B177" i="13"/>
  <c r="D177" i="13"/>
  <c r="A178" i="13"/>
  <c r="B178" i="13"/>
  <c r="D178" i="13"/>
  <c r="A179" i="13"/>
  <c r="B179" i="13"/>
  <c r="D179" i="13"/>
  <c r="A180" i="13"/>
  <c r="B180" i="13"/>
  <c r="D180" i="13"/>
  <c r="A181" i="13"/>
  <c r="B181" i="13"/>
  <c r="D181" i="13"/>
  <c r="A182" i="13"/>
  <c r="B182" i="13"/>
  <c r="D182" i="13"/>
  <c r="A183" i="13"/>
  <c r="B183" i="13"/>
  <c r="D183" i="13"/>
  <c r="A184" i="13"/>
  <c r="B184" i="13"/>
  <c r="D184" i="13"/>
  <c r="A185" i="13"/>
  <c r="B185" i="13"/>
  <c r="D185" i="13"/>
  <c r="A186" i="13"/>
  <c r="B186" i="13"/>
  <c r="D186" i="13"/>
  <c r="A187" i="13"/>
  <c r="B187" i="13"/>
  <c r="D187" i="13"/>
  <c r="A188" i="13"/>
  <c r="B188" i="13"/>
  <c r="D188" i="13"/>
  <c r="A189" i="13"/>
  <c r="B189" i="13"/>
  <c r="D189" i="13"/>
  <c r="A190" i="13"/>
  <c r="B190" i="13"/>
  <c r="D190" i="13"/>
  <c r="A191" i="13"/>
  <c r="B191" i="13"/>
  <c r="D191" i="13"/>
  <c r="A192" i="13"/>
  <c r="B192" i="13"/>
  <c r="D192" i="13"/>
  <c r="A193" i="13"/>
  <c r="B193" i="13"/>
  <c r="D193" i="13"/>
  <c r="A194" i="13"/>
  <c r="B194" i="13"/>
  <c r="D194" i="13"/>
  <c r="A195" i="13"/>
  <c r="B195" i="13"/>
  <c r="D195" i="13"/>
  <c r="A196" i="13"/>
  <c r="B196" i="13"/>
  <c r="D196" i="13"/>
  <c r="A197" i="13"/>
  <c r="B197" i="13"/>
  <c r="D197" i="13"/>
  <c r="A198" i="13"/>
  <c r="B198" i="13"/>
  <c r="D198" i="13"/>
  <c r="A199" i="13"/>
  <c r="B199" i="13"/>
  <c r="D199" i="13"/>
  <c r="A200" i="13"/>
  <c r="B200" i="13"/>
  <c r="D200" i="13"/>
  <c r="A201" i="13"/>
  <c r="B201" i="13"/>
  <c r="D201" i="13"/>
  <c r="A202" i="13"/>
  <c r="B202" i="13"/>
  <c r="D202" i="13"/>
  <c r="A203" i="13"/>
  <c r="B203" i="13"/>
  <c r="D203" i="13"/>
  <c r="A204" i="13"/>
  <c r="B204" i="13"/>
  <c r="D204" i="13"/>
  <c r="A205" i="13"/>
  <c r="B205" i="13"/>
  <c r="D205" i="13"/>
  <c r="A206" i="13"/>
  <c r="B206" i="13"/>
  <c r="D206" i="13"/>
  <c r="A207" i="13"/>
  <c r="B207" i="13"/>
  <c r="D207" i="13"/>
  <c r="A208" i="13"/>
  <c r="B208" i="13"/>
  <c r="D208" i="13"/>
  <c r="A209" i="13"/>
  <c r="B209" i="13"/>
  <c r="D209" i="13"/>
  <c r="A210" i="13"/>
  <c r="B210" i="13"/>
  <c r="D210" i="13"/>
  <c r="A211" i="13"/>
  <c r="B211" i="13"/>
  <c r="D211" i="13"/>
  <c r="A212" i="13"/>
  <c r="B212" i="13"/>
  <c r="D212" i="13"/>
  <c r="A213" i="13"/>
  <c r="B213" i="13"/>
  <c r="D213" i="13"/>
  <c r="A214" i="13"/>
  <c r="B214" i="13"/>
  <c r="D214" i="13"/>
  <c r="A215" i="13"/>
  <c r="B215" i="13"/>
  <c r="D215" i="13"/>
  <c r="A216" i="13"/>
  <c r="B216" i="13"/>
  <c r="D216" i="13"/>
  <c r="A217" i="13"/>
  <c r="B217" i="13"/>
  <c r="D217" i="13"/>
  <c r="A218" i="13"/>
  <c r="B218" i="13"/>
  <c r="D218" i="13"/>
  <c r="A219" i="13"/>
  <c r="B219" i="13"/>
  <c r="D219" i="13"/>
  <c r="A220" i="13"/>
  <c r="B220" i="13"/>
  <c r="D220" i="13"/>
  <c r="A221" i="13"/>
  <c r="B221" i="13"/>
  <c r="D221" i="13"/>
  <c r="A222" i="13"/>
  <c r="B222" i="13"/>
  <c r="D222" i="13"/>
  <c r="A223" i="13"/>
  <c r="B223" i="13"/>
  <c r="D223" i="13"/>
  <c r="A224" i="13"/>
  <c r="B224" i="13"/>
  <c r="D224" i="13"/>
  <c r="A225" i="13"/>
  <c r="B225" i="13"/>
  <c r="D225" i="13"/>
  <c r="A226" i="13"/>
  <c r="B226" i="13"/>
  <c r="D226" i="13"/>
  <c r="A227" i="13"/>
  <c r="B227" i="13"/>
  <c r="D227" i="13"/>
  <c r="A228" i="13"/>
  <c r="B228" i="13"/>
  <c r="D228" i="13"/>
  <c r="A229" i="13"/>
  <c r="B229" i="13"/>
  <c r="D229" i="13"/>
  <c r="A230" i="13"/>
  <c r="B230" i="13"/>
  <c r="D230" i="13"/>
  <c r="A231" i="13"/>
  <c r="B231" i="13"/>
  <c r="D231" i="13"/>
  <c r="A232" i="13"/>
  <c r="B232" i="13"/>
  <c r="D232" i="13"/>
  <c r="A233" i="13"/>
  <c r="B233" i="13"/>
  <c r="D233" i="13"/>
  <c r="A234" i="13"/>
  <c r="B234" i="13"/>
  <c r="D234" i="13"/>
  <c r="A235" i="13"/>
  <c r="B235" i="13"/>
  <c r="D235" i="13"/>
  <c r="A236" i="13"/>
  <c r="B236" i="13"/>
  <c r="D236" i="13"/>
  <c r="A237" i="13"/>
  <c r="B237" i="13"/>
  <c r="D237" i="13"/>
  <c r="A238" i="13"/>
  <c r="B238" i="13"/>
  <c r="D238" i="13"/>
  <c r="A239" i="13"/>
  <c r="B239" i="13"/>
  <c r="D239" i="13"/>
  <c r="A240" i="13"/>
  <c r="B240" i="13"/>
  <c r="D240" i="13"/>
  <c r="A241" i="13"/>
  <c r="B241" i="13"/>
  <c r="D241" i="13"/>
  <c r="A242" i="13"/>
  <c r="B242" i="13"/>
  <c r="D242" i="13"/>
  <c r="A243" i="13"/>
  <c r="B243" i="13"/>
  <c r="D243" i="13"/>
  <c r="A244" i="13"/>
  <c r="B244" i="13"/>
  <c r="D244" i="13"/>
  <c r="A245" i="13"/>
  <c r="B245" i="13"/>
  <c r="D245" i="13"/>
  <c r="A246" i="13"/>
  <c r="B246" i="13"/>
  <c r="D246" i="13"/>
  <c r="A247" i="13"/>
  <c r="B247" i="13"/>
  <c r="D247" i="13"/>
  <c r="A248" i="13"/>
  <c r="B248" i="13"/>
  <c r="D248" i="13"/>
  <c r="A249" i="13"/>
  <c r="B249" i="13"/>
  <c r="D249" i="13"/>
  <c r="A250" i="13"/>
  <c r="B250" i="13"/>
  <c r="D250" i="13"/>
  <c r="A251" i="13"/>
  <c r="B251" i="13"/>
  <c r="D251" i="13"/>
  <c r="A252" i="13"/>
  <c r="B252" i="13"/>
  <c r="D252" i="13"/>
  <c r="A253" i="13"/>
  <c r="B253" i="13"/>
  <c r="D253" i="13"/>
  <c r="A254" i="13"/>
  <c r="B254" i="13"/>
  <c r="D254" i="13"/>
  <c r="A255" i="13"/>
  <c r="B255" i="13"/>
  <c r="D255" i="13"/>
  <c r="A256" i="13"/>
  <c r="B256" i="13"/>
  <c r="D256" i="13"/>
  <c r="A257" i="13"/>
  <c r="B257" i="13"/>
  <c r="D257" i="13"/>
  <c r="A258" i="13"/>
  <c r="B258" i="13"/>
  <c r="D258" i="13"/>
  <c r="A259" i="13"/>
  <c r="B259" i="13"/>
  <c r="D259" i="13"/>
  <c r="A260" i="13"/>
  <c r="B260" i="13"/>
  <c r="D260" i="13"/>
  <c r="A261" i="13"/>
  <c r="B261" i="13"/>
  <c r="D261" i="13"/>
  <c r="A262" i="13"/>
  <c r="B262" i="13"/>
  <c r="D262" i="13"/>
  <c r="A263" i="13"/>
  <c r="B263" i="13"/>
  <c r="D263" i="13"/>
  <c r="A264" i="13"/>
  <c r="B264" i="13"/>
  <c r="D264" i="13"/>
  <c r="A265" i="13"/>
  <c r="B265" i="13"/>
  <c r="D265" i="13"/>
  <c r="A266" i="13"/>
  <c r="B266" i="13"/>
  <c r="D266" i="13"/>
  <c r="A267" i="13"/>
  <c r="B267" i="13"/>
  <c r="D267" i="13"/>
  <c r="A268" i="13"/>
  <c r="B268" i="13"/>
  <c r="D268" i="13"/>
  <c r="A269" i="13"/>
  <c r="B269" i="13"/>
  <c r="D269" i="13"/>
  <c r="A270" i="13"/>
  <c r="B270" i="13"/>
  <c r="D270" i="13"/>
  <c r="A271" i="13"/>
  <c r="B271" i="13"/>
  <c r="D271" i="13"/>
  <c r="A272" i="13"/>
  <c r="B272" i="13"/>
  <c r="D272" i="13"/>
  <c r="A273" i="13"/>
  <c r="B273" i="13"/>
  <c r="D273" i="13"/>
  <c r="A274" i="13"/>
  <c r="B274" i="13"/>
  <c r="D274" i="13"/>
  <c r="A275" i="13"/>
  <c r="B275" i="13"/>
  <c r="D275" i="13"/>
  <c r="A276" i="13"/>
  <c r="B276" i="13"/>
  <c r="D276" i="13"/>
  <c r="A277" i="13"/>
  <c r="B277" i="13"/>
  <c r="D277" i="13"/>
  <c r="A278" i="13"/>
  <c r="B278" i="13"/>
  <c r="D278" i="13"/>
  <c r="A279" i="13"/>
  <c r="B279" i="13"/>
  <c r="D279" i="13"/>
  <c r="A280" i="13"/>
  <c r="B280" i="13"/>
  <c r="D280" i="13"/>
  <c r="A281" i="13"/>
  <c r="B281" i="13"/>
  <c r="D281" i="13"/>
  <c r="A282" i="13"/>
  <c r="B282" i="13"/>
  <c r="D282" i="13"/>
  <c r="A283" i="13"/>
  <c r="B283" i="13"/>
  <c r="D283" i="13"/>
  <c r="A284" i="13"/>
  <c r="B284" i="13"/>
  <c r="D284" i="13"/>
  <c r="A285" i="13"/>
  <c r="B285" i="13"/>
  <c r="D285" i="13"/>
  <c r="A286" i="13"/>
  <c r="B286" i="13"/>
  <c r="D286" i="13"/>
  <c r="A287" i="13"/>
  <c r="B287" i="13"/>
  <c r="D287" i="13"/>
  <c r="A288" i="13"/>
  <c r="B288" i="13"/>
  <c r="D288" i="13"/>
  <c r="A289" i="13"/>
  <c r="B289" i="13"/>
  <c r="D289" i="13"/>
  <c r="A290" i="13"/>
  <c r="B290" i="13"/>
  <c r="D290" i="13"/>
  <c r="A291" i="13"/>
  <c r="B291" i="13"/>
  <c r="D291" i="13"/>
  <c r="A292" i="13"/>
  <c r="B292" i="13"/>
  <c r="D292" i="13"/>
  <c r="A293" i="13"/>
  <c r="B293" i="13"/>
  <c r="D293" i="13"/>
  <c r="A294" i="13"/>
  <c r="B294" i="13"/>
  <c r="D294" i="13"/>
  <c r="A295" i="13"/>
  <c r="B295" i="13"/>
  <c r="D295" i="13"/>
  <c r="A296" i="13"/>
  <c r="B296" i="13"/>
  <c r="D296" i="13"/>
  <c r="A297" i="13"/>
  <c r="B297" i="13"/>
  <c r="D297" i="13"/>
  <c r="A298" i="13"/>
  <c r="B298" i="13"/>
  <c r="D298" i="13"/>
  <c r="A299" i="13"/>
  <c r="B299" i="13"/>
  <c r="D299" i="13"/>
  <c r="A300" i="13"/>
  <c r="B300" i="13"/>
  <c r="D300" i="13"/>
  <c r="A301" i="13"/>
  <c r="B301" i="13"/>
  <c r="D301" i="13"/>
  <c r="A302" i="13"/>
  <c r="B302" i="13"/>
  <c r="D302" i="13"/>
  <c r="A303" i="13"/>
  <c r="B303" i="13"/>
  <c r="D303" i="13"/>
  <c r="A304" i="13"/>
  <c r="B304" i="13"/>
  <c r="D304" i="13"/>
  <c r="A305" i="13"/>
  <c r="B305" i="13"/>
  <c r="D305" i="13"/>
  <c r="A7" i="39"/>
  <c r="B7" i="39"/>
  <c r="A8" i="39"/>
  <c r="B8" i="39"/>
  <c r="A9" i="39"/>
  <c r="B9" i="39"/>
  <c r="A10" i="39"/>
  <c r="B10" i="39"/>
  <c r="A11" i="39"/>
  <c r="B11" i="39"/>
  <c r="A12" i="39"/>
  <c r="B12" i="39"/>
  <c r="A13" i="39"/>
  <c r="B13" i="39"/>
  <c r="A14" i="39"/>
  <c r="B14" i="39"/>
  <c r="A15" i="39"/>
  <c r="B15" i="39"/>
  <c r="A16" i="39"/>
  <c r="B16" i="39"/>
  <c r="A17" i="39"/>
  <c r="B17" i="39"/>
  <c r="A18" i="39"/>
  <c r="B18" i="39"/>
  <c r="A19" i="39"/>
  <c r="B19" i="39"/>
  <c r="A20" i="39"/>
  <c r="B20" i="39"/>
  <c r="A21" i="39"/>
  <c r="B21" i="39"/>
  <c r="A22" i="39"/>
  <c r="B22" i="39"/>
  <c r="A23" i="39"/>
  <c r="B23" i="39"/>
  <c r="A24" i="39"/>
  <c r="B24" i="39"/>
  <c r="A25" i="39"/>
  <c r="B25" i="39"/>
  <c r="A26" i="39"/>
  <c r="B26" i="39"/>
  <c r="A27" i="39"/>
  <c r="B27" i="39"/>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A44" i="39"/>
  <c r="B44" i="39"/>
  <c r="A45" i="39"/>
  <c r="B45" i="39"/>
  <c r="A46" i="39"/>
  <c r="B46" i="39"/>
  <c r="A47" i="39"/>
  <c r="B47" i="39"/>
  <c r="A48" i="39"/>
  <c r="B48" i="39"/>
  <c r="A49" i="39"/>
  <c r="B49" i="39"/>
  <c r="A50" i="39"/>
  <c r="B50" i="39"/>
  <c r="A51" i="39"/>
  <c r="B51" i="39"/>
  <c r="A52" i="39"/>
  <c r="B52" i="39"/>
  <c r="A53" i="39"/>
  <c r="B53" i="39"/>
  <c r="A54" i="39"/>
  <c r="B54" i="39"/>
  <c r="A55" i="39"/>
  <c r="B55" i="39"/>
  <c r="A56" i="39"/>
  <c r="B56" i="39"/>
  <c r="A57" i="39"/>
  <c r="B57" i="39"/>
  <c r="A58" i="39"/>
  <c r="B58" i="39"/>
  <c r="A59" i="39"/>
  <c r="B59" i="39"/>
  <c r="A60" i="39"/>
  <c r="B60" i="39"/>
  <c r="A61" i="39"/>
  <c r="B61" i="39"/>
  <c r="A62" i="39"/>
  <c r="B62" i="39"/>
  <c r="A63" i="39"/>
  <c r="B63" i="39"/>
  <c r="A64" i="39"/>
  <c r="B64" i="39"/>
  <c r="A65" i="39"/>
  <c r="B65" i="39"/>
  <c r="A66" i="39"/>
  <c r="B66" i="39"/>
  <c r="A67" i="39"/>
  <c r="B67" i="39"/>
  <c r="A68" i="39"/>
  <c r="B68" i="39"/>
  <c r="A69" i="39"/>
  <c r="B69" i="39"/>
  <c r="A70" i="39"/>
  <c r="B70" i="39"/>
  <c r="A71" i="39"/>
  <c r="B71" i="39"/>
  <c r="A72" i="39"/>
  <c r="B72" i="39"/>
  <c r="A73" i="39"/>
  <c r="B73" i="39"/>
  <c r="A74" i="39"/>
  <c r="B74" i="39"/>
  <c r="A75" i="39"/>
  <c r="B75" i="39"/>
  <c r="A76" i="39"/>
  <c r="B76" i="39"/>
  <c r="A77" i="39"/>
  <c r="B77" i="39"/>
  <c r="A78" i="39"/>
  <c r="B78" i="39"/>
  <c r="A79" i="39"/>
  <c r="B79" i="39"/>
  <c r="A80" i="39"/>
  <c r="B80" i="39"/>
  <c r="A81" i="39"/>
  <c r="B81" i="39"/>
  <c r="A82" i="39"/>
  <c r="B82" i="39"/>
  <c r="A83" i="39"/>
  <c r="B83" i="39"/>
  <c r="A84" i="39"/>
  <c r="B84" i="39"/>
  <c r="A85" i="39"/>
  <c r="B85" i="39"/>
  <c r="A86" i="39"/>
  <c r="B86" i="39"/>
  <c r="A87" i="39"/>
  <c r="B87" i="39"/>
  <c r="A88" i="39"/>
  <c r="B88" i="39"/>
  <c r="A89" i="39"/>
  <c r="B89" i="39"/>
  <c r="A90" i="39"/>
  <c r="B90" i="39"/>
  <c r="A91" i="39"/>
  <c r="B91" i="39"/>
  <c r="A92" i="39"/>
  <c r="B92" i="39"/>
  <c r="A93" i="39"/>
  <c r="B93" i="39"/>
  <c r="A94" i="39"/>
  <c r="B94" i="39"/>
  <c r="A95" i="39"/>
  <c r="B95" i="39"/>
  <c r="A96" i="39"/>
  <c r="B96" i="39"/>
  <c r="A97" i="39"/>
  <c r="B97" i="39"/>
  <c r="A98" i="39"/>
  <c r="B98" i="39"/>
  <c r="A99" i="39"/>
  <c r="B99" i="39"/>
  <c r="A100" i="39"/>
  <c r="B100" i="39"/>
  <c r="A101" i="39"/>
  <c r="B101" i="39"/>
  <c r="A102" i="39"/>
  <c r="B102" i="39"/>
  <c r="A103" i="39"/>
  <c r="B103" i="39"/>
  <c r="A104" i="39"/>
  <c r="B104" i="39"/>
  <c r="A105" i="39"/>
  <c r="B105" i="39"/>
  <c r="A106" i="39"/>
  <c r="B106" i="39"/>
  <c r="A107" i="39"/>
  <c r="B107" i="39"/>
  <c r="A108" i="39"/>
  <c r="B108" i="39"/>
  <c r="A109" i="39"/>
  <c r="B109" i="39"/>
  <c r="A110" i="39"/>
  <c r="B110" i="39"/>
  <c r="A111" i="39"/>
  <c r="B111" i="39"/>
  <c r="A112" i="39"/>
  <c r="B112" i="39"/>
  <c r="A113" i="39"/>
  <c r="B113" i="39"/>
  <c r="A114" i="39"/>
  <c r="B114" i="39"/>
  <c r="A115" i="39"/>
  <c r="B115" i="39"/>
  <c r="A116" i="39"/>
  <c r="B116" i="39"/>
  <c r="A117" i="39"/>
  <c r="B117" i="39"/>
  <c r="A118" i="39"/>
  <c r="B118" i="39"/>
  <c r="A119" i="39"/>
  <c r="B119" i="39"/>
  <c r="A120" i="39"/>
  <c r="B120" i="39"/>
  <c r="A121" i="39"/>
  <c r="B121" i="39"/>
  <c r="A122" i="39"/>
  <c r="B122" i="39"/>
  <c r="A123" i="39"/>
  <c r="B123" i="39"/>
  <c r="A124" i="39"/>
  <c r="B124" i="39"/>
  <c r="A125" i="39"/>
  <c r="B125" i="39"/>
  <c r="A126" i="39"/>
  <c r="B126" i="39"/>
  <c r="A127" i="39"/>
  <c r="B127" i="39"/>
  <c r="A128" i="39"/>
  <c r="B128" i="39"/>
  <c r="A129" i="39"/>
  <c r="B129" i="39"/>
  <c r="A130" i="39"/>
  <c r="B130" i="39"/>
  <c r="A131" i="39"/>
  <c r="B131" i="39"/>
  <c r="A132" i="39"/>
  <c r="B132" i="39"/>
  <c r="A133" i="39"/>
  <c r="B133" i="39"/>
  <c r="A134" i="39"/>
  <c r="B134" i="39"/>
  <c r="A135" i="39"/>
  <c r="B135" i="39"/>
  <c r="A136" i="39"/>
  <c r="B136" i="39"/>
  <c r="A137" i="39"/>
  <c r="B137" i="39"/>
  <c r="A138" i="39"/>
  <c r="B138" i="39"/>
  <c r="A139" i="39"/>
  <c r="B139" i="39"/>
  <c r="A140" i="39"/>
  <c r="B140" i="39"/>
  <c r="A141" i="39"/>
  <c r="B141" i="39"/>
  <c r="A142" i="39"/>
  <c r="B142" i="39"/>
  <c r="A143" i="39"/>
  <c r="B143" i="39"/>
  <c r="A144" i="39"/>
  <c r="B144" i="39"/>
  <c r="A145" i="39"/>
  <c r="B145" i="39"/>
  <c r="A146" i="39"/>
  <c r="B146" i="39"/>
  <c r="A147" i="39"/>
  <c r="B147" i="39"/>
  <c r="A148" i="39"/>
  <c r="B148" i="39"/>
  <c r="A149" i="39"/>
  <c r="B149" i="39"/>
  <c r="A150" i="39"/>
  <c r="B150" i="39"/>
  <c r="A151" i="39"/>
  <c r="B151" i="39"/>
  <c r="A152" i="39"/>
  <c r="B152" i="39"/>
  <c r="A153" i="39"/>
  <c r="B153" i="39"/>
  <c r="A154" i="39"/>
  <c r="B154" i="39"/>
  <c r="A155" i="39"/>
  <c r="B155" i="39"/>
  <c r="A156" i="39"/>
  <c r="B156" i="39"/>
  <c r="A157" i="39"/>
  <c r="B157" i="39"/>
  <c r="A158" i="39"/>
  <c r="B158" i="39"/>
  <c r="A159" i="39"/>
  <c r="B159" i="39"/>
  <c r="A160" i="39"/>
  <c r="B160" i="39"/>
  <c r="A161" i="39"/>
  <c r="B161" i="39"/>
  <c r="A162" i="39"/>
  <c r="B162" i="39"/>
  <c r="A163" i="39"/>
  <c r="B163" i="39"/>
  <c r="A164" i="39"/>
  <c r="B164" i="39"/>
  <c r="A165" i="39"/>
  <c r="B165" i="39"/>
  <c r="A166" i="39"/>
  <c r="B166" i="39"/>
  <c r="A167" i="39"/>
  <c r="B167" i="39"/>
  <c r="A168" i="39"/>
  <c r="B168" i="39"/>
  <c r="A169" i="39"/>
  <c r="B169" i="39"/>
  <c r="A170" i="39"/>
  <c r="B170" i="39"/>
  <c r="A171" i="39"/>
  <c r="B171" i="39"/>
  <c r="A172" i="39"/>
  <c r="B172" i="39"/>
  <c r="A173" i="39"/>
  <c r="B173" i="39"/>
  <c r="A174" i="39"/>
  <c r="B174" i="39"/>
  <c r="A175" i="39"/>
  <c r="B175" i="39"/>
  <c r="A176" i="39"/>
  <c r="B176" i="39"/>
  <c r="A177" i="39"/>
  <c r="B177" i="39"/>
  <c r="A178" i="39"/>
  <c r="B178" i="39"/>
  <c r="A179" i="39"/>
  <c r="B179" i="39"/>
  <c r="A180" i="39"/>
  <c r="B180" i="39"/>
  <c r="A181" i="39"/>
  <c r="B181" i="39"/>
  <c r="A182" i="39"/>
  <c r="B182" i="39"/>
  <c r="A183" i="39"/>
  <c r="B183" i="39"/>
  <c r="A184" i="39"/>
  <c r="B184" i="39"/>
  <c r="A185" i="39"/>
  <c r="B185" i="39"/>
  <c r="A186" i="39"/>
  <c r="B186" i="39"/>
  <c r="A187" i="39"/>
  <c r="B187" i="39"/>
  <c r="A188" i="39"/>
  <c r="B188" i="39"/>
  <c r="A189" i="39"/>
  <c r="B189" i="39"/>
  <c r="A190" i="39"/>
  <c r="B190" i="39"/>
  <c r="A191" i="39"/>
  <c r="B191" i="39"/>
  <c r="A192" i="39"/>
  <c r="B192" i="39"/>
  <c r="A193" i="39"/>
  <c r="B193" i="39"/>
  <c r="A194" i="39"/>
  <c r="B194" i="39"/>
  <c r="A195" i="39"/>
  <c r="B195" i="39"/>
  <c r="A196" i="39"/>
  <c r="B196" i="39"/>
  <c r="A197" i="39"/>
  <c r="B197" i="39"/>
  <c r="A198" i="39"/>
  <c r="B198" i="39"/>
  <c r="A199" i="39"/>
  <c r="B199" i="39"/>
  <c r="A200" i="39"/>
  <c r="B200" i="39"/>
  <c r="A201" i="39"/>
  <c r="B201" i="39"/>
  <c r="A202" i="39"/>
  <c r="B202" i="39"/>
  <c r="A203" i="39"/>
  <c r="B203" i="39"/>
  <c r="A204" i="39"/>
  <c r="B204" i="39"/>
  <c r="A205" i="39"/>
  <c r="B205" i="39"/>
  <c r="A206" i="39"/>
  <c r="B206" i="39"/>
  <c r="A207" i="39"/>
  <c r="B207" i="39"/>
  <c r="A208" i="39"/>
  <c r="B208" i="39"/>
  <c r="A209" i="39"/>
  <c r="B209" i="39"/>
  <c r="A210" i="39"/>
  <c r="B210" i="39"/>
  <c r="A211" i="39"/>
  <c r="B211" i="39"/>
  <c r="A212" i="39"/>
  <c r="B212" i="39"/>
  <c r="A213" i="39"/>
  <c r="B213" i="39"/>
  <c r="A214" i="39"/>
  <c r="B214" i="39"/>
  <c r="A215" i="39"/>
  <c r="B215" i="39"/>
  <c r="A216" i="39"/>
  <c r="B216" i="39"/>
  <c r="A217" i="39"/>
  <c r="B217" i="39"/>
  <c r="A218" i="39"/>
  <c r="B218" i="39"/>
  <c r="A219" i="39"/>
  <c r="B219" i="39"/>
  <c r="A220" i="39"/>
  <c r="B220" i="39"/>
  <c r="A221" i="39"/>
  <c r="B221" i="39"/>
  <c r="A222" i="39"/>
  <c r="B222" i="39"/>
  <c r="A223" i="39"/>
  <c r="B223" i="39"/>
  <c r="A224" i="39"/>
  <c r="B224" i="39"/>
  <c r="A225" i="39"/>
  <c r="B225" i="39"/>
  <c r="A226" i="39"/>
  <c r="B226" i="39"/>
  <c r="A227" i="39"/>
  <c r="B227" i="39"/>
  <c r="A228" i="39"/>
  <c r="B228" i="39"/>
  <c r="A229" i="39"/>
  <c r="B229" i="39"/>
  <c r="A230" i="39"/>
  <c r="B230" i="39"/>
  <c r="A231" i="39"/>
  <c r="B231" i="39"/>
  <c r="A232" i="39"/>
  <c r="B232" i="39"/>
  <c r="A233" i="39"/>
  <c r="B233" i="39"/>
  <c r="A234" i="39"/>
  <c r="B234" i="39"/>
  <c r="A235" i="39"/>
  <c r="B235" i="39"/>
  <c r="A236" i="39"/>
  <c r="B236" i="39"/>
  <c r="A237" i="39"/>
  <c r="B237" i="39"/>
  <c r="A238" i="39"/>
  <c r="B238" i="39"/>
  <c r="A239" i="39"/>
  <c r="B239" i="39"/>
  <c r="A240" i="39"/>
  <c r="B240" i="39"/>
  <c r="A241" i="39"/>
  <c r="B241" i="39"/>
  <c r="A242" i="39"/>
  <c r="B242" i="39"/>
  <c r="A243" i="39"/>
  <c r="B243" i="39"/>
  <c r="A244" i="39"/>
  <c r="B244" i="39"/>
  <c r="A245" i="39"/>
  <c r="B245" i="39"/>
  <c r="A246" i="39"/>
  <c r="B246" i="39"/>
  <c r="A247" i="39"/>
  <c r="B247" i="39"/>
  <c r="A248" i="39"/>
  <c r="B248" i="39"/>
  <c r="A249" i="39"/>
  <c r="B249" i="39"/>
  <c r="A250" i="39"/>
  <c r="B250" i="39"/>
  <c r="A251" i="39"/>
  <c r="B251" i="39"/>
  <c r="A252" i="39"/>
  <c r="B252" i="39"/>
  <c r="A253" i="39"/>
  <c r="B253" i="39"/>
  <c r="A254" i="39"/>
  <c r="B254" i="39"/>
  <c r="A255" i="39"/>
  <c r="B255" i="39"/>
  <c r="A256" i="39"/>
  <c r="B256" i="39"/>
  <c r="A257" i="39"/>
  <c r="B257" i="39"/>
  <c r="A258" i="39"/>
  <c r="B258" i="39"/>
  <c r="A259" i="39"/>
  <c r="B259" i="39"/>
  <c r="A260" i="39"/>
  <c r="B260" i="39"/>
  <c r="A261" i="39"/>
  <c r="B261" i="39"/>
  <c r="A262" i="39"/>
  <c r="B262" i="39"/>
  <c r="A263" i="39"/>
  <c r="B263" i="39"/>
  <c r="A264" i="39"/>
  <c r="B264" i="39"/>
  <c r="A265" i="39"/>
  <c r="B265" i="39"/>
  <c r="A266" i="39"/>
  <c r="B266" i="39"/>
  <c r="A267" i="39"/>
  <c r="B267" i="39"/>
  <c r="A268" i="39"/>
  <c r="B268" i="39"/>
  <c r="A269" i="39"/>
  <c r="B269" i="39"/>
  <c r="A270" i="39"/>
  <c r="B270" i="39"/>
  <c r="A271" i="39"/>
  <c r="B271" i="39"/>
  <c r="A272" i="39"/>
  <c r="B272" i="39"/>
  <c r="A273" i="39"/>
  <c r="B273" i="39"/>
  <c r="A274" i="39"/>
  <c r="B274" i="39"/>
  <c r="A275" i="39"/>
  <c r="B275" i="39"/>
  <c r="A276" i="39"/>
  <c r="B276" i="39"/>
  <c r="A277" i="39"/>
  <c r="B277" i="39"/>
  <c r="A278" i="39"/>
  <c r="B278" i="39"/>
  <c r="A279" i="39"/>
  <c r="B279" i="39"/>
  <c r="A280" i="39"/>
  <c r="B280" i="39"/>
  <c r="A281" i="39"/>
  <c r="B281" i="39"/>
  <c r="A282" i="39"/>
  <c r="B282" i="39"/>
  <c r="A283" i="39"/>
  <c r="B283" i="39"/>
  <c r="A284" i="39"/>
  <c r="B284" i="39"/>
  <c r="A285" i="39"/>
  <c r="B285" i="39"/>
  <c r="A286" i="39"/>
  <c r="B286" i="39"/>
  <c r="A287" i="39"/>
  <c r="B287" i="39"/>
  <c r="A288" i="39"/>
  <c r="B288" i="39"/>
  <c r="A289" i="39"/>
  <c r="B289" i="39"/>
  <c r="A290" i="39"/>
  <c r="B290" i="39"/>
  <c r="A291" i="39"/>
  <c r="B291" i="39"/>
  <c r="A292" i="39"/>
  <c r="B292" i="39"/>
  <c r="A293" i="39"/>
  <c r="B293" i="39"/>
  <c r="A294" i="39"/>
  <c r="B294" i="39"/>
  <c r="A295" i="39"/>
  <c r="B295" i="39"/>
  <c r="A296" i="39"/>
  <c r="B296" i="39"/>
  <c r="A297" i="39"/>
  <c r="B297" i="39"/>
  <c r="A298" i="39"/>
  <c r="B298" i="39"/>
  <c r="A299" i="39"/>
  <c r="B299" i="39"/>
  <c r="A300" i="39"/>
  <c r="B300" i="39"/>
  <c r="A301" i="39"/>
  <c r="B301" i="39"/>
  <c r="A302" i="39"/>
  <c r="B302" i="39"/>
  <c r="A303" i="39"/>
  <c r="B303" i="39"/>
  <c r="A304" i="39"/>
  <c r="B304" i="39"/>
  <c r="A305" i="39"/>
  <c r="B305" i="39"/>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A201" i="12"/>
  <c r="B201" i="12"/>
  <c r="A202" i="12"/>
  <c r="B202" i="12"/>
  <c r="A203" i="12"/>
  <c r="B203" i="12"/>
  <c r="A204" i="12"/>
  <c r="B204" i="12"/>
  <c r="A205" i="12"/>
  <c r="B205" i="12"/>
  <c r="A206" i="12"/>
  <c r="B206" i="12"/>
  <c r="A207" i="12"/>
  <c r="B207" i="12"/>
  <c r="A208" i="12"/>
  <c r="B208" i="12"/>
  <c r="A209" i="12"/>
  <c r="B209" i="12"/>
  <c r="A210" i="12"/>
  <c r="B210" i="12"/>
  <c r="A211" i="12"/>
  <c r="B211" i="12"/>
  <c r="A212" i="12"/>
  <c r="B212" i="12"/>
  <c r="A213" i="12"/>
  <c r="B213" i="12"/>
  <c r="A214" i="12"/>
  <c r="B214" i="12"/>
  <c r="A215" i="12"/>
  <c r="B215" i="12"/>
  <c r="A216" i="12"/>
  <c r="B216" i="12"/>
  <c r="A217" i="12"/>
  <c r="B217" i="12"/>
  <c r="A218" i="12"/>
  <c r="B218" i="12"/>
  <c r="A219" i="12"/>
  <c r="B219" i="12"/>
  <c r="A220" i="12"/>
  <c r="B220" i="12"/>
  <c r="A221" i="12"/>
  <c r="B221" i="12"/>
  <c r="A222" i="12"/>
  <c r="B222" i="12"/>
  <c r="A223" i="12"/>
  <c r="B223" i="12"/>
  <c r="A224" i="12"/>
  <c r="B224" i="12"/>
  <c r="A225" i="12"/>
  <c r="B225" i="12"/>
  <c r="A226" i="12"/>
  <c r="B226" i="12"/>
  <c r="A227" i="12"/>
  <c r="B227" i="12"/>
  <c r="A228" i="12"/>
  <c r="B228" i="12"/>
  <c r="A229" i="12"/>
  <c r="B229" i="12"/>
  <c r="A230" i="12"/>
  <c r="B230" i="12"/>
  <c r="A231" i="12"/>
  <c r="B231" i="12"/>
  <c r="A232" i="12"/>
  <c r="B232" i="12"/>
  <c r="A233" i="12"/>
  <c r="B233" i="12"/>
  <c r="A234" i="12"/>
  <c r="B234" i="12"/>
  <c r="A235" i="12"/>
  <c r="B235" i="12"/>
  <c r="A236" i="12"/>
  <c r="B236" i="12"/>
  <c r="A237" i="12"/>
  <c r="B237" i="12"/>
  <c r="A238" i="12"/>
  <c r="B238" i="12"/>
  <c r="A239" i="12"/>
  <c r="B239" i="12"/>
  <c r="A240" i="12"/>
  <c r="B240" i="12"/>
  <c r="A241" i="12"/>
  <c r="B241" i="12"/>
  <c r="A242" i="12"/>
  <c r="B242" i="12"/>
  <c r="A243" i="12"/>
  <c r="B243" i="12"/>
  <c r="A244" i="12"/>
  <c r="B244" i="12"/>
  <c r="A245" i="12"/>
  <c r="B245" i="12"/>
  <c r="A246" i="12"/>
  <c r="B246" i="12"/>
  <c r="A247" i="12"/>
  <c r="B247" i="12"/>
  <c r="A248" i="12"/>
  <c r="B248" i="12"/>
  <c r="A249" i="12"/>
  <c r="B249" i="12"/>
  <c r="A250" i="12"/>
  <c r="B250" i="12"/>
  <c r="A251" i="12"/>
  <c r="B251" i="12"/>
  <c r="A252" i="12"/>
  <c r="B252" i="12"/>
  <c r="A253" i="12"/>
  <c r="B253" i="12"/>
  <c r="A254" i="12"/>
  <c r="B254" i="12"/>
  <c r="A255" i="12"/>
  <c r="B255" i="12"/>
  <c r="A256" i="12"/>
  <c r="B256" i="12"/>
  <c r="A257" i="12"/>
  <c r="B257" i="12"/>
  <c r="A258" i="12"/>
  <c r="B258" i="12"/>
  <c r="A259" i="12"/>
  <c r="B259" i="12"/>
  <c r="A260" i="12"/>
  <c r="B260" i="12"/>
  <c r="A261" i="12"/>
  <c r="B261" i="12"/>
  <c r="A262" i="12"/>
  <c r="B262" i="12"/>
  <c r="A263" i="12"/>
  <c r="B263" i="12"/>
  <c r="A264" i="12"/>
  <c r="B264" i="12"/>
  <c r="A265" i="12"/>
  <c r="B265" i="12"/>
  <c r="A266" i="12"/>
  <c r="B266" i="12"/>
  <c r="A267" i="12"/>
  <c r="B267" i="12"/>
  <c r="A268" i="12"/>
  <c r="B268" i="12"/>
  <c r="A269" i="12"/>
  <c r="B269" i="12"/>
  <c r="A270" i="12"/>
  <c r="B270" i="12"/>
  <c r="A271" i="12"/>
  <c r="B271" i="12"/>
  <c r="A272" i="12"/>
  <c r="B272" i="12"/>
  <c r="A273" i="12"/>
  <c r="B273" i="12"/>
  <c r="A274" i="12"/>
  <c r="B274" i="12"/>
  <c r="A275" i="12"/>
  <c r="B275" i="12"/>
  <c r="A276" i="12"/>
  <c r="B276" i="12"/>
  <c r="A277" i="12"/>
  <c r="B277" i="12"/>
  <c r="A278" i="12"/>
  <c r="B278" i="12"/>
  <c r="A279" i="12"/>
  <c r="B279" i="12"/>
  <c r="A280" i="12"/>
  <c r="B280" i="12"/>
  <c r="A281" i="12"/>
  <c r="B281" i="12"/>
  <c r="A282" i="12"/>
  <c r="B282" i="12"/>
  <c r="A283" i="12"/>
  <c r="B283" i="12"/>
  <c r="A284" i="12"/>
  <c r="B284" i="12"/>
  <c r="A285" i="12"/>
  <c r="B285" i="12"/>
  <c r="A286" i="12"/>
  <c r="B286" i="12"/>
  <c r="A287" i="12"/>
  <c r="B287" i="12"/>
  <c r="A288" i="12"/>
  <c r="B288" i="12"/>
  <c r="A289" i="12"/>
  <c r="B289" i="12"/>
  <c r="A290" i="12"/>
  <c r="B290" i="12"/>
  <c r="A291" i="12"/>
  <c r="B291" i="12"/>
  <c r="A292" i="12"/>
  <c r="B292" i="12"/>
  <c r="A293" i="12"/>
  <c r="B293" i="12"/>
  <c r="A294" i="12"/>
  <c r="B294" i="12"/>
  <c r="A295" i="12"/>
  <c r="B295" i="12"/>
  <c r="A296" i="12"/>
  <c r="B296" i="12"/>
  <c r="A297" i="12"/>
  <c r="B297" i="12"/>
  <c r="A298" i="12"/>
  <c r="B298" i="12"/>
  <c r="A299" i="12"/>
  <c r="B299" i="12"/>
  <c r="A300" i="12"/>
  <c r="B300" i="12"/>
  <c r="A301" i="12"/>
  <c r="B301" i="12"/>
  <c r="A302" i="12"/>
  <c r="B302" i="12"/>
  <c r="A303" i="12"/>
  <c r="B303" i="12"/>
  <c r="A304" i="12"/>
  <c r="B304" i="12"/>
  <c r="A305" i="12"/>
  <c r="B305" i="12"/>
  <c r="A7" i="37"/>
  <c r="B7" i="37"/>
  <c r="C7" i="37"/>
  <c r="F7" i="37"/>
  <c r="A8" i="37"/>
  <c r="B8" i="37"/>
  <c r="C8" i="37"/>
  <c r="F8" i="37"/>
  <c r="A9" i="37"/>
  <c r="B9" i="37"/>
  <c r="C9" i="37"/>
  <c r="F9" i="37"/>
  <c r="A10" i="37"/>
  <c r="B10" i="37"/>
  <c r="C10" i="37"/>
  <c r="F10" i="37"/>
  <c r="A11" i="37"/>
  <c r="B11" i="37"/>
  <c r="C11" i="37"/>
  <c r="F11" i="37"/>
  <c r="A12" i="37"/>
  <c r="B12" i="37"/>
  <c r="C12" i="37"/>
  <c r="F12" i="37"/>
  <c r="A13" i="37"/>
  <c r="B13" i="37"/>
  <c r="C13" i="37"/>
  <c r="F13" i="37"/>
  <c r="A14" i="37"/>
  <c r="B14" i="37"/>
  <c r="C14" i="37"/>
  <c r="F14" i="37"/>
  <c r="A15" i="37"/>
  <c r="B15" i="37"/>
  <c r="C15" i="37"/>
  <c r="F15" i="37"/>
  <c r="A16" i="37"/>
  <c r="B16" i="37"/>
  <c r="C16" i="37"/>
  <c r="F16" i="37"/>
  <c r="A17" i="37"/>
  <c r="B17" i="37"/>
  <c r="C17" i="37"/>
  <c r="F17" i="37"/>
  <c r="A18" i="37"/>
  <c r="B18" i="37"/>
  <c r="C18" i="37"/>
  <c r="F18" i="37"/>
  <c r="A19" i="37"/>
  <c r="B19" i="37"/>
  <c r="C19" i="37"/>
  <c r="F19" i="37"/>
  <c r="A20" i="37"/>
  <c r="B20" i="37"/>
  <c r="C20" i="37"/>
  <c r="F20" i="37"/>
  <c r="A21" i="37"/>
  <c r="B21" i="37"/>
  <c r="C21" i="37"/>
  <c r="F21" i="37"/>
  <c r="A22" i="37"/>
  <c r="B22" i="37"/>
  <c r="C22" i="37"/>
  <c r="F22" i="37"/>
  <c r="A23" i="37"/>
  <c r="B23" i="37"/>
  <c r="C23" i="37"/>
  <c r="F23" i="37"/>
  <c r="A24" i="37"/>
  <c r="B24" i="37"/>
  <c r="C24" i="37"/>
  <c r="F24" i="37"/>
  <c r="A25" i="37"/>
  <c r="B25" i="37"/>
  <c r="C25" i="37"/>
  <c r="F25" i="37"/>
  <c r="A26" i="37"/>
  <c r="B26" i="37"/>
  <c r="C26" i="37"/>
  <c r="F26" i="37"/>
  <c r="A27" i="37"/>
  <c r="B27" i="37"/>
  <c r="C27" i="37"/>
  <c r="F27" i="37"/>
  <c r="A28" i="37"/>
  <c r="B28" i="37"/>
  <c r="C28" i="37"/>
  <c r="F28" i="37"/>
  <c r="A29" i="37"/>
  <c r="B29" i="37"/>
  <c r="C29" i="37"/>
  <c r="F29" i="37"/>
  <c r="A30" i="37"/>
  <c r="B30" i="37"/>
  <c r="C30" i="37"/>
  <c r="F30" i="37"/>
  <c r="A31" i="37"/>
  <c r="B31" i="37"/>
  <c r="C31" i="37"/>
  <c r="F31" i="37"/>
  <c r="A32" i="37"/>
  <c r="B32" i="37"/>
  <c r="C32" i="37"/>
  <c r="F32" i="37"/>
  <c r="A33" i="37"/>
  <c r="B33" i="37"/>
  <c r="C33" i="37"/>
  <c r="F33" i="37"/>
  <c r="A34" i="37"/>
  <c r="B34" i="37"/>
  <c r="C34" i="37"/>
  <c r="F34" i="37"/>
  <c r="A35" i="37"/>
  <c r="B35" i="37"/>
  <c r="C35" i="37"/>
  <c r="F35" i="37"/>
  <c r="A36" i="37"/>
  <c r="B36" i="37"/>
  <c r="C36" i="37"/>
  <c r="F36" i="37"/>
  <c r="A37" i="37"/>
  <c r="B37" i="37"/>
  <c r="C37" i="37"/>
  <c r="F37" i="37"/>
  <c r="A38" i="37"/>
  <c r="B38" i="37"/>
  <c r="C38" i="37"/>
  <c r="F38" i="37"/>
  <c r="A39" i="37"/>
  <c r="B39" i="37"/>
  <c r="C39" i="37"/>
  <c r="F39" i="37"/>
  <c r="A40" i="37"/>
  <c r="B40" i="37"/>
  <c r="C40" i="37"/>
  <c r="F40" i="37"/>
  <c r="A41" i="37"/>
  <c r="B41" i="37"/>
  <c r="C41" i="37"/>
  <c r="F41" i="37"/>
  <c r="A42" i="37"/>
  <c r="B42" i="37"/>
  <c r="C42" i="37"/>
  <c r="F42" i="37"/>
  <c r="A43" i="37"/>
  <c r="B43" i="37"/>
  <c r="C43" i="37"/>
  <c r="F43" i="37"/>
  <c r="A44" i="37"/>
  <c r="B44" i="37"/>
  <c r="C44" i="37"/>
  <c r="F44" i="37"/>
  <c r="A45" i="37"/>
  <c r="B45" i="37"/>
  <c r="C45" i="37"/>
  <c r="F45" i="37"/>
  <c r="A46" i="37"/>
  <c r="B46" i="37"/>
  <c r="C46" i="37"/>
  <c r="F46" i="37"/>
  <c r="A47" i="37"/>
  <c r="B47" i="37"/>
  <c r="C47" i="37"/>
  <c r="F47" i="37"/>
  <c r="A48" i="37"/>
  <c r="B48" i="37"/>
  <c r="C48" i="37"/>
  <c r="F48" i="37"/>
  <c r="A49" i="37"/>
  <c r="B49" i="37"/>
  <c r="C49" i="37"/>
  <c r="F49" i="37"/>
  <c r="A50" i="37"/>
  <c r="B50" i="37"/>
  <c r="C50" i="37"/>
  <c r="F50" i="37"/>
  <c r="A51" i="37"/>
  <c r="B51" i="37"/>
  <c r="C51" i="37"/>
  <c r="F51" i="37"/>
  <c r="A52" i="37"/>
  <c r="B52" i="37"/>
  <c r="C52" i="37"/>
  <c r="F52" i="37"/>
  <c r="A53" i="37"/>
  <c r="B53" i="37"/>
  <c r="C53" i="37"/>
  <c r="F53" i="37"/>
  <c r="A54" i="37"/>
  <c r="B54" i="37"/>
  <c r="C54" i="37"/>
  <c r="F54" i="37"/>
  <c r="A55" i="37"/>
  <c r="B55" i="37"/>
  <c r="C55" i="37"/>
  <c r="F55" i="37"/>
  <c r="A56" i="37"/>
  <c r="B56" i="37"/>
  <c r="C56" i="37"/>
  <c r="F56" i="37"/>
  <c r="A57" i="37"/>
  <c r="B57" i="37"/>
  <c r="C57" i="37"/>
  <c r="F57" i="37"/>
  <c r="A58" i="37"/>
  <c r="B58" i="37"/>
  <c r="C58" i="37"/>
  <c r="F58" i="37"/>
  <c r="A59" i="37"/>
  <c r="B59" i="37"/>
  <c r="C59" i="37"/>
  <c r="F59" i="37"/>
  <c r="A60" i="37"/>
  <c r="B60" i="37"/>
  <c r="C60" i="37"/>
  <c r="F60" i="37"/>
  <c r="A61" i="37"/>
  <c r="B61" i="37"/>
  <c r="C61" i="37"/>
  <c r="F61" i="37"/>
  <c r="A62" i="37"/>
  <c r="B62" i="37"/>
  <c r="C62" i="37"/>
  <c r="F62" i="37"/>
  <c r="A63" i="37"/>
  <c r="B63" i="37"/>
  <c r="C63" i="37"/>
  <c r="F63" i="37"/>
  <c r="A64" i="37"/>
  <c r="B64" i="37"/>
  <c r="C64" i="37"/>
  <c r="F64" i="37"/>
  <c r="A65" i="37"/>
  <c r="B65" i="37"/>
  <c r="C65" i="37"/>
  <c r="F65" i="37"/>
  <c r="A66" i="37"/>
  <c r="B66" i="37"/>
  <c r="C66" i="37"/>
  <c r="F66" i="37"/>
  <c r="A67" i="37"/>
  <c r="B67" i="37"/>
  <c r="C67" i="37"/>
  <c r="F67" i="37"/>
  <c r="A68" i="37"/>
  <c r="B68" i="37"/>
  <c r="C68" i="37"/>
  <c r="F68" i="37"/>
  <c r="A69" i="37"/>
  <c r="B69" i="37"/>
  <c r="C69" i="37"/>
  <c r="F69" i="37"/>
  <c r="A70" i="37"/>
  <c r="B70" i="37"/>
  <c r="C70" i="37"/>
  <c r="F70" i="37"/>
  <c r="A71" i="37"/>
  <c r="B71" i="37"/>
  <c r="C71" i="37"/>
  <c r="F71" i="37"/>
  <c r="A72" i="37"/>
  <c r="B72" i="37"/>
  <c r="C72" i="37"/>
  <c r="F72" i="37"/>
  <c r="A73" i="37"/>
  <c r="B73" i="37"/>
  <c r="C73" i="37"/>
  <c r="F73" i="37"/>
  <c r="A74" i="37"/>
  <c r="B74" i="37"/>
  <c r="C74" i="37"/>
  <c r="F74" i="37"/>
  <c r="A75" i="37"/>
  <c r="B75" i="37"/>
  <c r="C75" i="37"/>
  <c r="F75" i="37"/>
  <c r="A76" i="37"/>
  <c r="B76" i="37"/>
  <c r="C76" i="37"/>
  <c r="F76" i="37"/>
  <c r="A77" i="37"/>
  <c r="B77" i="37"/>
  <c r="C77" i="37"/>
  <c r="F77" i="37"/>
  <c r="A78" i="37"/>
  <c r="B78" i="37"/>
  <c r="C78" i="37"/>
  <c r="F78" i="37"/>
  <c r="A79" i="37"/>
  <c r="B79" i="37"/>
  <c r="C79" i="37"/>
  <c r="F79" i="37"/>
  <c r="A80" i="37"/>
  <c r="B80" i="37"/>
  <c r="C80" i="37"/>
  <c r="F80" i="37"/>
  <c r="A81" i="37"/>
  <c r="B81" i="37"/>
  <c r="C81" i="37"/>
  <c r="F81" i="37"/>
  <c r="A82" i="37"/>
  <c r="B82" i="37"/>
  <c r="C82" i="37"/>
  <c r="F82" i="37"/>
  <c r="A83" i="37"/>
  <c r="B83" i="37"/>
  <c r="C83" i="37"/>
  <c r="F83" i="37"/>
  <c r="A84" i="37"/>
  <c r="B84" i="37"/>
  <c r="C84" i="37"/>
  <c r="F84" i="37"/>
  <c r="A85" i="37"/>
  <c r="B85" i="37"/>
  <c r="C85" i="37"/>
  <c r="F85" i="37"/>
  <c r="A86" i="37"/>
  <c r="B86" i="37"/>
  <c r="C86" i="37"/>
  <c r="F86" i="37"/>
  <c r="A87" i="37"/>
  <c r="B87" i="37"/>
  <c r="C87" i="37"/>
  <c r="F87" i="37"/>
  <c r="A88" i="37"/>
  <c r="B88" i="37"/>
  <c r="C88" i="37"/>
  <c r="F88" i="37"/>
  <c r="A89" i="37"/>
  <c r="B89" i="37"/>
  <c r="C89" i="37"/>
  <c r="F89" i="37"/>
  <c r="A90" i="37"/>
  <c r="B90" i="37"/>
  <c r="C90" i="37"/>
  <c r="F90" i="37"/>
  <c r="A91" i="37"/>
  <c r="B91" i="37"/>
  <c r="C91" i="37"/>
  <c r="F91" i="37"/>
  <c r="A92" i="37"/>
  <c r="B92" i="37"/>
  <c r="C92" i="37"/>
  <c r="F92" i="37"/>
  <c r="A93" i="37"/>
  <c r="B93" i="37"/>
  <c r="C93" i="37"/>
  <c r="F93" i="37"/>
  <c r="A94" i="37"/>
  <c r="B94" i="37"/>
  <c r="C94" i="37"/>
  <c r="F94" i="37"/>
  <c r="A95" i="37"/>
  <c r="B95" i="37"/>
  <c r="C95" i="37"/>
  <c r="F95" i="37"/>
  <c r="A96" i="37"/>
  <c r="B96" i="37"/>
  <c r="C96" i="37"/>
  <c r="F96" i="37"/>
  <c r="A97" i="37"/>
  <c r="B97" i="37"/>
  <c r="C97" i="37"/>
  <c r="F97" i="37"/>
  <c r="A98" i="37"/>
  <c r="B98" i="37"/>
  <c r="C98" i="37"/>
  <c r="F98" i="37"/>
  <c r="A99" i="37"/>
  <c r="B99" i="37"/>
  <c r="C99" i="37"/>
  <c r="F99" i="37"/>
  <c r="A100" i="37"/>
  <c r="B100" i="37"/>
  <c r="C100" i="37"/>
  <c r="F100" i="37"/>
  <c r="A101" i="37"/>
  <c r="B101" i="37"/>
  <c r="C101" i="37"/>
  <c r="F101" i="37"/>
  <c r="A102" i="37"/>
  <c r="B102" i="37"/>
  <c r="C102" i="37"/>
  <c r="F102" i="37"/>
  <c r="A103" i="37"/>
  <c r="B103" i="37"/>
  <c r="C103" i="37"/>
  <c r="F103" i="37"/>
  <c r="A104" i="37"/>
  <c r="B104" i="37"/>
  <c r="C104" i="37"/>
  <c r="F104" i="37"/>
  <c r="A105" i="37"/>
  <c r="B105" i="37"/>
  <c r="C105" i="37"/>
  <c r="F105" i="37"/>
  <c r="A106" i="37"/>
  <c r="B106" i="37"/>
  <c r="C106" i="37"/>
  <c r="F106" i="37"/>
  <c r="A107" i="37"/>
  <c r="B107" i="37"/>
  <c r="C107" i="37"/>
  <c r="F107" i="37"/>
  <c r="A108" i="37"/>
  <c r="B108" i="37"/>
  <c r="C108" i="37"/>
  <c r="F108" i="37"/>
  <c r="A109" i="37"/>
  <c r="B109" i="37"/>
  <c r="C109" i="37"/>
  <c r="F109" i="37"/>
  <c r="A110" i="37"/>
  <c r="B110" i="37"/>
  <c r="C110" i="37"/>
  <c r="F110" i="37"/>
  <c r="A111" i="37"/>
  <c r="B111" i="37"/>
  <c r="C111" i="37"/>
  <c r="F111" i="37"/>
  <c r="A112" i="37"/>
  <c r="B112" i="37"/>
  <c r="C112" i="37"/>
  <c r="F112" i="37"/>
  <c r="A113" i="37"/>
  <c r="B113" i="37"/>
  <c r="C113" i="37"/>
  <c r="F113" i="37"/>
  <c r="A114" i="37"/>
  <c r="B114" i="37"/>
  <c r="C114" i="37"/>
  <c r="F114" i="37"/>
  <c r="A115" i="37"/>
  <c r="B115" i="37"/>
  <c r="C115" i="37"/>
  <c r="F115" i="37"/>
  <c r="A116" i="37"/>
  <c r="B116" i="37"/>
  <c r="C116" i="37"/>
  <c r="F116" i="37"/>
  <c r="A117" i="37"/>
  <c r="B117" i="37"/>
  <c r="C117" i="37"/>
  <c r="F117" i="37"/>
  <c r="A118" i="37"/>
  <c r="B118" i="37"/>
  <c r="C118" i="37"/>
  <c r="F118" i="37"/>
  <c r="A119" i="37"/>
  <c r="B119" i="37"/>
  <c r="C119" i="37"/>
  <c r="F119" i="37"/>
  <c r="A120" i="37"/>
  <c r="B120" i="37"/>
  <c r="C120" i="37"/>
  <c r="F120" i="37"/>
  <c r="A121" i="37"/>
  <c r="B121" i="37"/>
  <c r="C121" i="37"/>
  <c r="F121" i="37"/>
  <c r="A122" i="37"/>
  <c r="B122" i="37"/>
  <c r="C122" i="37"/>
  <c r="F122" i="37"/>
  <c r="A123" i="37"/>
  <c r="B123" i="37"/>
  <c r="C123" i="37"/>
  <c r="F123" i="37"/>
  <c r="A124" i="37"/>
  <c r="B124" i="37"/>
  <c r="C124" i="37"/>
  <c r="F124" i="37"/>
  <c r="A125" i="37"/>
  <c r="B125" i="37"/>
  <c r="C125" i="37"/>
  <c r="F125" i="37"/>
  <c r="A126" i="37"/>
  <c r="B126" i="37"/>
  <c r="C126" i="37"/>
  <c r="F126" i="37"/>
  <c r="A127" i="37"/>
  <c r="B127" i="37"/>
  <c r="C127" i="37"/>
  <c r="F127" i="37"/>
  <c r="A128" i="37"/>
  <c r="B128" i="37"/>
  <c r="C128" i="37"/>
  <c r="F128" i="37"/>
  <c r="A129" i="37"/>
  <c r="B129" i="37"/>
  <c r="C129" i="37"/>
  <c r="F129" i="37"/>
  <c r="A130" i="37"/>
  <c r="B130" i="37"/>
  <c r="C130" i="37"/>
  <c r="F130" i="37"/>
  <c r="A131" i="37"/>
  <c r="B131" i="37"/>
  <c r="C131" i="37"/>
  <c r="F131" i="37"/>
  <c r="A132" i="37"/>
  <c r="B132" i="37"/>
  <c r="C132" i="37"/>
  <c r="F132" i="37"/>
  <c r="A133" i="37"/>
  <c r="B133" i="37"/>
  <c r="C133" i="37"/>
  <c r="F133" i="37"/>
  <c r="A134" i="37"/>
  <c r="B134" i="37"/>
  <c r="C134" i="37"/>
  <c r="F134" i="37"/>
  <c r="A135" i="37"/>
  <c r="B135" i="37"/>
  <c r="C135" i="37"/>
  <c r="F135" i="37"/>
  <c r="A136" i="37"/>
  <c r="B136" i="37"/>
  <c r="C136" i="37"/>
  <c r="F136" i="37"/>
  <c r="A137" i="37"/>
  <c r="B137" i="37"/>
  <c r="C137" i="37"/>
  <c r="F137" i="37"/>
  <c r="A138" i="37"/>
  <c r="B138" i="37"/>
  <c r="C138" i="37"/>
  <c r="F138" i="37"/>
  <c r="A139" i="37"/>
  <c r="B139" i="37"/>
  <c r="C139" i="37"/>
  <c r="F139" i="37"/>
  <c r="A140" i="37"/>
  <c r="B140" i="37"/>
  <c r="C140" i="37"/>
  <c r="F140" i="37"/>
  <c r="A141" i="37"/>
  <c r="B141" i="37"/>
  <c r="C141" i="37"/>
  <c r="F141" i="37"/>
  <c r="A142" i="37"/>
  <c r="B142" i="37"/>
  <c r="C142" i="37"/>
  <c r="F142" i="37"/>
  <c r="A143" i="37"/>
  <c r="B143" i="37"/>
  <c r="C143" i="37"/>
  <c r="F143" i="37"/>
  <c r="A144" i="37"/>
  <c r="B144" i="37"/>
  <c r="C144" i="37"/>
  <c r="F144" i="37"/>
  <c r="A145" i="37"/>
  <c r="B145" i="37"/>
  <c r="C145" i="37"/>
  <c r="F145" i="37"/>
  <c r="A146" i="37"/>
  <c r="B146" i="37"/>
  <c r="C146" i="37"/>
  <c r="F146" i="37"/>
  <c r="A147" i="37"/>
  <c r="B147" i="37"/>
  <c r="C147" i="37"/>
  <c r="F147" i="37"/>
  <c r="A148" i="37"/>
  <c r="B148" i="37"/>
  <c r="C148" i="37"/>
  <c r="F148" i="37"/>
  <c r="A149" i="37"/>
  <c r="B149" i="37"/>
  <c r="C149" i="37"/>
  <c r="F149" i="37"/>
  <c r="A150" i="37"/>
  <c r="B150" i="37"/>
  <c r="C150" i="37"/>
  <c r="F150" i="37"/>
  <c r="A151" i="37"/>
  <c r="B151" i="37"/>
  <c r="C151" i="37"/>
  <c r="F151" i="37"/>
  <c r="A152" i="37"/>
  <c r="B152" i="37"/>
  <c r="C152" i="37"/>
  <c r="F152" i="37"/>
  <c r="A153" i="37"/>
  <c r="B153" i="37"/>
  <c r="C153" i="37"/>
  <c r="F153" i="37"/>
  <c r="A154" i="37"/>
  <c r="B154" i="37"/>
  <c r="C154" i="37"/>
  <c r="F154" i="37"/>
  <c r="A155" i="37"/>
  <c r="B155" i="37"/>
  <c r="C155" i="37"/>
  <c r="F155" i="37"/>
  <c r="A156" i="37"/>
  <c r="B156" i="37"/>
  <c r="C156" i="37"/>
  <c r="F156" i="37"/>
  <c r="A157" i="37"/>
  <c r="B157" i="37"/>
  <c r="C157" i="37"/>
  <c r="F157" i="37"/>
  <c r="A158" i="37"/>
  <c r="B158" i="37"/>
  <c r="C158" i="37"/>
  <c r="F158" i="37"/>
  <c r="A159" i="37"/>
  <c r="B159" i="37"/>
  <c r="C159" i="37"/>
  <c r="F159" i="37"/>
  <c r="A160" i="37"/>
  <c r="B160" i="37"/>
  <c r="C160" i="37"/>
  <c r="F160" i="37"/>
  <c r="A161" i="37"/>
  <c r="B161" i="37"/>
  <c r="C161" i="37"/>
  <c r="F161" i="37"/>
  <c r="A162" i="37"/>
  <c r="B162" i="37"/>
  <c r="C162" i="37"/>
  <c r="F162" i="37"/>
  <c r="A163" i="37"/>
  <c r="B163" i="37"/>
  <c r="C163" i="37"/>
  <c r="F163" i="37"/>
  <c r="A164" i="37"/>
  <c r="B164" i="37"/>
  <c r="C164" i="37"/>
  <c r="F164" i="37"/>
  <c r="A165" i="37"/>
  <c r="B165" i="37"/>
  <c r="C165" i="37"/>
  <c r="F165" i="37"/>
  <c r="A166" i="37"/>
  <c r="B166" i="37"/>
  <c r="C166" i="37"/>
  <c r="F166" i="37"/>
  <c r="A167" i="37"/>
  <c r="B167" i="37"/>
  <c r="C167" i="37"/>
  <c r="F167" i="37"/>
  <c r="A168" i="37"/>
  <c r="B168" i="37"/>
  <c r="C168" i="37"/>
  <c r="F168" i="37"/>
  <c r="A169" i="37"/>
  <c r="B169" i="37"/>
  <c r="C169" i="37"/>
  <c r="F169" i="37"/>
  <c r="A170" i="37"/>
  <c r="B170" i="37"/>
  <c r="C170" i="37"/>
  <c r="F170" i="37"/>
  <c r="A171" i="37"/>
  <c r="B171" i="37"/>
  <c r="C171" i="37"/>
  <c r="F171" i="37"/>
  <c r="A172" i="37"/>
  <c r="B172" i="37"/>
  <c r="C172" i="37"/>
  <c r="F172" i="37"/>
  <c r="A173" i="37"/>
  <c r="B173" i="37"/>
  <c r="C173" i="37"/>
  <c r="F173" i="37"/>
  <c r="A174" i="37"/>
  <c r="B174" i="37"/>
  <c r="C174" i="37"/>
  <c r="F174" i="37"/>
  <c r="A175" i="37"/>
  <c r="B175" i="37"/>
  <c r="C175" i="37"/>
  <c r="F175" i="37"/>
  <c r="A176" i="37"/>
  <c r="B176" i="37"/>
  <c r="C176" i="37"/>
  <c r="F176" i="37"/>
  <c r="A177" i="37"/>
  <c r="B177" i="37"/>
  <c r="C177" i="37"/>
  <c r="F177" i="37"/>
  <c r="A178" i="37"/>
  <c r="B178" i="37"/>
  <c r="C178" i="37"/>
  <c r="F178" i="37"/>
  <c r="A179" i="37"/>
  <c r="B179" i="37"/>
  <c r="C179" i="37"/>
  <c r="F179" i="37"/>
  <c r="A180" i="37"/>
  <c r="B180" i="37"/>
  <c r="C180" i="37"/>
  <c r="F180" i="37"/>
  <c r="A181" i="37"/>
  <c r="B181" i="37"/>
  <c r="C181" i="37"/>
  <c r="F181" i="37"/>
  <c r="A182" i="37"/>
  <c r="B182" i="37"/>
  <c r="C182" i="37"/>
  <c r="F182" i="37"/>
  <c r="A183" i="37"/>
  <c r="B183" i="37"/>
  <c r="C183" i="37"/>
  <c r="F183" i="37"/>
  <c r="A184" i="37"/>
  <c r="B184" i="37"/>
  <c r="C184" i="37"/>
  <c r="F184" i="37"/>
  <c r="A185" i="37"/>
  <c r="B185" i="37"/>
  <c r="C185" i="37"/>
  <c r="F185" i="37"/>
  <c r="A186" i="37"/>
  <c r="B186" i="37"/>
  <c r="C186" i="37"/>
  <c r="F186" i="37"/>
  <c r="A187" i="37"/>
  <c r="B187" i="37"/>
  <c r="C187" i="37"/>
  <c r="F187" i="37"/>
  <c r="A188" i="37"/>
  <c r="B188" i="37"/>
  <c r="C188" i="37"/>
  <c r="F188" i="37"/>
  <c r="A189" i="37"/>
  <c r="B189" i="37"/>
  <c r="C189" i="37"/>
  <c r="F189" i="37"/>
  <c r="A190" i="37"/>
  <c r="B190" i="37"/>
  <c r="C190" i="37"/>
  <c r="F190" i="37"/>
  <c r="A191" i="37"/>
  <c r="B191" i="37"/>
  <c r="C191" i="37"/>
  <c r="F191" i="37"/>
  <c r="A192" i="37"/>
  <c r="B192" i="37"/>
  <c r="C192" i="37"/>
  <c r="F192" i="37"/>
  <c r="A193" i="37"/>
  <c r="B193" i="37"/>
  <c r="C193" i="37"/>
  <c r="F193" i="37"/>
  <c r="A194" i="37"/>
  <c r="B194" i="37"/>
  <c r="C194" i="37"/>
  <c r="F194" i="37"/>
  <c r="A195" i="37"/>
  <c r="B195" i="37"/>
  <c r="C195" i="37"/>
  <c r="F195" i="37"/>
  <c r="A196" i="37"/>
  <c r="B196" i="37"/>
  <c r="C196" i="37"/>
  <c r="F196" i="37"/>
  <c r="A197" i="37"/>
  <c r="B197" i="37"/>
  <c r="C197" i="37"/>
  <c r="F197" i="37"/>
  <c r="A198" i="37"/>
  <c r="B198" i="37"/>
  <c r="C198" i="37"/>
  <c r="F198" i="37"/>
  <c r="A199" i="37"/>
  <c r="B199" i="37"/>
  <c r="C199" i="37"/>
  <c r="F199" i="37"/>
  <c r="A200" i="37"/>
  <c r="B200" i="37"/>
  <c r="C200" i="37"/>
  <c r="F200" i="37"/>
  <c r="A201" i="37"/>
  <c r="B201" i="37"/>
  <c r="C201" i="37"/>
  <c r="F201" i="37"/>
  <c r="A202" i="37"/>
  <c r="B202" i="37"/>
  <c r="C202" i="37"/>
  <c r="F202" i="37"/>
  <c r="A203" i="37"/>
  <c r="B203" i="37"/>
  <c r="C203" i="37"/>
  <c r="F203" i="37"/>
  <c r="A204" i="37"/>
  <c r="B204" i="37"/>
  <c r="C204" i="37"/>
  <c r="F204" i="37"/>
  <c r="A205" i="37"/>
  <c r="B205" i="37"/>
  <c r="C205" i="37"/>
  <c r="F205" i="37"/>
  <c r="A206" i="37"/>
  <c r="B206" i="37"/>
  <c r="C206" i="37"/>
  <c r="F206" i="37"/>
  <c r="A207" i="37"/>
  <c r="B207" i="37"/>
  <c r="C207" i="37"/>
  <c r="F207" i="37"/>
  <c r="A208" i="37"/>
  <c r="B208" i="37"/>
  <c r="C208" i="37"/>
  <c r="F208" i="37"/>
  <c r="A209" i="37"/>
  <c r="B209" i="37"/>
  <c r="C209" i="37"/>
  <c r="F209" i="37"/>
  <c r="A210" i="37"/>
  <c r="B210" i="37"/>
  <c r="C210" i="37"/>
  <c r="F210" i="37"/>
  <c r="A211" i="37"/>
  <c r="B211" i="37"/>
  <c r="C211" i="37"/>
  <c r="F211" i="37"/>
  <c r="A212" i="37"/>
  <c r="B212" i="37"/>
  <c r="C212" i="37"/>
  <c r="F212" i="37"/>
  <c r="A213" i="37"/>
  <c r="B213" i="37"/>
  <c r="C213" i="37"/>
  <c r="F213" i="37"/>
  <c r="A214" i="37"/>
  <c r="B214" i="37"/>
  <c r="C214" i="37"/>
  <c r="F214" i="37"/>
  <c r="A215" i="37"/>
  <c r="B215" i="37"/>
  <c r="C215" i="37"/>
  <c r="F215" i="37"/>
  <c r="A216" i="37"/>
  <c r="B216" i="37"/>
  <c r="C216" i="37"/>
  <c r="F216" i="37"/>
  <c r="A217" i="37"/>
  <c r="B217" i="37"/>
  <c r="C217" i="37"/>
  <c r="F217" i="37"/>
  <c r="A218" i="37"/>
  <c r="B218" i="37"/>
  <c r="C218" i="37"/>
  <c r="F218" i="37"/>
  <c r="A219" i="37"/>
  <c r="B219" i="37"/>
  <c r="C219" i="37"/>
  <c r="F219" i="37"/>
  <c r="A220" i="37"/>
  <c r="B220" i="37"/>
  <c r="C220" i="37"/>
  <c r="F220" i="37"/>
  <c r="A221" i="37"/>
  <c r="B221" i="37"/>
  <c r="C221" i="37"/>
  <c r="F221" i="37"/>
  <c r="A222" i="37"/>
  <c r="B222" i="37"/>
  <c r="C222" i="37"/>
  <c r="F222" i="37"/>
  <c r="A223" i="37"/>
  <c r="B223" i="37"/>
  <c r="C223" i="37"/>
  <c r="F223" i="37"/>
  <c r="A224" i="37"/>
  <c r="B224" i="37"/>
  <c r="C224" i="37"/>
  <c r="F224" i="37"/>
  <c r="A225" i="37"/>
  <c r="B225" i="37"/>
  <c r="C225" i="37"/>
  <c r="F225" i="37"/>
  <c r="A226" i="37"/>
  <c r="B226" i="37"/>
  <c r="C226" i="37"/>
  <c r="F226" i="37"/>
  <c r="A227" i="37"/>
  <c r="B227" i="37"/>
  <c r="C227" i="37"/>
  <c r="F227" i="37"/>
  <c r="A228" i="37"/>
  <c r="B228" i="37"/>
  <c r="C228" i="37"/>
  <c r="F228" i="37"/>
  <c r="A229" i="37"/>
  <c r="B229" i="37"/>
  <c r="C229" i="37"/>
  <c r="F229" i="37"/>
  <c r="A230" i="37"/>
  <c r="B230" i="37"/>
  <c r="C230" i="37"/>
  <c r="F230" i="37"/>
  <c r="A231" i="37"/>
  <c r="B231" i="37"/>
  <c r="C231" i="37"/>
  <c r="F231" i="37"/>
  <c r="A232" i="37"/>
  <c r="B232" i="37"/>
  <c r="C232" i="37"/>
  <c r="F232" i="37"/>
  <c r="A233" i="37"/>
  <c r="B233" i="37"/>
  <c r="C233" i="37"/>
  <c r="F233" i="37"/>
  <c r="A234" i="37"/>
  <c r="B234" i="37"/>
  <c r="C234" i="37"/>
  <c r="F234" i="37"/>
  <c r="A235" i="37"/>
  <c r="B235" i="37"/>
  <c r="C235" i="37"/>
  <c r="F235" i="37"/>
  <c r="A236" i="37"/>
  <c r="B236" i="37"/>
  <c r="C236" i="37"/>
  <c r="F236" i="37"/>
  <c r="A237" i="37"/>
  <c r="B237" i="37"/>
  <c r="C237" i="37"/>
  <c r="F237" i="37"/>
  <c r="A238" i="37"/>
  <c r="B238" i="37"/>
  <c r="C238" i="37"/>
  <c r="F238" i="37"/>
  <c r="A239" i="37"/>
  <c r="B239" i="37"/>
  <c r="C239" i="37"/>
  <c r="F239" i="37"/>
  <c r="A240" i="37"/>
  <c r="B240" i="37"/>
  <c r="C240" i="37"/>
  <c r="F240" i="37"/>
  <c r="A241" i="37"/>
  <c r="B241" i="37"/>
  <c r="C241" i="37"/>
  <c r="F241" i="37"/>
  <c r="A242" i="37"/>
  <c r="B242" i="37"/>
  <c r="C242" i="37"/>
  <c r="F242" i="37"/>
  <c r="A243" i="37"/>
  <c r="B243" i="37"/>
  <c r="C243" i="37"/>
  <c r="F243" i="37"/>
  <c r="A244" i="37"/>
  <c r="B244" i="37"/>
  <c r="C244" i="37"/>
  <c r="F244" i="37"/>
  <c r="A245" i="37"/>
  <c r="B245" i="37"/>
  <c r="C245" i="37"/>
  <c r="F245" i="37"/>
  <c r="A246" i="37"/>
  <c r="B246" i="37"/>
  <c r="C246" i="37"/>
  <c r="F246" i="37"/>
  <c r="A247" i="37"/>
  <c r="B247" i="37"/>
  <c r="C247" i="37"/>
  <c r="F247" i="37"/>
  <c r="A248" i="37"/>
  <c r="B248" i="37"/>
  <c r="C248" i="37"/>
  <c r="F248" i="37"/>
  <c r="A249" i="37"/>
  <c r="B249" i="37"/>
  <c r="C249" i="37"/>
  <c r="F249" i="37"/>
  <c r="A250" i="37"/>
  <c r="B250" i="37"/>
  <c r="C250" i="37"/>
  <c r="F250" i="37"/>
  <c r="A251" i="37"/>
  <c r="B251" i="37"/>
  <c r="C251" i="37"/>
  <c r="F251" i="37"/>
  <c r="A252" i="37"/>
  <c r="B252" i="37"/>
  <c r="C252" i="37"/>
  <c r="F252" i="37"/>
  <c r="A253" i="37"/>
  <c r="B253" i="37"/>
  <c r="C253" i="37"/>
  <c r="F253" i="37"/>
  <c r="A254" i="37"/>
  <c r="B254" i="37"/>
  <c r="C254" i="37"/>
  <c r="F254" i="37"/>
  <c r="A255" i="37"/>
  <c r="B255" i="37"/>
  <c r="C255" i="37"/>
  <c r="F255" i="37"/>
  <c r="A256" i="37"/>
  <c r="B256" i="37"/>
  <c r="C256" i="37"/>
  <c r="F256" i="37"/>
  <c r="A257" i="37"/>
  <c r="B257" i="37"/>
  <c r="C257" i="37"/>
  <c r="F257" i="37"/>
  <c r="A258" i="37"/>
  <c r="B258" i="37"/>
  <c r="C258" i="37"/>
  <c r="F258" i="37"/>
  <c r="A259" i="37"/>
  <c r="B259" i="37"/>
  <c r="C259" i="37"/>
  <c r="F259" i="37"/>
  <c r="A260" i="37"/>
  <c r="B260" i="37"/>
  <c r="C260" i="37"/>
  <c r="F260" i="37"/>
  <c r="A261" i="37"/>
  <c r="B261" i="37"/>
  <c r="C261" i="37"/>
  <c r="F261" i="37"/>
  <c r="A262" i="37"/>
  <c r="B262" i="37"/>
  <c r="C262" i="37"/>
  <c r="F262" i="37"/>
  <c r="A263" i="37"/>
  <c r="B263" i="37"/>
  <c r="C263" i="37"/>
  <c r="F263" i="37"/>
  <c r="A264" i="37"/>
  <c r="B264" i="37"/>
  <c r="C264" i="37"/>
  <c r="F264" i="37"/>
  <c r="A265" i="37"/>
  <c r="B265" i="37"/>
  <c r="C265" i="37"/>
  <c r="F265" i="37"/>
  <c r="A266" i="37"/>
  <c r="B266" i="37"/>
  <c r="C266" i="37"/>
  <c r="F266" i="37"/>
  <c r="A267" i="37"/>
  <c r="B267" i="37"/>
  <c r="C267" i="37"/>
  <c r="F267" i="37"/>
  <c r="A268" i="37"/>
  <c r="B268" i="37"/>
  <c r="C268" i="37"/>
  <c r="F268" i="37"/>
  <c r="A269" i="37"/>
  <c r="B269" i="37"/>
  <c r="C269" i="37"/>
  <c r="F269" i="37"/>
  <c r="A270" i="37"/>
  <c r="B270" i="37"/>
  <c r="C270" i="37"/>
  <c r="F270" i="37"/>
  <c r="A271" i="37"/>
  <c r="B271" i="37"/>
  <c r="C271" i="37"/>
  <c r="F271" i="37"/>
  <c r="A272" i="37"/>
  <c r="B272" i="37"/>
  <c r="C272" i="37"/>
  <c r="F272" i="37"/>
  <c r="A273" i="37"/>
  <c r="B273" i="37"/>
  <c r="C273" i="37"/>
  <c r="F273" i="37"/>
  <c r="A274" i="37"/>
  <c r="B274" i="37"/>
  <c r="C274" i="37"/>
  <c r="F274" i="37"/>
  <c r="A275" i="37"/>
  <c r="B275" i="37"/>
  <c r="C275" i="37"/>
  <c r="F275" i="37"/>
  <c r="A276" i="37"/>
  <c r="B276" i="37"/>
  <c r="C276" i="37"/>
  <c r="F276" i="37"/>
  <c r="A277" i="37"/>
  <c r="B277" i="37"/>
  <c r="C277" i="37"/>
  <c r="F277" i="37"/>
  <c r="A278" i="37"/>
  <c r="B278" i="37"/>
  <c r="C278" i="37"/>
  <c r="F278" i="37"/>
  <c r="A279" i="37"/>
  <c r="B279" i="37"/>
  <c r="C279" i="37"/>
  <c r="F279" i="37"/>
  <c r="A280" i="37"/>
  <c r="B280" i="37"/>
  <c r="C280" i="37"/>
  <c r="F280" i="37"/>
  <c r="A281" i="37"/>
  <c r="B281" i="37"/>
  <c r="C281" i="37"/>
  <c r="F281" i="37"/>
  <c r="A282" i="37"/>
  <c r="B282" i="37"/>
  <c r="C282" i="37"/>
  <c r="F282" i="37"/>
  <c r="A283" i="37"/>
  <c r="B283" i="37"/>
  <c r="C283" i="37"/>
  <c r="F283" i="37"/>
  <c r="A284" i="37"/>
  <c r="B284" i="37"/>
  <c r="C284" i="37"/>
  <c r="F284" i="37"/>
  <c r="A285" i="37"/>
  <c r="B285" i="37"/>
  <c r="C285" i="37"/>
  <c r="F285" i="37"/>
  <c r="A286" i="37"/>
  <c r="B286" i="37"/>
  <c r="C286" i="37"/>
  <c r="F286" i="37"/>
  <c r="A287" i="37"/>
  <c r="B287" i="37"/>
  <c r="C287" i="37"/>
  <c r="F287" i="37"/>
  <c r="A288" i="37"/>
  <c r="B288" i="37"/>
  <c r="C288" i="37"/>
  <c r="F288" i="37"/>
  <c r="A289" i="37"/>
  <c r="B289" i="37"/>
  <c r="C289" i="37"/>
  <c r="F289" i="37"/>
  <c r="A290" i="37"/>
  <c r="B290" i="37"/>
  <c r="C290" i="37"/>
  <c r="F290" i="37"/>
  <c r="A291" i="37"/>
  <c r="B291" i="37"/>
  <c r="C291" i="37"/>
  <c r="F291" i="37"/>
  <c r="A292" i="37"/>
  <c r="B292" i="37"/>
  <c r="C292" i="37"/>
  <c r="F292" i="37"/>
  <c r="A293" i="37"/>
  <c r="B293" i="37"/>
  <c r="C293" i="37"/>
  <c r="F293" i="37"/>
  <c r="A294" i="37"/>
  <c r="B294" i="37"/>
  <c r="C294" i="37"/>
  <c r="F294" i="37"/>
  <c r="A295" i="37"/>
  <c r="B295" i="37"/>
  <c r="C295" i="37"/>
  <c r="F295" i="37"/>
  <c r="A296" i="37"/>
  <c r="B296" i="37"/>
  <c r="C296" i="37"/>
  <c r="F296" i="37"/>
  <c r="A297" i="37"/>
  <c r="B297" i="37"/>
  <c r="C297" i="37"/>
  <c r="F297" i="37"/>
  <c r="A298" i="37"/>
  <c r="B298" i="37"/>
  <c r="C298" i="37"/>
  <c r="F298" i="37"/>
  <c r="A299" i="37"/>
  <c r="B299" i="37"/>
  <c r="C299" i="37"/>
  <c r="F299" i="37"/>
  <c r="A300" i="37"/>
  <c r="B300" i="37"/>
  <c r="C300" i="37"/>
  <c r="F300" i="37"/>
  <c r="A301" i="37"/>
  <c r="B301" i="37"/>
  <c r="C301" i="37"/>
  <c r="F301" i="37"/>
  <c r="A302" i="37"/>
  <c r="B302" i="37"/>
  <c r="C302" i="37"/>
  <c r="F302" i="37"/>
  <c r="A303" i="37"/>
  <c r="B303" i="37"/>
  <c r="C303" i="37"/>
  <c r="F303" i="37"/>
  <c r="A304" i="37"/>
  <c r="B304" i="37"/>
  <c r="C304" i="37"/>
  <c r="F304" i="37"/>
  <c r="A305" i="37"/>
  <c r="B305" i="37"/>
  <c r="C305" i="37"/>
  <c r="F305" i="37"/>
  <c r="A10" i="36"/>
  <c r="B10" i="36"/>
  <c r="C10" i="36"/>
  <c r="A11" i="36"/>
  <c r="B11" i="36"/>
  <c r="C11" i="36"/>
  <c r="A12" i="36"/>
  <c r="B12" i="36"/>
  <c r="C12" i="36"/>
  <c r="A13" i="36"/>
  <c r="B13" i="36"/>
  <c r="C13" i="36"/>
  <c r="A14" i="36"/>
  <c r="B14" i="36"/>
  <c r="C14" i="36"/>
  <c r="A15" i="36"/>
  <c r="B15" i="36"/>
  <c r="C15" i="36"/>
  <c r="A16" i="36"/>
  <c r="B16" i="36"/>
  <c r="C16" i="36"/>
  <c r="A17" i="36"/>
  <c r="B17" i="36"/>
  <c r="C17" i="36"/>
  <c r="A18" i="36"/>
  <c r="B18" i="36"/>
  <c r="C18" i="36"/>
  <c r="A19" i="36"/>
  <c r="B19" i="36"/>
  <c r="C19" i="36"/>
  <c r="A20" i="36"/>
  <c r="B20" i="36"/>
  <c r="C20" i="36"/>
  <c r="A21" i="36"/>
  <c r="B21" i="36"/>
  <c r="C21" i="36"/>
  <c r="A22" i="36"/>
  <c r="B22" i="36"/>
  <c r="C22" i="36"/>
  <c r="A23" i="36"/>
  <c r="B23" i="36"/>
  <c r="C23" i="36"/>
  <c r="A24" i="36"/>
  <c r="B24" i="36"/>
  <c r="C24" i="36"/>
  <c r="A25" i="36"/>
  <c r="B25" i="36"/>
  <c r="C25" i="36"/>
  <c r="A26" i="36"/>
  <c r="B26" i="36"/>
  <c r="C26" i="36"/>
  <c r="A27" i="36"/>
  <c r="B27" i="36"/>
  <c r="C27" i="36"/>
  <c r="A28" i="36"/>
  <c r="B28" i="36"/>
  <c r="C28" i="36"/>
  <c r="A29" i="36"/>
  <c r="B29" i="36"/>
  <c r="C29" i="36"/>
  <c r="A30" i="36"/>
  <c r="B30" i="36"/>
  <c r="C30" i="36"/>
  <c r="A31" i="36"/>
  <c r="B31" i="36"/>
  <c r="C31" i="36"/>
  <c r="A32" i="36"/>
  <c r="B32" i="36"/>
  <c r="C32" i="36"/>
  <c r="A33" i="36"/>
  <c r="B33" i="36"/>
  <c r="C33" i="36"/>
  <c r="A34" i="36"/>
  <c r="B34" i="36"/>
  <c r="C34" i="36"/>
  <c r="A35" i="36"/>
  <c r="B35" i="36"/>
  <c r="C35" i="36"/>
  <c r="A36" i="36"/>
  <c r="B36" i="36"/>
  <c r="C36" i="36"/>
  <c r="A37" i="36"/>
  <c r="B37" i="36"/>
  <c r="C37" i="36"/>
  <c r="A38" i="36"/>
  <c r="B38" i="36"/>
  <c r="C38" i="36"/>
  <c r="A39" i="36"/>
  <c r="B39" i="36"/>
  <c r="C39" i="36"/>
  <c r="A40" i="36"/>
  <c r="B40" i="36"/>
  <c r="C40" i="36"/>
  <c r="A41" i="36"/>
  <c r="B41" i="36"/>
  <c r="C41" i="36"/>
  <c r="A42" i="36"/>
  <c r="B42" i="36"/>
  <c r="C42" i="36"/>
  <c r="A43" i="36"/>
  <c r="B43" i="36"/>
  <c r="C43" i="36"/>
  <c r="A44" i="36"/>
  <c r="B44" i="36"/>
  <c r="C44" i="36"/>
  <c r="A45" i="36"/>
  <c r="B45" i="36"/>
  <c r="C45" i="36"/>
  <c r="A46" i="36"/>
  <c r="B46" i="36"/>
  <c r="C46" i="36"/>
  <c r="A47" i="36"/>
  <c r="B47" i="36"/>
  <c r="C47" i="36"/>
  <c r="A48" i="36"/>
  <c r="B48" i="36"/>
  <c r="C48" i="36"/>
  <c r="A49" i="36"/>
  <c r="B49" i="36"/>
  <c r="C49" i="36"/>
  <c r="A50" i="36"/>
  <c r="B50" i="36"/>
  <c r="C50" i="36"/>
  <c r="A51" i="36"/>
  <c r="B51" i="36"/>
  <c r="C51" i="36"/>
  <c r="A52" i="36"/>
  <c r="B52" i="36"/>
  <c r="C52" i="36"/>
  <c r="A53" i="36"/>
  <c r="B53" i="36"/>
  <c r="C53" i="36"/>
  <c r="A54" i="36"/>
  <c r="B54" i="36"/>
  <c r="C54" i="36"/>
  <c r="A55" i="36"/>
  <c r="B55" i="36"/>
  <c r="C55" i="36"/>
  <c r="A56" i="36"/>
  <c r="B56" i="36"/>
  <c r="C56" i="36"/>
  <c r="A57" i="36"/>
  <c r="B57" i="36"/>
  <c r="C57" i="36"/>
  <c r="A58" i="36"/>
  <c r="B58" i="36"/>
  <c r="C58" i="36"/>
  <c r="A59" i="36"/>
  <c r="B59" i="36"/>
  <c r="C59" i="36"/>
  <c r="A60" i="36"/>
  <c r="B60" i="36"/>
  <c r="C60" i="36"/>
  <c r="A61" i="36"/>
  <c r="B61" i="36"/>
  <c r="C61" i="36"/>
  <c r="A62" i="36"/>
  <c r="B62" i="36"/>
  <c r="C62" i="36"/>
  <c r="A63" i="36"/>
  <c r="B63" i="36"/>
  <c r="C63" i="36"/>
  <c r="A64" i="36"/>
  <c r="B64" i="36"/>
  <c r="C64" i="36"/>
  <c r="A65" i="36"/>
  <c r="B65" i="36"/>
  <c r="C65" i="36"/>
  <c r="A66" i="36"/>
  <c r="B66" i="36"/>
  <c r="C66" i="36"/>
  <c r="A67" i="36"/>
  <c r="B67" i="36"/>
  <c r="C67" i="36"/>
  <c r="A68" i="36"/>
  <c r="B68" i="36"/>
  <c r="C68" i="36"/>
  <c r="A69" i="36"/>
  <c r="B69" i="36"/>
  <c r="C69" i="36"/>
  <c r="A70" i="36"/>
  <c r="B70" i="36"/>
  <c r="C70" i="36"/>
  <c r="A71" i="36"/>
  <c r="B71" i="36"/>
  <c r="C71" i="36"/>
  <c r="A72" i="36"/>
  <c r="B72" i="36"/>
  <c r="C72" i="36"/>
  <c r="A73" i="36"/>
  <c r="B73" i="36"/>
  <c r="C73" i="36"/>
  <c r="A74" i="36"/>
  <c r="B74" i="36"/>
  <c r="C74" i="36"/>
  <c r="A75" i="36"/>
  <c r="B75" i="36"/>
  <c r="C75" i="36"/>
  <c r="A76" i="36"/>
  <c r="B76" i="36"/>
  <c r="C76" i="36"/>
  <c r="A77" i="36"/>
  <c r="B77" i="36"/>
  <c r="C77" i="36"/>
  <c r="A78" i="36"/>
  <c r="B78" i="36"/>
  <c r="C78" i="36"/>
  <c r="A79" i="36"/>
  <c r="B79" i="36"/>
  <c r="C79" i="36"/>
  <c r="A80" i="36"/>
  <c r="B80" i="36"/>
  <c r="C80" i="36"/>
  <c r="A81" i="36"/>
  <c r="B81" i="36"/>
  <c r="C81" i="36"/>
  <c r="A82" i="36"/>
  <c r="B82" i="36"/>
  <c r="C82" i="36"/>
  <c r="A83" i="36"/>
  <c r="B83" i="36"/>
  <c r="C83" i="36"/>
  <c r="A84" i="36"/>
  <c r="B84" i="36"/>
  <c r="C84" i="36"/>
  <c r="A85" i="36"/>
  <c r="B85" i="36"/>
  <c r="C85" i="36"/>
  <c r="A86" i="36"/>
  <c r="B86" i="36"/>
  <c r="C86" i="36"/>
  <c r="A87" i="36"/>
  <c r="B87" i="36"/>
  <c r="C87" i="36"/>
  <c r="A88" i="36"/>
  <c r="B88" i="36"/>
  <c r="C88" i="36"/>
  <c r="A89" i="36"/>
  <c r="B89" i="36"/>
  <c r="C89" i="36"/>
  <c r="A90" i="36"/>
  <c r="B90" i="36"/>
  <c r="C90" i="36"/>
  <c r="A91" i="36"/>
  <c r="B91" i="36"/>
  <c r="C91" i="36"/>
  <c r="A92" i="36"/>
  <c r="B92" i="36"/>
  <c r="C92" i="36"/>
  <c r="A93" i="36"/>
  <c r="B93" i="36"/>
  <c r="C93" i="36"/>
  <c r="A94" i="36"/>
  <c r="B94" i="36"/>
  <c r="C94" i="36"/>
  <c r="A95" i="36"/>
  <c r="B95" i="36"/>
  <c r="C95" i="36"/>
  <c r="A96" i="36"/>
  <c r="B96" i="36"/>
  <c r="C96" i="36"/>
  <c r="A97" i="36"/>
  <c r="B97" i="36"/>
  <c r="C97" i="36"/>
  <c r="A98" i="36"/>
  <c r="B98" i="36"/>
  <c r="C98" i="36"/>
  <c r="A99" i="36"/>
  <c r="B99" i="36"/>
  <c r="C99" i="36"/>
  <c r="A100" i="36"/>
  <c r="B100" i="36"/>
  <c r="C100" i="36"/>
  <c r="A101" i="36"/>
  <c r="B101" i="36"/>
  <c r="C101" i="36"/>
  <c r="A102" i="36"/>
  <c r="B102" i="36"/>
  <c r="C102" i="36"/>
  <c r="A103" i="36"/>
  <c r="B103" i="36"/>
  <c r="C103" i="36"/>
  <c r="A104" i="36"/>
  <c r="B104" i="36"/>
  <c r="C10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A124" i="36"/>
  <c r="B124" i="36"/>
  <c r="C124" i="36"/>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A139" i="36"/>
  <c r="B139" i="36"/>
  <c r="C139" i="36"/>
  <c r="A140" i="36"/>
  <c r="B140" i="36"/>
  <c r="C140" i="36"/>
  <c r="A141" i="36"/>
  <c r="B141" i="36"/>
  <c r="C141" i="36"/>
  <c r="A142" i="36"/>
  <c r="B142" i="36"/>
  <c r="C142" i="36"/>
  <c r="A143" i="36"/>
  <c r="B143" i="36"/>
  <c r="C143" i="36"/>
  <c r="A144" i="36"/>
  <c r="B144" i="36"/>
  <c r="C144" i="36"/>
  <c r="A145" i="36"/>
  <c r="B145" i="36"/>
  <c r="C145" i="36"/>
  <c r="A146" i="36"/>
  <c r="B146" i="36"/>
  <c r="C146" i="36"/>
  <c r="A147" i="36"/>
  <c r="B147" i="36"/>
  <c r="C147" i="36"/>
  <c r="A148" i="36"/>
  <c r="B148" i="36"/>
  <c r="C148" i="36"/>
  <c r="A149" i="36"/>
  <c r="B149" i="36"/>
  <c r="C149" i="36"/>
  <c r="A150" i="36"/>
  <c r="B150" i="36"/>
  <c r="C150" i="36"/>
  <c r="A151" i="36"/>
  <c r="B151" i="36"/>
  <c r="C151" i="36"/>
  <c r="A152" i="36"/>
  <c r="B152" i="36"/>
  <c r="C152" i="36"/>
  <c r="A153" i="36"/>
  <c r="B153" i="36"/>
  <c r="C153" i="36"/>
  <c r="A154" i="36"/>
  <c r="B154" i="36"/>
  <c r="C154" i="36"/>
  <c r="A155" i="36"/>
  <c r="B155" i="36"/>
  <c r="C155" i="36"/>
  <c r="A156" i="36"/>
  <c r="B156" i="36"/>
  <c r="C156" i="36"/>
  <c r="A157" i="36"/>
  <c r="B157" i="36"/>
  <c r="C157" i="36"/>
  <c r="A158" i="36"/>
  <c r="B158" i="36"/>
  <c r="C158" i="36"/>
  <c r="A159" i="36"/>
  <c r="B159" i="36"/>
  <c r="C159" i="36"/>
  <c r="A160" i="36"/>
  <c r="B160" i="36"/>
  <c r="C160" i="36"/>
  <c r="A161" i="36"/>
  <c r="B161" i="36"/>
  <c r="C161" i="36"/>
  <c r="A162" i="36"/>
  <c r="B162" i="36"/>
  <c r="C162" i="36"/>
  <c r="A163" i="36"/>
  <c r="B163" i="36"/>
  <c r="C163" i="36"/>
  <c r="A164" i="36"/>
  <c r="B164" i="36"/>
  <c r="C164" i="36"/>
  <c r="A165" i="36"/>
  <c r="B165" i="36"/>
  <c r="C165" i="36"/>
  <c r="A166" i="36"/>
  <c r="B166" i="36"/>
  <c r="C166" i="36"/>
  <c r="A167" i="36"/>
  <c r="B167" i="36"/>
  <c r="C167" i="36"/>
  <c r="A168" i="36"/>
  <c r="B168" i="36"/>
  <c r="C168" i="36"/>
  <c r="A169" i="36"/>
  <c r="B169" i="36"/>
  <c r="C169" i="36"/>
  <c r="A170" i="36"/>
  <c r="B170" i="36"/>
  <c r="C170" i="36"/>
  <c r="A171" i="36"/>
  <c r="B171" i="36"/>
  <c r="C171" i="36"/>
  <c r="A172" i="36"/>
  <c r="B172" i="36"/>
  <c r="C172" i="36"/>
  <c r="A173" i="36"/>
  <c r="B173" i="36"/>
  <c r="C173" i="36"/>
  <c r="A174" i="36"/>
  <c r="B174" i="36"/>
  <c r="C174" i="36"/>
  <c r="A175" i="36"/>
  <c r="B175" i="36"/>
  <c r="C175" i="36"/>
  <c r="A176" i="36"/>
  <c r="B176" i="36"/>
  <c r="C176" i="36"/>
  <c r="A177" i="36"/>
  <c r="B177" i="36"/>
  <c r="C177" i="36"/>
  <c r="A178" i="36"/>
  <c r="B178" i="36"/>
  <c r="C178" i="36"/>
  <c r="A179" i="36"/>
  <c r="B179" i="36"/>
  <c r="C179" i="36"/>
  <c r="A180" i="36"/>
  <c r="B180" i="36"/>
  <c r="C180" i="36"/>
  <c r="A181" i="36"/>
  <c r="B181" i="36"/>
  <c r="C181" i="36"/>
  <c r="A182" i="36"/>
  <c r="B182" i="36"/>
  <c r="C182" i="36"/>
  <c r="A183" i="36"/>
  <c r="B183" i="36"/>
  <c r="C183" i="36"/>
  <c r="A184" i="36"/>
  <c r="B184" i="36"/>
  <c r="C184" i="36"/>
  <c r="A185" i="36"/>
  <c r="B185" i="36"/>
  <c r="C185" i="36"/>
  <c r="A186" i="36"/>
  <c r="B186" i="36"/>
  <c r="C186" i="36"/>
  <c r="A187" i="36"/>
  <c r="B187" i="36"/>
  <c r="C187" i="36"/>
  <c r="A188" i="36"/>
  <c r="B188" i="36"/>
  <c r="C188" i="36"/>
  <c r="A189" i="36"/>
  <c r="B189" i="36"/>
  <c r="C189" i="36"/>
  <c r="A190" i="36"/>
  <c r="B190" i="36"/>
  <c r="C190" i="36"/>
  <c r="A191" i="36"/>
  <c r="B191" i="36"/>
  <c r="C191" i="36"/>
  <c r="A192" i="36"/>
  <c r="B192" i="36"/>
  <c r="C192" i="36"/>
  <c r="A193" i="36"/>
  <c r="B193" i="36"/>
  <c r="C193" i="36"/>
  <c r="A194" i="36"/>
  <c r="B194" i="36"/>
  <c r="C194" i="36"/>
  <c r="A195" i="36"/>
  <c r="B195" i="36"/>
  <c r="C195" i="36"/>
  <c r="A196" i="36"/>
  <c r="B196" i="36"/>
  <c r="C196" i="36"/>
  <c r="A197" i="36"/>
  <c r="B197" i="36"/>
  <c r="C197" i="36"/>
  <c r="A198" i="36"/>
  <c r="B198" i="36"/>
  <c r="C198" i="36"/>
  <c r="A199" i="36"/>
  <c r="B199" i="36"/>
  <c r="C199" i="36"/>
  <c r="A200" i="36"/>
  <c r="B200" i="36"/>
  <c r="C200" i="36"/>
  <c r="A201" i="36"/>
  <c r="B201" i="36"/>
  <c r="C201" i="36"/>
  <c r="A202" i="36"/>
  <c r="B202" i="36"/>
  <c r="C202" i="36"/>
  <c r="A203" i="36"/>
  <c r="B203" i="36"/>
  <c r="C203" i="36"/>
  <c r="A204" i="36"/>
  <c r="B204" i="36"/>
  <c r="C204" i="36"/>
  <c r="A205" i="36"/>
  <c r="B205" i="36"/>
  <c r="C205" i="36"/>
  <c r="A206" i="36"/>
  <c r="B206" i="36"/>
  <c r="C206" i="36"/>
  <c r="A207" i="36"/>
  <c r="B207" i="36"/>
  <c r="C207" i="36"/>
  <c r="A208" i="36"/>
  <c r="B208" i="36"/>
  <c r="C208" i="36"/>
  <c r="A209" i="36"/>
  <c r="B209" i="36"/>
  <c r="C209" i="36"/>
  <c r="A210" i="36"/>
  <c r="B210" i="36"/>
  <c r="C210" i="36"/>
  <c r="A211" i="36"/>
  <c r="B211" i="36"/>
  <c r="C211" i="36"/>
  <c r="A212" i="36"/>
  <c r="B212" i="36"/>
  <c r="C212" i="36"/>
  <c r="A213" i="36"/>
  <c r="B213" i="36"/>
  <c r="C213" i="36"/>
  <c r="A214" i="36"/>
  <c r="B214" i="36"/>
  <c r="C214" i="36"/>
  <c r="A215" i="36"/>
  <c r="B215" i="36"/>
  <c r="C215" i="36"/>
  <c r="A216" i="36"/>
  <c r="B216" i="36"/>
  <c r="C216" i="36"/>
  <c r="A217" i="36"/>
  <c r="B217" i="36"/>
  <c r="C217" i="36"/>
  <c r="A218" i="36"/>
  <c r="B218" i="36"/>
  <c r="C218" i="36"/>
  <c r="A219" i="36"/>
  <c r="B219" i="36"/>
  <c r="C219" i="36"/>
  <c r="A220" i="36"/>
  <c r="B220" i="36"/>
  <c r="C220" i="36"/>
  <c r="A221" i="36"/>
  <c r="B221" i="36"/>
  <c r="C221" i="36"/>
  <c r="A222" i="36"/>
  <c r="B222" i="36"/>
  <c r="C222" i="36"/>
  <c r="A223" i="36"/>
  <c r="B223" i="36"/>
  <c r="C223" i="36"/>
  <c r="A224" i="36"/>
  <c r="B224" i="36"/>
  <c r="C224" i="36"/>
  <c r="A225" i="36"/>
  <c r="B225" i="36"/>
  <c r="C225" i="36"/>
  <c r="A226" i="36"/>
  <c r="B226" i="36"/>
  <c r="C226" i="36"/>
  <c r="A227" i="36"/>
  <c r="B227" i="36"/>
  <c r="C227" i="36"/>
  <c r="A228" i="36"/>
  <c r="B228" i="36"/>
  <c r="C228" i="36"/>
  <c r="A229" i="36"/>
  <c r="B229" i="36"/>
  <c r="C229" i="36"/>
  <c r="A230" i="36"/>
  <c r="B230" i="36"/>
  <c r="C230" i="36"/>
  <c r="A231" i="36"/>
  <c r="B231" i="36"/>
  <c r="C231" i="36"/>
  <c r="A232" i="36"/>
  <c r="B232" i="36"/>
  <c r="C232" i="36"/>
  <c r="A233" i="36"/>
  <c r="B233" i="36"/>
  <c r="C233" i="36"/>
  <c r="A234" i="36"/>
  <c r="B234" i="36"/>
  <c r="C234" i="36"/>
  <c r="A235" i="36"/>
  <c r="B235" i="36"/>
  <c r="C235" i="36"/>
  <c r="A236" i="36"/>
  <c r="B236" i="36"/>
  <c r="C236" i="36"/>
  <c r="A237" i="36"/>
  <c r="B237" i="36"/>
  <c r="C237" i="36"/>
  <c r="A238" i="36"/>
  <c r="B238" i="36"/>
  <c r="C238" i="36"/>
  <c r="A239" i="36"/>
  <c r="B239" i="36"/>
  <c r="C239" i="36"/>
  <c r="A240" i="36"/>
  <c r="B240" i="36"/>
  <c r="C240" i="36"/>
  <c r="A241" i="36"/>
  <c r="B241" i="36"/>
  <c r="C241" i="36"/>
  <c r="A242" i="36"/>
  <c r="B242" i="36"/>
  <c r="C242" i="36"/>
  <c r="A243" i="36"/>
  <c r="B243" i="36"/>
  <c r="C243" i="36"/>
  <c r="A244" i="36"/>
  <c r="B244" i="36"/>
  <c r="C244" i="36"/>
  <c r="A245" i="36"/>
  <c r="B245" i="36"/>
  <c r="C245" i="36"/>
  <c r="A246" i="36"/>
  <c r="B246" i="36"/>
  <c r="C246" i="36"/>
  <c r="A247" i="36"/>
  <c r="B247" i="36"/>
  <c r="C247" i="36"/>
  <c r="A248" i="36"/>
  <c r="B248" i="36"/>
  <c r="C248" i="36"/>
  <c r="A249" i="36"/>
  <c r="B249" i="36"/>
  <c r="C249" i="36"/>
  <c r="A250" i="36"/>
  <c r="B250" i="36"/>
  <c r="C250" i="36"/>
  <c r="A251" i="36"/>
  <c r="B251" i="36"/>
  <c r="C251" i="36"/>
  <c r="A252" i="36"/>
  <c r="B252" i="36"/>
  <c r="C252" i="36"/>
  <c r="A253" i="36"/>
  <c r="B253" i="36"/>
  <c r="C253" i="36"/>
  <c r="A254" i="36"/>
  <c r="B254" i="36"/>
  <c r="C254" i="36"/>
  <c r="A255" i="36"/>
  <c r="B255" i="36"/>
  <c r="C255" i="36"/>
  <c r="A256" i="36"/>
  <c r="B256" i="36"/>
  <c r="C256" i="36"/>
  <c r="A257" i="36"/>
  <c r="B257" i="36"/>
  <c r="C257" i="36"/>
  <c r="A258" i="36"/>
  <c r="B258" i="36"/>
  <c r="C258" i="36"/>
  <c r="A259" i="36"/>
  <c r="B259" i="36"/>
  <c r="C259" i="36"/>
  <c r="A260" i="36"/>
  <c r="B260" i="36"/>
  <c r="C260" i="36"/>
  <c r="A261" i="36"/>
  <c r="B261" i="36"/>
  <c r="C261" i="36"/>
  <c r="A262" i="36"/>
  <c r="B262" i="36"/>
  <c r="C262" i="36"/>
  <c r="A263" i="36"/>
  <c r="B263" i="36"/>
  <c r="C263" i="36"/>
  <c r="A264" i="36"/>
  <c r="B264" i="36"/>
  <c r="C264" i="36"/>
  <c r="A265" i="36"/>
  <c r="B265" i="36"/>
  <c r="C265" i="36"/>
  <c r="A266" i="36"/>
  <c r="B266" i="36"/>
  <c r="C266" i="36"/>
  <c r="A267" i="36"/>
  <c r="B267" i="36"/>
  <c r="C267" i="36"/>
  <c r="A268" i="36"/>
  <c r="B268" i="36"/>
  <c r="C268" i="36"/>
  <c r="A269" i="36"/>
  <c r="B269" i="36"/>
  <c r="C269" i="36"/>
  <c r="A270" i="36"/>
  <c r="B270" i="36"/>
  <c r="C270" i="36"/>
  <c r="A271" i="36"/>
  <c r="B271" i="36"/>
  <c r="C271" i="36"/>
  <c r="A272" i="36"/>
  <c r="B272" i="36"/>
  <c r="C272" i="36"/>
  <c r="A273" i="36"/>
  <c r="B273" i="36"/>
  <c r="C273" i="36"/>
  <c r="A274" i="36"/>
  <c r="B274" i="36"/>
  <c r="C274" i="36"/>
  <c r="A275" i="36"/>
  <c r="B275" i="36"/>
  <c r="C275" i="36"/>
  <c r="A276" i="36"/>
  <c r="B276" i="36"/>
  <c r="C276" i="36"/>
  <c r="A277" i="36"/>
  <c r="B277" i="36"/>
  <c r="C277" i="36"/>
  <c r="A278" i="36"/>
  <c r="B278" i="36"/>
  <c r="C278" i="36"/>
  <c r="A279" i="36"/>
  <c r="B279" i="36"/>
  <c r="C279" i="36"/>
  <c r="A280" i="36"/>
  <c r="B280" i="36"/>
  <c r="C280" i="36"/>
  <c r="A281" i="36"/>
  <c r="B281" i="36"/>
  <c r="C281" i="36"/>
  <c r="A282" i="36"/>
  <c r="B282" i="36"/>
  <c r="C282" i="36"/>
  <c r="A283" i="36"/>
  <c r="B283" i="36"/>
  <c r="C283" i="36"/>
  <c r="A284" i="36"/>
  <c r="B284" i="36"/>
  <c r="C284" i="36"/>
  <c r="A285" i="36"/>
  <c r="B285" i="36"/>
  <c r="C285" i="36"/>
  <c r="A286" i="36"/>
  <c r="B286" i="36"/>
  <c r="C286" i="36"/>
  <c r="A287" i="36"/>
  <c r="B287" i="36"/>
  <c r="C287" i="36"/>
  <c r="A288" i="36"/>
  <c r="B288" i="36"/>
  <c r="C288" i="36"/>
  <c r="A289" i="36"/>
  <c r="B289" i="36"/>
  <c r="C289" i="36"/>
  <c r="A290" i="36"/>
  <c r="B290" i="36"/>
  <c r="C290" i="36"/>
  <c r="A291" i="36"/>
  <c r="B291" i="36"/>
  <c r="C291" i="36"/>
  <c r="A292" i="36"/>
  <c r="B292" i="36"/>
  <c r="C292" i="36"/>
  <c r="A293" i="36"/>
  <c r="B293" i="36"/>
  <c r="C293" i="36"/>
  <c r="A294" i="36"/>
  <c r="B294" i="36"/>
  <c r="C294" i="36"/>
  <c r="A295" i="36"/>
  <c r="B295" i="36"/>
  <c r="C295" i="36"/>
  <c r="A296" i="36"/>
  <c r="B296" i="36"/>
  <c r="C296" i="36"/>
  <c r="A297" i="36"/>
  <c r="B297" i="36"/>
  <c r="C297" i="36"/>
  <c r="A298" i="36"/>
  <c r="B298" i="36"/>
  <c r="C298" i="36"/>
  <c r="A299" i="36"/>
  <c r="B299" i="36"/>
  <c r="C299" i="36"/>
  <c r="A300" i="36"/>
  <c r="B300" i="36"/>
  <c r="C300" i="36"/>
  <c r="A301" i="36"/>
  <c r="B301" i="36"/>
  <c r="C301" i="36"/>
  <c r="A302" i="36"/>
  <c r="B302" i="36"/>
  <c r="C302" i="36"/>
  <c r="A303" i="36"/>
  <c r="B303" i="36"/>
  <c r="C303" i="36"/>
  <c r="A304" i="36"/>
  <c r="B304" i="36"/>
  <c r="C304" i="36"/>
  <c r="A305" i="36"/>
  <c r="B305" i="36"/>
  <c r="C305" i="36"/>
  <c r="A306" i="36"/>
  <c r="B306" i="36"/>
  <c r="C306" i="36"/>
  <c r="A307" i="36"/>
  <c r="B307" i="36"/>
  <c r="C307" i="36"/>
  <c r="A308" i="36"/>
  <c r="B308" i="36"/>
  <c r="C308" i="36"/>
  <c r="A13" i="34"/>
  <c r="B13" i="34"/>
  <c r="D13" i="34"/>
  <c r="A14" i="34"/>
  <c r="B14" i="34"/>
  <c r="D14" i="34"/>
  <c r="A15" i="34"/>
  <c r="B15" i="34"/>
  <c r="D15" i="34"/>
  <c r="A16" i="34"/>
  <c r="B16" i="34"/>
  <c r="D16" i="34"/>
  <c r="A17" i="34"/>
  <c r="B17" i="34"/>
  <c r="D17" i="34"/>
  <c r="A18" i="34"/>
  <c r="B18" i="34"/>
  <c r="D18" i="34"/>
  <c r="A19" i="34"/>
  <c r="B19" i="34"/>
  <c r="D19" i="34"/>
  <c r="A20" i="34"/>
  <c r="B20" i="34"/>
  <c r="D20" i="34"/>
  <c r="A21" i="34"/>
  <c r="B21" i="34"/>
  <c r="D21" i="34"/>
  <c r="A22" i="34"/>
  <c r="B22" i="34"/>
  <c r="D22" i="34"/>
  <c r="A23" i="34"/>
  <c r="B23" i="34"/>
  <c r="D23" i="34"/>
  <c r="A24" i="34"/>
  <c r="B24" i="34"/>
  <c r="D24" i="34"/>
  <c r="A25" i="34"/>
  <c r="B25" i="34"/>
  <c r="D25" i="34"/>
  <c r="A26" i="34"/>
  <c r="B26" i="34"/>
  <c r="D26" i="34"/>
  <c r="A27" i="34"/>
  <c r="B27" i="34"/>
  <c r="D27" i="34"/>
  <c r="A28" i="34"/>
  <c r="B28" i="34"/>
  <c r="D28" i="34"/>
  <c r="A29" i="34"/>
  <c r="B29" i="34"/>
  <c r="D29" i="34"/>
  <c r="A30" i="34"/>
  <c r="B30" i="34"/>
  <c r="D30" i="34"/>
  <c r="A31" i="34"/>
  <c r="B31" i="34"/>
  <c r="D31" i="34"/>
  <c r="A32" i="34"/>
  <c r="B32" i="34"/>
  <c r="D32" i="34"/>
  <c r="A33" i="34"/>
  <c r="B33" i="34"/>
  <c r="D33" i="34"/>
  <c r="A34" i="34"/>
  <c r="B34" i="34"/>
  <c r="D34" i="34"/>
  <c r="A35" i="34"/>
  <c r="B35" i="34"/>
  <c r="D35" i="34"/>
  <c r="A36" i="34"/>
  <c r="B36" i="34"/>
  <c r="D36" i="34"/>
  <c r="A37" i="34"/>
  <c r="B37" i="34"/>
  <c r="D37" i="34"/>
  <c r="A38" i="34"/>
  <c r="B38" i="34"/>
  <c r="D38" i="34"/>
  <c r="A39" i="34"/>
  <c r="B39" i="34"/>
  <c r="D39" i="34"/>
  <c r="A40" i="34"/>
  <c r="B40" i="34"/>
  <c r="D40" i="34"/>
  <c r="A41" i="34"/>
  <c r="B41" i="34"/>
  <c r="D41" i="34"/>
  <c r="A42" i="34"/>
  <c r="B42" i="34"/>
  <c r="D42" i="34"/>
  <c r="A43" i="34"/>
  <c r="B43" i="34"/>
  <c r="D43" i="34"/>
  <c r="A44" i="34"/>
  <c r="B44" i="34"/>
  <c r="D44" i="34"/>
  <c r="A45" i="34"/>
  <c r="B45" i="34"/>
  <c r="D45" i="34"/>
  <c r="A46" i="34"/>
  <c r="B46" i="34"/>
  <c r="D46" i="34"/>
  <c r="A47" i="34"/>
  <c r="B47" i="34"/>
  <c r="D47" i="34"/>
  <c r="A48" i="34"/>
  <c r="B48" i="34"/>
  <c r="D48" i="34"/>
  <c r="A49" i="34"/>
  <c r="B49" i="34"/>
  <c r="D49" i="34"/>
  <c r="A50" i="34"/>
  <c r="B50" i="34"/>
  <c r="D50" i="34"/>
  <c r="A51" i="34"/>
  <c r="B51" i="34"/>
  <c r="D51" i="34"/>
  <c r="A52" i="34"/>
  <c r="B52" i="34"/>
  <c r="D52" i="34"/>
  <c r="A53" i="34"/>
  <c r="B53" i="34"/>
  <c r="D53" i="34"/>
  <c r="A54" i="34"/>
  <c r="B54" i="34"/>
  <c r="D54" i="34"/>
  <c r="A55" i="34"/>
  <c r="B55" i="34"/>
  <c r="D55" i="34"/>
  <c r="A56" i="34"/>
  <c r="B56" i="34"/>
  <c r="D56" i="34"/>
  <c r="A57" i="34"/>
  <c r="B57" i="34"/>
  <c r="D57" i="34"/>
  <c r="A58" i="34"/>
  <c r="B58" i="34"/>
  <c r="D58" i="34"/>
  <c r="A59" i="34"/>
  <c r="B59" i="34"/>
  <c r="D59" i="34"/>
  <c r="A60" i="34"/>
  <c r="B60" i="34"/>
  <c r="D60" i="34"/>
  <c r="A61" i="34"/>
  <c r="B61" i="34"/>
  <c r="D61" i="34"/>
  <c r="A62" i="34"/>
  <c r="B62" i="34"/>
  <c r="D62" i="34"/>
  <c r="A63" i="34"/>
  <c r="B63" i="34"/>
  <c r="D63" i="34"/>
  <c r="A64" i="34"/>
  <c r="B64" i="34"/>
  <c r="D64" i="34"/>
  <c r="A65" i="34"/>
  <c r="B65" i="34"/>
  <c r="D65" i="34"/>
  <c r="A66" i="34"/>
  <c r="B66" i="34"/>
  <c r="D66" i="34"/>
  <c r="A67" i="34"/>
  <c r="B67" i="34"/>
  <c r="D67" i="34"/>
  <c r="A68" i="34"/>
  <c r="B68" i="34"/>
  <c r="D68" i="34"/>
  <c r="A69" i="34"/>
  <c r="B69" i="34"/>
  <c r="D69" i="34"/>
  <c r="A70" i="34"/>
  <c r="B70" i="34"/>
  <c r="D70" i="34"/>
  <c r="A71" i="34"/>
  <c r="B71" i="34"/>
  <c r="D71" i="34"/>
  <c r="A72" i="34"/>
  <c r="B72" i="34"/>
  <c r="D72" i="34"/>
  <c r="A73" i="34"/>
  <c r="B73" i="34"/>
  <c r="D73" i="34"/>
  <c r="A74" i="34"/>
  <c r="B74" i="34"/>
  <c r="D74" i="34"/>
  <c r="A75" i="34"/>
  <c r="B75" i="34"/>
  <c r="D75" i="34"/>
  <c r="A76" i="34"/>
  <c r="B76" i="34"/>
  <c r="D76" i="34"/>
  <c r="A77" i="34"/>
  <c r="B77" i="34"/>
  <c r="D77" i="34"/>
  <c r="A78" i="34"/>
  <c r="B78" i="34"/>
  <c r="D78" i="34"/>
  <c r="A79" i="34"/>
  <c r="B79" i="34"/>
  <c r="D79" i="34"/>
  <c r="A80" i="34"/>
  <c r="B80" i="34"/>
  <c r="D80" i="34"/>
  <c r="A81" i="34"/>
  <c r="B81" i="34"/>
  <c r="D81" i="34"/>
  <c r="A82" i="34"/>
  <c r="B82" i="34"/>
  <c r="D82" i="34"/>
  <c r="A83" i="34"/>
  <c r="B83" i="34"/>
  <c r="D83" i="34"/>
  <c r="A84" i="34"/>
  <c r="B84" i="34"/>
  <c r="D84" i="34"/>
  <c r="A85" i="34"/>
  <c r="B85" i="34"/>
  <c r="D85" i="34"/>
  <c r="A86" i="34"/>
  <c r="B86" i="34"/>
  <c r="D86" i="34"/>
  <c r="A87" i="34"/>
  <c r="B87" i="34"/>
  <c r="D87" i="34"/>
  <c r="A88" i="34"/>
  <c r="B88" i="34"/>
  <c r="D88" i="34"/>
  <c r="A89" i="34"/>
  <c r="B89" i="34"/>
  <c r="D89" i="34"/>
  <c r="A90" i="34"/>
  <c r="B90" i="34"/>
  <c r="D90" i="34"/>
  <c r="A91" i="34"/>
  <c r="B91" i="34"/>
  <c r="D91" i="34"/>
  <c r="A92" i="34"/>
  <c r="B92" i="34"/>
  <c r="D92" i="34"/>
  <c r="A93" i="34"/>
  <c r="B93" i="34"/>
  <c r="D93" i="34"/>
  <c r="A94" i="34"/>
  <c r="B94" i="34"/>
  <c r="D94" i="34"/>
  <c r="A95" i="34"/>
  <c r="B95" i="34"/>
  <c r="D95" i="34"/>
  <c r="A96" i="34"/>
  <c r="B96" i="34"/>
  <c r="D96" i="34"/>
  <c r="A97" i="34"/>
  <c r="B97" i="34"/>
  <c r="D97" i="34"/>
  <c r="A98" i="34"/>
  <c r="B98" i="34"/>
  <c r="D98" i="34"/>
  <c r="A99" i="34"/>
  <c r="B99" i="34"/>
  <c r="D99" i="34"/>
  <c r="A100" i="34"/>
  <c r="B100" i="34"/>
  <c r="D100" i="34"/>
  <c r="A101" i="34"/>
  <c r="B101" i="34"/>
  <c r="D101" i="34"/>
  <c r="A102" i="34"/>
  <c r="B102" i="34"/>
  <c r="D102" i="34"/>
  <c r="A103" i="34"/>
  <c r="B103" i="34"/>
  <c r="D103" i="34"/>
  <c r="A104" i="34"/>
  <c r="B104" i="34"/>
  <c r="D104" i="34"/>
  <c r="A105" i="34"/>
  <c r="B105" i="34"/>
  <c r="D105" i="34"/>
  <c r="A106" i="34"/>
  <c r="B106" i="34"/>
  <c r="D106" i="34"/>
  <c r="A107" i="34"/>
  <c r="B107" i="34"/>
  <c r="D107" i="34"/>
  <c r="A108" i="34"/>
  <c r="B108" i="34"/>
  <c r="D108" i="34"/>
  <c r="A109" i="34"/>
  <c r="B109" i="34"/>
  <c r="D109" i="34"/>
  <c r="A110" i="34"/>
  <c r="B110" i="34"/>
  <c r="D110" i="34"/>
  <c r="A111" i="34"/>
  <c r="B111" i="34"/>
  <c r="D111" i="34"/>
  <c r="A112" i="34"/>
  <c r="B112" i="34"/>
  <c r="D112" i="34"/>
  <c r="A113" i="34"/>
  <c r="B113" i="34"/>
  <c r="D113" i="34"/>
  <c r="A114" i="34"/>
  <c r="B114" i="34"/>
  <c r="D114" i="34"/>
  <c r="A115" i="34"/>
  <c r="B115" i="34"/>
  <c r="D115" i="34"/>
  <c r="A116" i="34"/>
  <c r="B116" i="34"/>
  <c r="D116" i="34"/>
  <c r="A117" i="34"/>
  <c r="B117" i="34"/>
  <c r="D117" i="34"/>
  <c r="A118" i="34"/>
  <c r="B118" i="34"/>
  <c r="D118" i="34"/>
  <c r="A119" i="34"/>
  <c r="B119" i="34"/>
  <c r="D119" i="34"/>
  <c r="A120" i="34"/>
  <c r="B120" i="34"/>
  <c r="D120" i="34"/>
  <c r="A121" i="34"/>
  <c r="B121" i="34"/>
  <c r="D121" i="34"/>
  <c r="A122" i="34"/>
  <c r="B122" i="34"/>
  <c r="D122" i="34"/>
  <c r="A123" i="34"/>
  <c r="B123" i="34"/>
  <c r="D123" i="34"/>
  <c r="A124" i="34"/>
  <c r="B124" i="34"/>
  <c r="D124" i="34"/>
  <c r="A125" i="34"/>
  <c r="B125" i="34"/>
  <c r="D125" i="34"/>
  <c r="A126" i="34"/>
  <c r="B126" i="34"/>
  <c r="D126" i="34"/>
  <c r="A127" i="34"/>
  <c r="B127" i="34"/>
  <c r="D127" i="34"/>
  <c r="A128" i="34"/>
  <c r="B128" i="34"/>
  <c r="D128" i="34"/>
  <c r="A129" i="34"/>
  <c r="B129" i="34"/>
  <c r="D129" i="34"/>
  <c r="A130" i="34"/>
  <c r="B130" i="34"/>
  <c r="D130" i="34"/>
  <c r="A131" i="34"/>
  <c r="B131" i="34"/>
  <c r="D131" i="34"/>
  <c r="A132" i="34"/>
  <c r="B132" i="34"/>
  <c r="D132" i="34"/>
  <c r="A133" i="34"/>
  <c r="B133" i="34"/>
  <c r="D133" i="34"/>
  <c r="A134" i="34"/>
  <c r="B134" i="34"/>
  <c r="D134" i="34"/>
  <c r="A135" i="34"/>
  <c r="B135" i="34"/>
  <c r="D135" i="34"/>
  <c r="A136" i="34"/>
  <c r="B136" i="34"/>
  <c r="D136" i="34"/>
  <c r="A137" i="34"/>
  <c r="B137" i="34"/>
  <c r="D137" i="34"/>
  <c r="A138" i="34"/>
  <c r="B138" i="34"/>
  <c r="D138" i="34"/>
  <c r="A139" i="34"/>
  <c r="B139" i="34"/>
  <c r="D139" i="34"/>
  <c r="A140" i="34"/>
  <c r="B140" i="34"/>
  <c r="D140" i="34"/>
  <c r="A141" i="34"/>
  <c r="B141" i="34"/>
  <c r="D141" i="34"/>
  <c r="A142" i="34"/>
  <c r="B142" i="34"/>
  <c r="D142" i="34"/>
  <c r="A143" i="34"/>
  <c r="B143" i="34"/>
  <c r="D143" i="34"/>
  <c r="A144" i="34"/>
  <c r="B144" i="34"/>
  <c r="D144" i="34"/>
  <c r="A145" i="34"/>
  <c r="B145" i="34"/>
  <c r="D145" i="34"/>
  <c r="A146" i="34"/>
  <c r="B146" i="34"/>
  <c r="D146" i="34"/>
  <c r="A147" i="34"/>
  <c r="B147" i="34"/>
  <c r="D147" i="34"/>
  <c r="A148" i="34"/>
  <c r="B148" i="34"/>
  <c r="D148" i="34"/>
  <c r="A149" i="34"/>
  <c r="B149" i="34"/>
  <c r="D149" i="34"/>
  <c r="A150" i="34"/>
  <c r="B150" i="34"/>
  <c r="D150" i="34"/>
  <c r="A151" i="34"/>
  <c r="B151" i="34"/>
  <c r="D151" i="34"/>
  <c r="A152" i="34"/>
  <c r="B152" i="34"/>
  <c r="D152" i="34"/>
  <c r="A153" i="34"/>
  <c r="B153" i="34"/>
  <c r="D153" i="34"/>
  <c r="A154" i="34"/>
  <c r="B154" i="34"/>
  <c r="D154" i="34"/>
  <c r="A155" i="34"/>
  <c r="B155" i="34"/>
  <c r="D155" i="34"/>
  <c r="A156" i="34"/>
  <c r="B156" i="34"/>
  <c r="D156" i="34"/>
  <c r="A157" i="34"/>
  <c r="B157" i="34"/>
  <c r="D157" i="34"/>
  <c r="A158" i="34"/>
  <c r="B158" i="34"/>
  <c r="D158" i="34"/>
  <c r="A159" i="34"/>
  <c r="B159" i="34"/>
  <c r="D159" i="34"/>
  <c r="A160" i="34"/>
  <c r="B160" i="34"/>
  <c r="D160" i="34"/>
  <c r="A161" i="34"/>
  <c r="B161" i="34"/>
  <c r="D161" i="34"/>
  <c r="A162" i="34"/>
  <c r="B162" i="34"/>
  <c r="D162" i="34"/>
  <c r="A163" i="34"/>
  <c r="B163" i="34"/>
  <c r="D163" i="34"/>
  <c r="A164" i="34"/>
  <c r="B164" i="34"/>
  <c r="D164" i="34"/>
  <c r="A165" i="34"/>
  <c r="B165" i="34"/>
  <c r="D165" i="34"/>
  <c r="A166" i="34"/>
  <c r="B166" i="34"/>
  <c r="D166" i="34"/>
  <c r="A167" i="34"/>
  <c r="B167" i="34"/>
  <c r="D167" i="34"/>
  <c r="A168" i="34"/>
  <c r="B168" i="34"/>
  <c r="D168" i="34"/>
  <c r="A169" i="34"/>
  <c r="B169" i="34"/>
  <c r="D169" i="34"/>
  <c r="A170" i="34"/>
  <c r="B170" i="34"/>
  <c r="D170" i="34"/>
  <c r="A171" i="34"/>
  <c r="B171" i="34"/>
  <c r="D171" i="34"/>
  <c r="A172" i="34"/>
  <c r="B172" i="34"/>
  <c r="D172" i="34"/>
  <c r="A173" i="34"/>
  <c r="B173" i="34"/>
  <c r="D173" i="34"/>
  <c r="A174" i="34"/>
  <c r="B174" i="34"/>
  <c r="D174" i="34"/>
  <c r="A175" i="34"/>
  <c r="B175" i="34"/>
  <c r="D175" i="34"/>
  <c r="A176" i="34"/>
  <c r="B176" i="34"/>
  <c r="D176" i="34"/>
  <c r="A177" i="34"/>
  <c r="B177" i="34"/>
  <c r="D177" i="34"/>
  <c r="A178" i="34"/>
  <c r="B178" i="34"/>
  <c r="D178" i="34"/>
  <c r="A179" i="34"/>
  <c r="B179" i="34"/>
  <c r="D179" i="34"/>
  <c r="A180" i="34"/>
  <c r="B180" i="34"/>
  <c r="D180" i="34"/>
  <c r="A181" i="34"/>
  <c r="B181" i="34"/>
  <c r="D181" i="34"/>
  <c r="A182" i="34"/>
  <c r="B182" i="34"/>
  <c r="D182" i="34"/>
  <c r="A183" i="34"/>
  <c r="B183" i="34"/>
  <c r="D183" i="34"/>
  <c r="A184" i="34"/>
  <c r="B184" i="34"/>
  <c r="D184" i="34"/>
  <c r="A185" i="34"/>
  <c r="B185" i="34"/>
  <c r="D185" i="34"/>
  <c r="A186" i="34"/>
  <c r="B186" i="34"/>
  <c r="D186" i="34"/>
  <c r="A187" i="34"/>
  <c r="B187" i="34"/>
  <c r="D187" i="34"/>
  <c r="A188" i="34"/>
  <c r="B188" i="34"/>
  <c r="D188" i="34"/>
  <c r="A189" i="34"/>
  <c r="B189" i="34"/>
  <c r="D189" i="34"/>
  <c r="A190" i="34"/>
  <c r="B190" i="34"/>
  <c r="D190" i="34"/>
  <c r="A191" i="34"/>
  <c r="B191" i="34"/>
  <c r="D191" i="34"/>
  <c r="A192" i="34"/>
  <c r="B192" i="34"/>
  <c r="D192" i="34"/>
  <c r="A193" i="34"/>
  <c r="B193" i="34"/>
  <c r="D193" i="34"/>
  <c r="A194" i="34"/>
  <c r="B194" i="34"/>
  <c r="D194" i="34"/>
  <c r="A195" i="34"/>
  <c r="B195" i="34"/>
  <c r="D195" i="34"/>
  <c r="A196" i="34"/>
  <c r="B196" i="34"/>
  <c r="D196" i="34"/>
  <c r="A197" i="34"/>
  <c r="B197" i="34"/>
  <c r="D197" i="34"/>
  <c r="A198" i="34"/>
  <c r="B198" i="34"/>
  <c r="D198" i="34"/>
  <c r="A199" i="34"/>
  <c r="B199" i="34"/>
  <c r="D199" i="34"/>
  <c r="A200" i="34"/>
  <c r="B200" i="34"/>
  <c r="D200" i="34"/>
  <c r="A201" i="34"/>
  <c r="B201" i="34"/>
  <c r="D201" i="34"/>
  <c r="A202" i="34"/>
  <c r="B202" i="34"/>
  <c r="D202" i="34"/>
  <c r="A203" i="34"/>
  <c r="B203" i="34"/>
  <c r="D203" i="34"/>
  <c r="A204" i="34"/>
  <c r="B204" i="34"/>
  <c r="D204" i="34"/>
  <c r="A205" i="34"/>
  <c r="B205" i="34"/>
  <c r="D205" i="34"/>
  <c r="A206" i="34"/>
  <c r="B206" i="34"/>
  <c r="D206" i="34"/>
  <c r="A207" i="34"/>
  <c r="B207" i="34"/>
  <c r="D207" i="34"/>
  <c r="A208" i="34"/>
  <c r="B208" i="34"/>
  <c r="D208" i="34"/>
  <c r="A209" i="34"/>
  <c r="B209" i="34"/>
  <c r="D209" i="34"/>
  <c r="A210" i="34"/>
  <c r="B210" i="34"/>
  <c r="D210" i="34"/>
  <c r="A211" i="34"/>
  <c r="B211" i="34"/>
  <c r="D211" i="34"/>
  <c r="A212" i="34"/>
  <c r="B212" i="34"/>
  <c r="D212" i="34"/>
  <c r="A213" i="34"/>
  <c r="B213" i="34"/>
  <c r="D213" i="34"/>
  <c r="A214" i="34"/>
  <c r="B214" i="34"/>
  <c r="D214" i="34"/>
  <c r="A215" i="34"/>
  <c r="B215" i="34"/>
  <c r="D215" i="34"/>
  <c r="A216" i="34"/>
  <c r="B216" i="34"/>
  <c r="D216" i="34"/>
  <c r="A217" i="34"/>
  <c r="B217" i="34"/>
  <c r="D217" i="34"/>
  <c r="A218" i="34"/>
  <c r="B218" i="34"/>
  <c r="D218" i="34"/>
  <c r="A219" i="34"/>
  <c r="B219" i="34"/>
  <c r="D219" i="34"/>
  <c r="A220" i="34"/>
  <c r="B220" i="34"/>
  <c r="D220" i="34"/>
  <c r="A221" i="34"/>
  <c r="B221" i="34"/>
  <c r="D221" i="34"/>
  <c r="A222" i="34"/>
  <c r="B222" i="34"/>
  <c r="D222" i="34"/>
  <c r="A223" i="34"/>
  <c r="B223" i="34"/>
  <c r="D223" i="34"/>
  <c r="A224" i="34"/>
  <c r="B224" i="34"/>
  <c r="D224" i="34"/>
  <c r="A225" i="34"/>
  <c r="B225" i="34"/>
  <c r="D225" i="34"/>
  <c r="A226" i="34"/>
  <c r="B226" i="34"/>
  <c r="D226" i="34"/>
  <c r="A227" i="34"/>
  <c r="B227" i="34"/>
  <c r="D227" i="34"/>
  <c r="A228" i="34"/>
  <c r="B228" i="34"/>
  <c r="D228" i="34"/>
  <c r="A229" i="34"/>
  <c r="B229" i="34"/>
  <c r="D229" i="34"/>
  <c r="A230" i="34"/>
  <c r="B230" i="34"/>
  <c r="D230" i="34"/>
  <c r="A231" i="34"/>
  <c r="B231" i="34"/>
  <c r="D231" i="34"/>
  <c r="A232" i="34"/>
  <c r="B232" i="34"/>
  <c r="D232" i="34"/>
  <c r="A233" i="34"/>
  <c r="B233" i="34"/>
  <c r="D233" i="34"/>
  <c r="A234" i="34"/>
  <c r="B234" i="34"/>
  <c r="D234" i="34"/>
  <c r="A235" i="34"/>
  <c r="B235" i="34"/>
  <c r="D235" i="34"/>
  <c r="A236" i="34"/>
  <c r="B236" i="34"/>
  <c r="D236" i="34"/>
  <c r="A237" i="34"/>
  <c r="B237" i="34"/>
  <c r="D237" i="34"/>
  <c r="A238" i="34"/>
  <c r="B238" i="34"/>
  <c r="D238" i="34"/>
  <c r="A239" i="34"/>
  <c r="B239" i="34"/>
  <c r="D239" i="34"/>
  <c r="A240" i="34"/>
  <c r="B240" i="34"/>
  <c r="D240" i="34"/>
  <c r="A241" i="34"/>
  <c r="B241" i="34"/>
  <c r="D241" i="34"/>
  <c r="A242" i="34"/>
  <c r="B242" i="34"/>
  <c r="D242" i="34"/>
  <c r="A243" i="34"/>
  <c r="B243" i="34"/>
  <c r="D243" i="34"/>
  <c r="A244" i="34"/>
  <c r="B244" i="34"/>
  <c r="D244" i="34"/>
  <c r="A245" i="34"/>
  <c r="B245" i="34"/>
  <c r="D245" i="34"/>
  <c r="A246" i="34"/>
  <c r="B246" i="34"/>
  <c r="D246" i="34"/>
  <c r="A247" i="34"/>
  <c r="B247" i="34"/>
  <c r="D247" i="34"/>
  <c r="A248" i="34"/>
  <c r="B248" i="34"/>
  <c r="D248" i="34"/>
  <c r="A249" i="34"/>
  <c r="B249" i="34"/>
  <c r="D249" i="34"/>
  <c r="A250" i="34"/>
  <c r="B250" i="34"/>
  <c r="D250" i="34"/>
  <c r="A251" i="34"/>
  <c r="B251" i="34"/>
  <c r="D251" i="34"/>
  <c r="A252" i="34"/>
  <c r="B252" i="34"/>
  <c r="D252" i="34"/>
  <c r="A253" i="34"/>
  <c r="B253" i="34"/>
  <c r="D253" i="34"/>
  <c r="A254" i="34"/>
  <c r="B254" i="34"/>
  <c r="D254" i="34"/>
  <c r="A255" i="34"/>
  <c r="B255" i="34"/>
  <c r="D255" i="34"/>
  <c r="A256" i="34"/>
  <c r="B256" i="34"/>
  <c r="D256" i="34"/>
  <c r="A257" i="34"/>
  <c r="B257" i="34"/>
  <c r="D257" i="34"/>
  <c r="A258" i="34"/>
  <c r="B258" i="34"/>
  <c r="D258" i="34"/>
  <c r="A259" i="34"/>
  <c r="B259" i="34"/>
  <c r="D259" i="34"/>
  <c r="A260" i="34"/>
  <c r="B260" i="34"/>
  <c r="D260" i="34"/>
  <c r="A261" i="34"/>
  <c r="B261" i="34"/>
  <c r="D261" i="34"/>
  <c r="A262" i="34"/>
  <c r="B262" i="34"/>
  <c r="D262" i="34"/>
  <c r="A263" i="34"/>
  <c r="B263" i="34"/>
  <c r="D263" i="34"/>
  <c r="A264" i="34"/>
  <c r="B264" i="34"/>
  <c r="D264" i="34"/>
  <c r="A265" i="34"/>
  <c r="B265" i="34"/>
  <c r="D265" i="34"/>
  <c r="A266" i="34"/>
  <c r="B266" i="34"/>
  <c r="D266" i="34"/>
  <c r="A267" i="34"/>
  <c r="B267" i="34"/>
  <c r="D267" i="34"/>
  <c r="A268" i="34"/>
  <c r="B268" i="34"/>
  <c r="D268" i="34"/>
  <c r="A269" i="34"/>
  <c r="B269" i="34"/>
  <c r="D269" i="34"/>
  <c r="A270" i="34"/>
  <c r="B270" i="34"/>
  <c r="D270" i="34"/>
  <c r="A271" i="34"/>
  <c r="B271" i="34"/>
  <c r="D271" i="34"/>
  <c r="A272" i="34"/>
  <c r="B272" i="34"/>
  <c r="D272" i="34"/>
  <c r="A273" i="34"/>
  <c r="B273" i="34"/>
  <c r="D273" i="34"/>
  <c r="A274" i="34"/>
  <c r="B274" i="34"/>
  <c r="D274" i="34"/>
  <c r="A275" i="34"/>
  <c r="B275" i="34"/>
  <c r="D275" i="34"/>
  <c r="A276" i="34"/>
  <c r="B276" i="34"/>
  <c r="D276" i="34"/>
  <c r="A277" i="34"/>
  <c r="B277" i="34"/>
  <c r="D277" i="34"/>
  <c r="A278" i="34"/>
  <c r="B278" i="34"/>
  <c r="D278" i="34"/>
  <c r="A279" i="34"/>
  <c r="B279" i="34"/>
  <c r="D279" i="34"/>
  <c r="A280" i="34"/>
  <c r="B280" i="34"/>
  <c r="D280" i="34"/>
  <c r="A281" i="34"/>
  <c r="B281" i="34"/>
  <c r="D281" i="34"/>
  <c r="A282" i="34"/>
  <c r="B282" i="34"/>
  <c r="D282" i="34"/>
  <c r="A283" i="34"/>
  <c r="B283" i="34"/>
  <c r="D283" i="34"/>
  <c r="A284" i="34"/>
  <c r="B284" i="34"/>
  <c r="D284" i="34"/>
  <c r="A285" i="34"/>
  <c r="B285" i="34"/>
  <c r="D285" i="34"/>
  <c r="A286" i="34"/>
  <c r="B286" i="34"/>
  <c r="D286" i="34"/>
  <c r="A287" i="34"/>
  <c r="B287" i="34"/>
  <c r="D287" i="34"/>
  <c r="A288" i="34"/>
  <c r="B288" i="34"/>
  <c r="D288" i="34"/>
  <c r="A289" i="34"/>
  <c r="B289" i="34"/>
  <c r="D289" i="34"/>
  <c r="A290" i="34"/>
  <c r="B290" i="34"/>
  <c r="D290" i="34"/>
  <c r="A291" i="34"/>
  <c r="B291" i="34"/>
  <c r="D291" i="34"/>
  <c r="A292" i="34"/>
  <c r="B292" i="34"/>
  <c r="D292" i="34"/>
  <c r="A293" i="34"/>
  <c r="B293" i="34"/>
  <c r="D293" i="34"/>
  <c r="A294" i="34"/>
  <c r="B294" i="34"/>
  <c r="D294" i="34"/>
  <c r="A295" i="34"/>
  <c r="B295" i="34"/>
  <c r="D295" i="34"/>
  <c r="A296" i="34"/>
  <c r="B296" i="34"/>
  <c r="D296" i="34"/>
  <c r="A297" i="34"/>
  <c r="B297" i="34"/>
  <c r="D297" i="34"/>
  <c r="A298" i="34"/>
  <c r="B298" i="34"/>
  <c r="D298" i="34"/>
  <c r="A299" i="34"/>
  <c r="B299" i="34"/>
  <c r="D299" i="34"/>
  <c r="A300" i="34"/>
  <c r="B300" i="34"/>
  <c r="D300" i="34"/>
  <c r="A301" i="34"/>
  <c r="B301" i="34"/>
  <c r="D301" i="34"/>
  <c r="A302" i="34"/>
  <c r="B302" i="34"/>
  <c r="D302" i="34"/>
  <c r="A303" i="34"/>
  <c r="B303" i="34"/>
  <c r="D303" i="34"/>
  <c r="A304" i="34"/>
  <c r="B304" i="34"/>
  <c r="D304" i="34"/>
  <c r="A305" i="34"/>
  <c r="B305" i="34"/>
  <c r="D305" i="34"/>
  <c r="A306" i="34"/>
  <c r="B306" i="34"/>
  <c r="D306" i="34"/>
  <c r="A307" i="34"/>
  <c r="B307" i="34"/>
  <c r="D307" i="34"/>
  <c r="A308" i="34"/>
  <c r="B308" i="34"/>
  <c r="D308" i="34"/>
  <c r="A309" i="34"/>
  <c r="B309" i="34"/>
  <c r="D309" i="34"/>
  <c r="A310" i="34"/>
  <c r="B310" i="34"/>
  <c r="D310" i="34"/>
  <c r="A311" i="34"/>
  <c r="B311" i="34"/>
  <c r="D311" i="34"/>
  <c r="A7" i="33"/>
  <c r="B7" i="33"/>
  <c r="D7" i="33"/>
  <c r="A8" i="33"/>
  <c r="B8" i="33"/>
  <c r="D8" i="33"/>
  <c r="A9" i="33"/>
  <c r="B9" i="33"/>
  <c r="D9" i="33"/>
  <c r="A10" i="33"/>
  <c r="B10" i="33"/>
  <c r="D10" i="33"/>
  <c r="A11" i="33"/>
  <c r="B11" i="33"/>
  <c r="D11" i="33"/>
  <c r="A12" i="33"/>
  <c r="B12" i="33"/>
  <c r="D12" i="33"/>
  <c r="A13" i="33"/>
  <c r="B13" i="33"/>
  <c r="D13" i="33"/>
  <c r="A14" i="33"/>
  <c r="B14" i="33"/>
  <c r="D14" i="33"/>
  <c r="A15" i="33"/>
  <c r="B15" i="33"/>
  <c r="D15" i="33"/>
  <c r="A16" i="33"/>
  <c r="B16" i="33"/>
  <c r="D16" i="33"/>
  <c r="A17" i="33"/>
  <c r="B17" i="33"/>
  <c r="D17" i="33"/>
  <c r="A18" i="33"/>
  <c r="B18" i="33"/>
  <c r="D18" i="33"/>
  <c r="A19" i="33"/>
  <c r="B19" i="33"/>
  <c r="D19" i="33"/>
  <c r="A20" i="33"/>
  <c r="B20" i="33"/>
  <c r="D20" i="33"/>
  <c r="A21" i="33"/>
  <c r="B21" i="33"/>
  <c r="D21" i="33"/>
  <c r="A22" i="33"/>
  <c r="B22" i="33"/>
  <c r="D22" i="33"/>
  <c r="A23" i="33"/>
  <c r="B23" i="33"/>
  <c r="D23" i="33"/>
  <c r="A24" i="33"/>
  <c r="B24" i="33"/>
  <c r="D24" i="33"/>
  <c r="A25" i="33"/>
  <c r="B25" i="33"/>
  <c r="D25" i="33"/>
  <c r="A26" i="33"/>
  <c r="B26" i="33"/>
  <c r="D26" i="33"/>
  <c r="A27" i="33"/>
  <c r="B27" i="33"/>
  <c r="D27" i="33"/>
  <c r="A28" i="33"/>
  <c r="B28" i="33"/>
  <c r="D28" i="33"/>
  <c r="A29" i="33"/>
  <c r="B29" i="33"/>
  <c r="D29" i="33"/>
  <c r="A30" i="33"/>
  <c r="B30" i="33"/>
  <c r="D30" i="33"/>
  <c r="A31" i="33"/>
  <c r="B31" i="33"/>
  <c r="D31" i="33"/>
  <c r="A32" i="33"/>
  <c r="B32" i="33"/>
  <c r="D32" i="33"/>
  <c r="A33" i="33"/>
  <c r="B33" i="33"/>
  <c r="D33" i="33"/>
  <c r="A34" i="33"/>
  <c r="B34" i="33"/>
  <c r="D34" i="33"/>
  <c r="A35" i="33"/>
  <c r="B35" i="33"/>
  <c r="D35" i="33"/>
  <c r="A36" i="33"/>
  <c r="B36" i="33"/>
  <c r="D36" i="33"/>
  <c r="A37" i="33"/>
  <c r="B37" i="33"/>
  <c r="D37" i="33"/>
  <c r="A38" i="33"/>
  <c r="B38" i="33"/>
  <c r="D38" i="33"/>
  <c r="A39" i="33"/>
  <c r="B39" i="33"/>
  <c r="D39" i="33"/>
  <c r="A40" i="33"/>
  <c r="B40" i="33"/>
  <c r="D40" i="33"/>
  <c r="A41" i="33"/>
  <c r="B41" i="33"/>
  <c r="D41" i="33"/>
  <c r="A42" i="33"/>
  <c r="B42" i="33"/>
  <c r="D42" i="33"/>
  <c r="A43" i="33"/>
  <c r="B43" i="33"/>
  <c r="D43" i="33"/>
  <c r="A44" i="33"/>
  <c r="B44" i="33"/>
  <c r="D44" i="33"/>
  <c r="A45" i="33"/>
  <c r="B45" i="33"/>
  <c r="D45" i="33"/>
  <c r="A46" i="33"/>
  <c r="B46" i="33"/>
  <c r="D46" i="33"/>
  <c r="A47" i="33"/>
  <c r="B47" i="33"/>
  <c r="D47" i="33"/>
  <c r="A48" i="33"/>
  <c r="B48" i="33"/>
  <c r="D48" i="33"/>
  <c r="A49" i="33"/>
  <c r="B49" i="33"/>
  <c r="D49" i="33"/>
  <c r="A50" i="33"/>
  <c r="B50" i="33"/>
  <c r="D50" i="33"/>
  <c r="A51" i="33"/>
  <c r="B51" i="33"/>
  <c r="D51" i="33"/>
  <c r="A52" i="33"/>
  <c r="B52" i="33"/>
  <c r="D52" i="33"/>
  <c r="A53" i="33"/>
  <c r="B53" i="33"/>
  <c r="D53" i="33"/>
  <c r="A54" i="33"/>
  <c r="B54" i="33"/>
  <c r="D54" i="33"/>
  <c r="A55" i="33"/>
  <c r="B55" i="33"/>
  <c r="D55" i="33"/>
  <c r="A56" i="33"/>
  <c r="B56" i="33"/>
  <c r="D56" i="33"/>
  <c r="A57" i="33"/>
  <c r="B57" i="33"/>
  <c r="D57" i="33"/>
  <c r="A58" i="33"/>
  <c r="B58" i="33"/>
  <c r="D58" i="33"/>
  <c r="A59" i="33"/>
  <c r="B59" i="33"/>
  <c r="D59" i="33"/>
  <c r="A60" i="33"/>
  <c r="B60" i="33"/>
  <c r="D60" i="33"/>
  <c r="A61" i="33"/>
  <c r="B61" i="33"/>
  <c r="D61" i="33"/>
  <c r="A62" i="33"/>
  <c r="B62" i="33"/>
  <c r="D62" i="33"/>
  <c r="A63" i="33"/>
  <c r="B63" i="33"/>
  <c r="D63" i="33"/>
  <c r="A64" i="33"/>
  <c r="B64" i="33"/>
  <c r="D64" i="33"/>
  <c r="A65" i="33"/>
  <c r="B65" i="33"/>
  <c r="D65" i="33"/>
  <c r="A66" i="33"/>
  <c r="B66" i="33"/>
  <c r="D66" i="33"/>
  <c r="A67" i="33"/>
  <c r="B67" i="33"/>
  <c r="D67" i="33"/>
  <c r="A68" i="33"/>
  <c r="B68" i="33"/>
  <c r="D68" i="33"/>
  <c r="A69" i="33"/>
  <c r="B69" i="33"/>
  <c r="D69" i="33"/>
  <c r="A70" i="33"/>
  <c r="B70" i="33"/>
  <c r="D70" i="33"/>
  <c r="A71" i="33"/>
  <c r="B71" i="33"/>
  <c r="D71" i="33"/>
  <c r="A72" i="33"/>
  <c r="B72" i="33"/>
  <c r="D72" i="33"/>
  <c r="A73" i="33"/>
  <c r="B73" i="33"/>
  <c r="D73" i="33"/>
  <c r="A74" i="33"/>
  <c r="B74" i="33"/>
  <c r="D74" i="33"/>
  <c r="A75" i="33"/>
  <c r="B75" i="33"/>
  <c r="D75" i="33"/>
  <c r="A76" i="33"/>
  <c r="B76" i="33"/>
  <c r="D76" i="33"/>
  <c r="A77" i="33"/>
  <c r="B77" i="33"/>
  <c r="D77" i="33"/>
  <c r="A78" i="33"/>
  <c r="B78" i="33"/>
  <c r="D78" i="33"/>
  <c r="A79" i="33"/>
  <c r="B79" i="33"/>
  <c r="D79" i="33"/>
  <c r="A80" i="33"/>
  <c r="B80" i="33"/>
  <c r="D80" i="33"/>
  <c r="A81" i="33"/>
  <c r="B81" i="33"/>
  <c r="D81" i="33"/>
  <c r="A82" i="33"/>
  <c r="B82" i="33"/>
  <c r="D82" i="33"/>
  <c r="A83" i="33"/>
  <c r="B83" i="33"/>
  <c r="D83" i="33"/>
  <c r="A84" i="33"/>
  <c r="B84" i="33"/>
  <c r="D84" i="33"/>
  <c r="A85" i="33"/>
  <c r="B85" i="33"/>
  <c r="D85" i="33"/>
  <c r="A86" i="33"/>
  <c r="B86" i="33"/>
  <c r="D86" i="33"/>
  <c r="A87" i="33"/>
  <c r="B87" i="33"/>
  <c r="D87" i="33"/>
  <c r="A88" i="33"/>
  <c r="B88" i="33"/>
  <c r="D88" i="33"/>
  <c r="A89" i="33"/>
  <c r="B89" i="33"/>
  <c r="D89" i="33"/>
  <c r="A90" i="33"/>
  <c r="B90" i="33"/>
  <c r="D90" i="33"/>
  <c r="A91" i="33"/>
  <c r="B91" i="33"/>
  <c r="D91" i="33"/>
  <c r="A92" i="33"/>
  <c r="B92" i="33"/>
  <c r="D92" i="33"/>
  <c r="A93" i="33"/>
  <c r="B93" i="33"/>
  <c r="D93" i="33"/>
  <c r="A94" i="33"/>
  <c r="B94" i="33"/>
  <c r="D94" i="33"/>
  <c r="A95" i="33"/>
  <c r="B95" i="33"/>
  <c r="D95" i="33"/>
  <c r="A96" i="33"/>
  <c r="B96" i="33"/>
  <c r="D96" i="33"/>
  <c r="A97" i="33"/>
  <c r="B97" i="33"/>
  <c r="D97" i="33"/>
  <c r="A98" i="33"/>
  <c r="B98" i="33"/>
  <c r="D98" i="33"/>
  <c r="A99" i="33"/>
  <c r="B99" i="33"/>
  <c r="D99" i="33"/>
  <c r="A100" i="33"/>
  <c r="B100" i="33"/>
  <c r="D100" i="33"/>
  <c r="A101" i="33"/>
  <c r="B101" i="33"/>
  <c r="D101" i="33"/>
  <c r="A102" i="33"/>
  <c r="B102" i="33"/>
  <c r="D102" i="33"/>
  <c r="A103" i="33"/>
  <c r="B103" i="33"/>
  <c r="D103" i="33"/>
  <c r="A104" i="33"/>
  <c r="B104" i="33"/>
  <c r="D104" i="33"/>
  <c r="A105" i="33"/>
  <c r="B105" i="33"/>
  <c r="D105" i="33"/>
  <c r="A106" i="33"/>
  <c r="B106" i="33"/>
  <c r="D106" i="33"/>
  <c r="A107" i="33"/>
  <c r="B107" i="33"/>
  <c r="D107" i="33"/>
  <c r="A108" i="33"/>
  <c r="B108" i="33"/>
  <c r="D108" i="33"/>
  <c r="A109" i="33"/>
  <c r="B109" i="33"/>
  <c r="D109" i="33"/>
  <c r="A110" i="33"/>
  <c r="B110" i="33"/>
  <c r="D110" i="33"/>
  <c r="A111" i="33"/>
  <c r="B111" i="33"/>
  <c r="D111" i="33"/>
  <c r="A112" i="33"/>
  <c r="B112" i="33"/>
  <c r="D112" i="33"/>
  <c r="A113" i="33"/>
  <c r="B113" i="33"/>
  <c r="D113" i="33"/>
  <c r="A114" i="33"/>
  <c r="B114" i="33"/>
  <c r="D114" i="33"/>
  <c r="A115" i="33"/>
  <c r="B115" i="33"/>
  <c r="D115" i="33"/>
  <c r="A116" i="33"/>
  <c r="B116" i="33"/>
  <c r="D116" i="33"/>
  <c r="A117" i="33"/>
  <c r="B117" i="33"/>
  <c r="D117" i="33"/>
  <c r="A118" i="33"/>
  <c r="B118" i="33"/>
  <c r="D118" i="33"/>
  <c r="A119" i="33"/>
  <c r="B119" i="33"/>
  <c r="D119" i="33"/>
  <c r="A120" i="33"/>
  <c r="B120" i="33"/>
  <c r="D120" i="33"/>
  <c r="A121" i="33"/>
  <c r="B121" i="33"/>
  <c r="D121" i="33"/>
  <c r="A122" i="33"/>
  <c r="B122" i="33"/>
  <c r="D122" i="33"/>
  <c r="A123" i="33"/>
  <c r="B123" i="33"/>
  <c r="D123" i="33"/>
  <c r="A124" i="33"/>
  <c r="B124" i="33"/>
  <c r="D124" i="33"/>
  <c r="A125" i="33"/>
  <c r="B125" i="33"/>
  <c r="D125" i="33"/>
  <c r="A126" i="33"/>
  <c r="B126" i="33"/>
  <c r="D126" i="33"/>
  <c r="A127" i="33"/>
  <c r="B127" i="33"/>
  <c r="D127" i="33"/>
  <c r="A128" i="33"/>
  <c r="B128" i="33"/>
  <c r="D128" i="33"/>
  <c r="A129" i="33"/>
  <c r="B129" i="33"/>
  <c r="D129" i="33"/>
  <c r="A130" i="33"/>
  <c r="B130" i="33"/>
  <c r="D130" i="33"/>
  <c r="A131" i="33"/>
  <c r="B131" i="33"/>
  <c r="D131" i="33"/>
  <c r="A132" i="33"/>
  <c r="B132" i="33"/>
  <c r="D132" i="33"/>
  <c r="A133" i="33"/>
  <c r="B133" i="33"/>
  <c r="D133" i="33"/>
  <c r="A134" i="33"/>
  <c r="B134" i="33"/>
  <c r="D134" i="33"/>
  <c r="A135" i="33"/>
  <c r="B135" i="33"/>
  <c r="D135" i="33"/>
  <c r="A136" i="33"/>
  <c r="B136" i="33"/>
  <c r="D136" i="33"/>
  <c r="A137" i="33"/>
  <c r="B137" i="33"/>
  <c r="D137" i="33"/>
  <c r="A138" i="33"/>
  <c r="B138" i="33"/>
  <c r="D138" i="33"/>
  <c r="A139" i="33"/>
  <c r="B139" i="33"/>
  <c r="D139" i="33"/>
  <c r="A140" i="33"/>
  <c r="B140" i="33"/>
  <c r="D140" i="33"/>
  <c r="A141" i="33"/>
  <c r="B141" i="33"/>
  <c r="D141" i="33"/>
  <c r="A142" i="33"/>
  <c r="B142" i="33"/>
  <c r="D142" i="33"/>
  <c r="A143" i="33"/>
  <c r="B143" i="33"/>
  <c r="D143" i="33"/>
  <c r="A144" i="33"/>
  <c r="B144" i="33"/>
  <c r="D144" i="33"/>
  <c r="A145" i="33"/>
  <c r="B145" i="33"/>
  <c r="D145" i="33"/>
  <c r="A146" i="33"/>
  <c r="B146" i="33"/>
  <c r="D146" i="33"/>
  <c r="A147" i="33"/>
  <c r="B147" i="33"/>
  <c r="D147" i="33"/>
  <c r="A148" i="33"/>
  <c r="B148" i="33"/>
  <c r="D148" i="33"/>
  <c r="A149" i="33"/>
  <c r="B149" i="33"/>
  <c r="D149" i="33"/>
  <c r="A150" i="33"/>
  <c r="B150" i="33"/>
  <c r="D150" i="33"/>
  <c r="A151" i="33"/>
  <c r="B151" i="33"/>
  <c r="D151" i="33"/>
  <c r="A152" i="33"/>
  <c r="B152" i="33"/>
  <c r="D152" i="33"/>
  <c r="A153" i="33"/>
  <c r="B153" i="33"/>
  <c r="D153" i="33"/>
  <c r="A154" i="33"/>
  <c r="B154" i="33"/>
  <c r="D154" i="33"/>
  <c r="A155" i="33"/>
  <c r="B155" i="33"/>
  <c r="D155" i="33"/>
  <c r="A156" i="33"/>
  <c r="B156" i="33"/>
  <c r="D156" i="33"/>
  <c r="A157" i="33"/>
  <c r="B157" i="33"/>
  <c r="D157" i="33"/>
  <c r="A158" i="33"/>
  <c r="B158" i="33"/>
  <c r="D158" i="33"/>
  <c r="A159" i="33"/>
  <c r="B159" i="33"/>
  <c r="D159" i="33"/>
  <c r="A160" i="33"/>
  <c r="B160" i="33"/>
  <c r="D160" i="33"/>
  <c r="A161" i="33"/>
  <c r="B161" i="33"/>
  <c r="D161" i="33"/>
  <c r="A162" i="33"/>
  <c r="B162" i="33"/>
  <c r="D162" i="33"/>
  <c r="A163" i="33"/>
  <c r="B163" i="33"/>
  <c r="D163" i="33"/>
  <c r="A164" i="33"/>
  <c r="B164" i="33"/>
  <c r="D164" i="33"/>
  <c r="A165" i="33"/>
  <c r="B165" i="33"/>
  <c r="D165" i="33"/>
  <c r="A166" i="33"/>
  <c r="B166" i="33"/>
  <c r="D166" i="33"/>
  <c r="A167" i="33"/>
  <c r="B167" i="33"/>
  <c r="D167" i="33"/>
  <c r="A168" i="33"/>
  <c r="B168" i="33"/>
  <c r="D168" i="33"/>
  <c r="A169" i="33"/>
  <c r="B169" i="33"/>
  <c r="D169" i="33"/>
  <c r="A170" i="33"/>
  <c r="B170" i="33"/>
  <c r="D170" i="33"/>
  <c r="A171" i="33"/>
  <c r="B171" i="33"/>
  <c r="D171" i="33"/>
  <c r="A172" i="33"/>
  <c r="B172" i="33"/>
  <c r="D172" i="33"/>
  <c r="A173" i="33"/>
  <c r="B173" i="33"/>
  <c r="D173" i="33"/>
  <c r="A174" i="33"/>
  <c r="B174" i="33"/>
  <c r="D174" i="33"/>
  <c r="A175" i="33"/>
  <c r="B175" i="33"/>
  <c r="D175" i="33"/>
  <c r="A176" i="33"/>
  <c r="B176" i="33"/>
  <c r="D176" i="33"/>
  <c r="A177" i="33"/>
  <c r="B177" i="33"/>
  <c r="D177" i="33"/>
  <c r="A178" i="33"/>
  <c r="B178" i="33"/>
  <c r="D178" i="33"/>
  <c r="A179" i="33"/>
  <c r="B179" i="33"/>
  <c r="D179" i="33"/>
  <c r="A180" i="33"/>
  <c r="B180" i="33"/>
  <c r="D180" i="33"/>
  <c r="A181" i="33"/>
  <c r="B181" i="33"/>
  <c r="D181" i="33"/>
  <c r="A182" i="33"/>
  <c r="B182" i="33"/>
  <c r="D182" i="33"/>
  <c r="A183" i="33"/>
  <c r="B183" i="33"/>
  <c r="D183" i="33"/>
  <c r="A184" i="33"/>
  <c r="B184" i="33"/>
  <c r="D184" i="33"/>
  <c r="A185" i="33"/>
  <c r="B185" i="33"/>
  <c r="D185" i="33"/>
  <c r="A186" i="33"/>
  <c r="B186" i="33"/>
  <c r="D186" i="33"/>
  <c r="A187" i="33"/>
  <c r="B187" i="33"/>
  <c r="D187" i="33"/>
  <c r="A188" i="33"/>
  <c r="B188" i="33"/>
  <c r="D188" i="33"/>
  <c r="A189" i="33"/>
  <c r="B189" i="33"/>
  <c r="D189" i="33"/>
  <c r="A190" i="33"/>
  <c r="B190" i="33"/>
  <c r="D190" i="33"/>
  <c r="A191" i="33"/>
  <c r="B191" i="33"/>
  <c r="D191" i="33"/>
  <c r="A192" i="33"/>
  <c r="B192" i="33"/>
  <c r="D192" i="33"/>
  <c r="A193" i="33"/>
  <c r="B193" i="33"/>
  <c r="D193" i="33"/>
  <c r="A194" i="33"/>
  <c r="B194" i="33"/>
  <c r="D194" i="33"/>
  <c r="A195" i="33"/>
  <c r="B195" i="33"/>
  <c r="D195" i="33"/>
  <c r="A196" i="33"/>
  <c r="B196" i="33"/>
  <c r="D196" i="33"/>
  <c r="A197" i="33"/>
  <c r="B197" i="33"/>
  <c r="D197" i="33"/>
  <c r="A198" i="33"/>
  <c r="B198" i="33"/>
  <c r="D198" i="33"/>
  <c r="A199" i="33"/>
  <c r="B199" i="33"/>
  <c r="D199" i="33"/>
  <c r="A200" i="33"/>
  <c r="B200" i="33"/>
  <c r="D200" i="33"/>
  <c r="A201" i="33"/>
  <c r="B201" i="33"/>
  <c r="D201" i="33"/>
  <c r="A202" i="33"/>
  <c r="B202" i="33"/>
  <c r="D202" i="33"/>
  <c r="A203" i="33"/>
  <c r="B203" i="33"/>
  <c r="D203" i="33"/>
  <c r="A204" i="33"/>
  <c r="B204" i="33"/>
  <c r="D204" i="33"/>
  <c r="A205" i="33"/>
  <c r="B205" i="33"/>
  <c r="D205" i="33"/>
  <c r="A206" i="33"/>
  <c r="B206" i="33"/>
  <c r="D206" i="33"/>
  <c r="A207" i="33"/>
  <c r="B207" i="33"/>
  <c r="D207" i="33"/>
  <c r="A208" i="33"/>
  <c r="B208" i="33"/>
  <c r="D208" i="33"/>
  <c r="A209" i="33"/>
  <c r="B209" i="33"/>
  <c r="D209" i="33"/>
  <c r="A210" i="33"/>
  <c r="B210" i="33"/>
  <c r="D210" i="33"/>
  <c r="A211" i="33"/>
  <c r="B211" i="33"/>
  <c r="D211" i="33"/>
  <c r="A212" i="33"/>
  <c r="B212" i="33"/>
  <c r="D212" i="33"/>
  <c r="A213" i="33"/>
  <c r="B213" i="33"/>
  <c r="D213" i="33"/>
  <c r="A214" i="33"/>
  <c r="B214" i="33"/>
  <c r="D214" i="33"/>
  <c r="A215" i="33"/>
  <c r="B215" i="33"/>
  <c r="D215" i="33"/>
  <c r="A216" i="33"/>
  <c r="B216" i="33"/>
  <c r="D216" i="33"/>
  <c r="A217" i="33"/>
  <c r="B217" i="33"/>
  <c r="D217" i="33"/>
  <c r="A218" i="33"/>
  <c r="B218" i="33"/>
  <c r="D218" i="33"/>
  <c r="A219" i="33"/>
  <c r="B219" i="33"/>
  <c r="D219" i="33"/>
  <c r="A220" i="33"/>
  <c r="B220" i="33"/>
  <c r="D220" i="33"/>
  <c r="A221" i="33"/>
  <c r="B221" i="33"/>
  <c r="D221" i="33"/>
  <c r="A222" i="33"/>
  <c r="B222" i="33"/>
  <c r="D222" i="33"/>
  <c r="A223" i="33"/>
  <c r="B223" i="33"/>
  <c r="D223" i="33"/>
  <c r="A224" i="33"/>
  <c r="B224" i="33"/>
  <c r="D224" i="33"/>
  <c r="A225" i="33"/>
  <c r="B225" i="33"/>
  <c r="D225" i="33"/>
  <c r="A226" i="33"/>
  <c r="B226" i="33"/>
  <c r="D226" i="33"/>
  <c r="A227" i="33"/>
  <c r="B227" i="33"/>
  <c r="D227" i="33"/>
  <c r="A228" i="33"/>
  <c r="B228" i="33"/>
  <c r="D228" i="33"/>
  <c r="A229" i="33"/>
  <c r="B229" i="33"/>
  <c r="D229" i="33"/>
  <c r="A230" i="33"/>
  <c r="B230" i="33"/>
  <c r="D230" i="33"/>
  <c r="A231" i="33"/>
  <c r="B231" i="33"/>
  <c r="D231" i="33"/>
  <c r="A232" i="33"/>
  <c r="B232" i="33"/>
  <c r="D232" i="33"/>
  <c r="A233" i="33"/>
  <c r="B233" i="33"/>
  <c r="D233" i="33"/>
  <c r="A234" i="33"/>
  <c r="B234" i="33"/>
  <c r="D234" i="33"/>
  <c r="A235" i="33"/>
  <c r="B235" i="33"/>
  <c r="D235" i="33"/>
  <c r="A236" i="33"/>
  <c r="B236" i="33"/>
  <c r="D236" i="33"/>
  <c r="A237" i="33"/>
  <c r="B237" i="33"/>
  <c r="D237" i="33"/>
  <c r="A238" i="33"/>
  <c r="B238" i="33"/>
  <c r="D238" i="33"/>
  <c r="A239" i="33"/>
  <c r="B239" i="33"/>
  <c r="D239" i="33"/>
  <c r="A240" i="33"/>
  <c r="B240" i="33"/>
  <c r="D240" i="33"/>
  <c r="A241" i="33"/>
  <c r="B241" i="33"/>
  <c r="D241" i="33"/>
  <c r="A242" i="33"/>
  <c r="B242" i="33"/>
  <c r="D242" i="33"/>
  <c r="A243" i="33"/>
  <c r="B243" i="33"/>
  <c r="D243" i="33"/>
  <c r="A244" i="33"/>
  <c r="B244" i="33"/>
  <c r="D244" i="33"/>
  <c r="A245" i="33"/>
  <c r="B245" i="33"/>
  <c r="D245" i="33"/>
  <c r="A246" i="33"/>
  <c r="B246" i="33"/>
  <c r="D246" i="33"/>
  <c r="A247" i="33"/>
  <c r="B247" i="33"/>
  <c r="D247" i="33"/>
  <c r="A248" i="33"/>
  <c r="B248" i="33"/>
  <c r="D248" i="33"/>
  <c r="A249" i="33"/>
  <c r="B249" i="33"/>
  <c r="D249" i="33"/>
  <c r="A250" i="33"/>
  <c r="B250" i="33"/>
  <c r="D250" i="33"/>
  <c r="A251" i="33"/>
  <c r="B251" i="33"/>
  <c r="D251" i="33"/>
  <c r="A252" i="33"/>
  <c r="B252" i="33"/>
  <c r="D252" i="33"/>
  <c r="A253" i="33"/>
  <c r="B253" i="33"/>
  <c r="D253" i="33"/>
  <c r="A254" i="33"/>
  <c r="B254" i="33"/>
  <c r="D254" i="33"/>
  <c r="A255" i="33"/>
  <c r="B255" i="33"/>
  <c r="D255" i="33"/>
  <c r="A256" i="33"/>
  <c r="B256" i="33"/>
  <c r="D256" i="33"/>
  <c r="A257" i="33"/>
  <c r="B257" i="33"/>
  <c r="D257" i="33"/>
  <c r="A258" i="33"/>
  <c r="B258" i="33"/>
  <c r="D258" i="33"/>
  <c r="A259" i="33"/>
  <c r="B259" i="33"/>
  <c r="D259" i="33"/>
  <c r="A260" i="33"/>
  <c r="B260" i="33"/>
  <c r="D260" i="33"/>
  <c r="A261" i="33"/>
  <c r="B261" i="33"/>
  <c r="D261" i="33"/>
  <c r="A262" i="33"/>
  <c r="B262" i="33"/>
  <c r="D262" i="33"/>
  <c r="A263" i="33"/>
  <c r="B263" i="33"/>
  <c r="D263" i="33"/>
  <c r="A264" i="33"/>
  <c r="B264" i="33"/>
  <c r="D264" i="33"/>
  <c r="A265" i="33"/>
  <c r="B265" i="33"/>
  <c r="D265" i="33"/>
  <c r="A266" i="33"/>
  <c r="B266" i="33"/>
  <c r="D266" i="33"/>
  <c r="A267" i="33"/>
  <c r="B267" i="33"/>
  <c r="D267" i="33"/>
  <c r="A268" i="33"/>
  <c r="B268" i="33"/>
  <c r="D268" i="33"/>
  <c r="A269" i="33"/>
  <c r="B269" i="33"/>
  <c r="D269" i="33"/>
  <c r="A270" i="33"/>
  <c r="B270" i="33"/>
  <c r="D270" i="33"/>
  <c r="A271" i="33"/>
  <c r="B271" i="33"/>
  <c r="D271" i="33"/>
  <c r="A272" i="33"/>
  <c r="B272" i="33"/>
  <c r="D272" i="33"/>
  <c r="A273" i="33"/>
  <c r="B273" i="33"/>
  <c r="D273" i="33"/>
  <c r="A274" i="33"/>
  <c r="B274" i="33"/>
  <c r="D274" i="33"/>
  <c r="A275" i="33"/>
  <c r="B275" i="33"/>
  <c r="D275" i="33"/>
  <c r="A276" i="33"/>
  <c r="B276" i="33"/>
  <c r="D276" i="33"/>
  <c r="A277" i="33"/>
  <c r="B277" i="33"/>
  <c r="D277" i="33"/>
  <c r="A278" i="33"/>
  <c r="B278" i="33"/>
  <c r="D278" i="33"/>
  <c r="A279" i="33"/>
  <c r="B279" i="33"/>
  <c r="D279" i="33"/>
  <c r="A280" i="33"/>
  <c r="B280" i="33"/>
  <c r="D280" i="33"/>
  <c r="A281" i="33"/>
  <c r="B281" i="33"/>
  <c r="D281" i="33"/>
  <c r="A282" i="33"/>
  <c r="B282" i="33"/>
  <c r="D282" i="33"/>
  <c r="A283" i="33"/>
  <c r="B283" i="33"/>
  <c r="D283" i="33"/>
  <c r="A284" i="33"/>
  <c r="B284" i="33"/>
  <c r="D284" i="33"/>
  <c r="A285" i="33"/>
  <c r="B285" i="33"/>
  <c r="D285" i="33"/>
  <c r="A286" i="33"/>
  <c r="B286" i="33"/>
  <c r="D286" i="33"/>
  <c r="A287" i="33"/>
  <c r="B287" i="33"/>
  <c r="D287" i="33"/>
  <c r="A288" i="33"/>
  <c r="B288" i="33"/>
  <c r="D288" i="33"/>
  <c r="A289" i="33"/>
  <c r="B289" i="33"/>
  <c r="D289" i="33"/>
  <c r="A290" i="33"/>
  <c r="B290" i="33"/>
  <c r="D290" i="33"/>
  <c r="A291" i="33"/>
  <c r="B291" i="33"/>
  <c r="D291" i="33"/>
  <c r="A292" i="33"/>
  <c r="B292" i="33"/>
  <c r="D292" i="33"/>
  <c r="A293" i="33"/>
  <c r="B293" i="33"/>
  <c r="D293" i="33"/>
  <c r="A294" i="33"/>
  <c r="B294" i="33"/>
  <c r="D294" i="33"/>
  <c r="A295" i="33"/>
  <c r="B295" i="33"/>
  <c r="D295" i="33"/>
  <c r="A296" i="33"/>
  <c r="B296" i="33"/>
  <c r="D296" i="33"/>
  <c r="A297" i="33"/>
  <c r="B297" i="33"/>
  <c r="D297" i="33"/>
  <c r="A298" i="33"/>
  <c r="B298" i="33"/>
  <c r="D298" i="33"/>
  <c r="A299" i="33"/>
  <c r="B299" i="33"/>
  <c r="D299" i="33"/>
  <c r="A300" i="33"/>
  <c r="B300" i="33"/>
  <c r="D300" i="33"/>
  <c r="A301" i="33"/>
  <c r="B301" i="33"/>
  <c r="D301" i="33"/>
  <c r="A302" i="33"/>
  <c r="B302" i="33"/>
  <c r="D302" i="33"/>
  <c r="A303" i="33"/>
  <c r="B303" i="33"/>
  <c r="D303" i="33"/>
  <c r="A304" i="33"/>
  <c r="B304" i="33"/>
  <c r="D304" i="33"/>
  <c r="A305" i="33"/>
  <c r="B305" i="33"/>
  <c r="D305" i="33"/>
  <c r="A13" i="9"/>
  <c r="B13" i="9"/>
  <c r="D13" i="9"/>
  <c r="E13" i="9"/>
  <c r="A14" i="9"/>
  <c r="B14" i="9"/>
  <c r="D14" i="9"/>
  <c r="E14" i="9"/>
  <c r="A15" i="9"/>
  <c r="B15" i="9"/>
  <c r="D15" i="9"/>
  <c r="E15" i="9"/>
  <c r="A16" i="9"/>
  <c r="B16" i="9"/>
  <c r="D16" i="9"/>
  <c r="E16" i="9"/>
  <c r="A17" i="9"/>
  <c r="B17" i="9"/>
  <c r="D17" i="9"/>
  <c r="E17" i="9"/>
  <c r="A18" i="9"/>
  <c r="B18" i="9"/>
  <c r="D18" i="9"/>
  <c r="E18" i="9"/>
  <c r="A19" i="9"/>
  <c r="B19" i="9"/>
  <c r="D19" i="9"/>
  <c r="E19" i="9"/>
  <c r="A20" i="9"/>
  <c r="B20" i="9"/>
  <c r="D20" i="9"/>
  <c r="A21" i="9"/>
  <c r="B21" i="9"/>
  <c r="D21" i="9"/>
  <c r="E21" i="9"/>
  <c r="A22" i="9"/>
  <c r="B22" i="9"/>
  <c r="D22" i="9"/>
  <c r="E22" i="9"/>
  <c r="A23" i="9"/>
  <c r="B23" i="9"/>
  <c r="D23" i="9"/>
  <c r="E23" i="9"/>
  <c r="A24" i="9"/>
  <c r="B24" i="9"/>
  <c r="D24" i="9"/>
  <c r="E24" i="9"/>
  <c r="A25" i="9"/>
  <c r="B25" i="9"/>
  <c r="D25" i="9"/>
  <c r="E25" i="9"/>
  <c r="A26" i="9"/>
  <c r="B26" i="9"/>
  <c r="D26" i="9"/>
  <c r="E26" i="9"/>
  <c r="A27" i="9"/>
  <c r="B27" i="9"/>
  <c r="D27" i="9"/>
  <c r="E27" i="9"/>
  <c r="A28" i="9"/>
  <c r="B28" i="9"/>
  <c r="D28" i="9"/>
  <c r="E28" i="9"/>
  <c r="A29" i="9"/>
  <c r="B29" i="9"/>
  <c r="D29" i="9"/>
  <c r="E29" i="9"/>
  <c r="A30" i="9"/>
  <c r="B30" i="9"/>
  <c r="D30" i="9"/>
  <c r="E30" i="9"/>
  <c r="A31" i="9"/>
  <c r="B31" i="9"/>
  <c r="D31" i="9"/>
  <c r="A32" i="9"/>
  <c r="B32" i="9"/>
  <c r="D32" i="9"/>
  <c r="E32" i="9"/>
  <c r="A33" i="9"/>
  <c r="B33" i="9"/>
  <c r="D33" i="9"/>
  <c r="E33" i="9"/>
  <c r="A34" i="9"/>
  <c r="B34" i="9"/>
  <c r="D34" i="9"/>
  <c r="E34" i="9"/>
  <c r="A35" i="9"/>
  <c r="B35" i="9"/>
  <c r="D35" i="9"/>
  <c r="E35" i="9"/>
  <c r="A36" i="9"/>
  <c r="B36" i="9"/>
  <c r="D36" i="9"/>
  <c r="E36" i="9"/>
  <c r="A37" i="9"/>
  <c r="B37" i="9"/>
  <c r="D37" i="9"/>
  <c r="E37" i="9"/>
  <c r="A38" i="9"/>
  <c r="B38" i="9"/>
  <c r="D38" i="9"/>
  <c r="E38" i="9"/>
  <c r="A39" i="9"/>
  <c r="B39" i="9"/>
  <c r="D39" i="9"/>
  <c r="E39" i="9"/>
  <c r="A40" i="9"/>
  <c r="B40" i="9"/>
  <c r="D40" i="9"/>
  <c r="E40" i="9"/>
  <c r="A41" i="9"/>
  <c r="B41" i="9"/>
  <c r="D41" i="9"/>
  <c r="E41" i="9"/>
  <c r="A42" i="9"/>
  <c r="B42" i="9"/>
  <c r="D42" i="9"/>
  <c r="E42" i="9"/>
  <c r="A43" i="9"/>
  <c r="B43" i="9"/>
  <c r="D43" i="9"/>
  <c r="E43" i="9"/>
  <c r="A44" i="9"/>
  <c r="B44" i="9"/>
  <c r="D44" i="9"/>
  <c r="E44" i="9"/>
  <c r="A45" i="9"/>
  <c r="B45" i="9"/>
  <c r="D45" i="9"/>
  <c r="E45" i="9"/>
  <c r="A46" i="9"/>
  <c r="B46" i="9"/>
  <c r="D46" i="9"/>
  <c r="E46" i="9"/>
  <c r="A47" i="9"/>
  <c r="B47" i="9"/>
  <c r="D47" i="9"/>
  <c r="E47" i="9"/>
  <c r="A48" i="9"/>
  <c r="B48" i="9"/>
  <c r="D48" i="9"/>
  <c r="E48" i="9"/>
  <c r="A49" i="9"/>
  <c r="B49" i="9"/>
  <c r="D49" i="9"/>
  <c r="E49" i="9"/>
  <c r="A50" i="9"/>
  <c r="B50" i="9"/>
  <c r="D50" i="9"/>
  <c r="E50" i="9"/>
  <c r="A51" i="9"/>
  <c r="B51" i="9"/>
  <c r="D51" i="9"/>
  <c r="E51" i="9"/>
  <c r="A52" i="9"/>
  <c r="B52" i="9"/>
  <c r="D52" i="9"/>
  <c r="E52" i="9"/>
  <c r="A53" i="9"/>
  <c r="B53" i="9"/>
  <c r="D53" i="9"/>
  <c r="E53" i="9"/>
  <c r="A54" i="9"/>
  <c r="B54" i="9"/>
  <c r="D54" i="9"/>
  <c r="E54" i="9"/>
  <c r="A55" i="9"/>
  <c r="B55" i="9"/>
  <c r="D55" i="9"/>
  <c r="E55" i="9"/>
  <c r="A56" i="9"/>
  <c r="B56" i="9"/>
  <c r="D56" i="9"/>
  <c r="E56" i="9"/>
  <c r="A57" i="9"/>
  <c r="B57" i="9"/>
  <c r="D57" i="9"/>
  <c r="E57" i="9"/>
  <c r="A58" i="9"/>
  <c r="B58" i="9"/>
  <c r="D58" i="9"/>
  <c r="E58" i="9"/>
  <c r="A59" i="9"/>
  <c r="B59" i="9"/>
  <c r="D59" i="9"/>
  <c r="E59" i="9"/>
  <c r="A60" i="9"/>
  <c r="B60" i="9"/>
  <c r="D60" i="9"/>
  <c r="E60" i="9"/>
  <c r="A61" i="9"/>
  <c r="B61" i="9"/>
  <c r="D61" i="9"/>
  <c r="E61" i="9"/>
  <c r="A62" i="9"/>
  <c r="B62" i="9"/>
  <c r="D62" i="9"/>
  <c r="E62" i="9"/>
  <c r="A63" i="9"/>
  <c r="B63" i="9"/>
  <c r="D63" i="9"/>
  <c r="E63" i="9"/>
  <c r="A64" i="9"/>
  <c r="B64" i="9"/>
  <c r="D64" i="9"/>
  <c r="E64" i="9"/>
  <c r="A65" i="9"/>
  <c r="B65" i="9"/>
  <c r="D65" i="9"/>
  <c r="E65" i="9"/>
  <c r="A66" i="9"/>
  <c r="B66" i="9"/>
  <c r="D66" i="9"/>
  <c r="E66" i="9"/>
  <c r="A67" i="9"/>
  <c r="B67" i="9"/>
  <c r="D67" i="9"/>
  <c r="E67" i="9"/>
  <c r="A68" i="9"/>
  <c r="B68" i="9"/>
  <c r="D68" i="9"/>
  <c r="E68" i="9"/>
  <c r="A69" i="9"/>
  <c r="B69" i="9"/>
  <c r="D69" i="9"/>
  <c r="E69" i="9"/>
  <c r="A70" i="9"/>
  <c r="B70" i="9"/>
  <c r="D70" i="9"/>
  <c r="E70" i="9"/>
  <c r="A71" i="9"/>
  <c r="B71" i="9"/>
  <c r="D71" i="9"/>
  <c r="E71" i="9"/>
  <c r="A72" i="9"/>
  <c r="B72" i="9"/>
  <c r="D72" i="9"/>
  <c r="A73" i="9"/>
  <c r="B73" i="9"/>
  <c r="D73" i="9"/>
  <c r="E73" i="9"/>
  <c r="A74" i="9"/>
  <c r="B74" i="9"/>
  <c r="D74" i="9"/>
  <c r="E74" i="9"/>
  <c r="A75" i="9"/>
  <c r="B75" i="9"/>
  <c r="D75" i="9"/>
  <c r="E75" i="9"/>
  <c r="A76" i="9"/>
  <c r="B76" i="9"/>
  <c r="D76" i="9"/>
  <c r="E76" i="9"/>
  <c r="A77" i="9"/>
  <c r="B77" i="9"/>
  <c r="D77" i="9"/>
  <c r="E77" i="9"/>
  <c r="A78" i="9"/>
  <c r="B78" i="9"/>
  <c r="D78" i="9"/>
  <c r="E78" i="9"/>
  <c r="A79" i="9"/>
  <c r="B79" i="9"/>
  <c r="D79" i="9"/>
  <c r="E79" i="9"/>
  <c r="A80" i="9"/>
  <c r="B80" i="9"/>
  <c r="D80" i="9"/>
  <c r="E80" i="9"/>
  <c r="A81" i="9"/>
  <c r="B81" i="9"/>
  <c r="D81" i="9"/>
  <c r="E81" i="9"/>
  <c r="A82" i="9"/>
  <c r="B82" i="9"/>
  <c r="D82" i="9"/>
  <c r="E82" i="9"/>
  <c r="A83" i="9"/>
  <c r="B83" i="9"/>
  <c r="D83" i="9"/>
  <c r="E83" i="9"/>
  <c r="A84" i="9"/>
  <c r="B84" i="9"/>
  <c r="D84" i="9"/>
  <c r="E84" i="9"/>
  <c r="A85" i="9"/>
  <c r="B85" i="9"/>
  <c r="D85" i="9"/>
  <c r="E85" i="9"/>
  <c r="A86" i="9"/>
  <c r="B86" i="9"/>
  <c r="D86" i="9"/>
  <c r="E86" i="9"/>
  <c r="A87" i="9"/>
  <c r="B87" i="9"/>
  <c r="D87" i="9"/>
  <c r="E87" i="9"/>
  <c r="A88" i="9"/>
  <c r="B88" i="9"/>
  <c r="D88" i="9"/>
  <c r="E88" i="9"/>
  <c r="A89" i="9"/>
  <c r="B89" i="9"/>
  <c r="D89" i="9"/>
  <c r="E89" i="9"/>
  <c r="A90" i="9"/>
  <c r="B90" i="9"/>
  <c r="D90" i="9"/>
  <c r="E90" i="9"/>
  <c r="A91" i="9"/>
  <c r="B91" i="9"/>
  <c r="D91" i="9"/>
  <c r="E91" i="9"/>
  <c r="A92" i="9"/>
  <c r="B92" i="9"/>
  <c r="D92" i="9"/>
  <c r="E92" i="9"/>
  <c r="A93" i="9"/>
  <c r="B93" i="9"/>
  <c r="D93" i="9"/>
  <c r="E93" i="9"/>
  <c r="A94" i="9"/>
  <c r="B94" i="9"/>
  <c r="D94" i="9"/>
  <c r="E94" i="9"/>
  <c r="A95" i="9"/>
  <c r="B95" i="9"/>
  <c r="D95" i="9"/>
  <c r="E95" i="9"/>
  <c r="A96" i="9"/>
  <c r="B96" i="9"/>
  <c r="D96" i="9"/>
  <c r="E96" i="9"/>
  <c r="A97" i="9"/>
  <c r="B97" i="9"/>
  <c r="D97" i="9"/>
  <c r="E97" i="9"/>
  <c r="A98" i="9"/>
  <c r="B98" i="9"/>
  <c r="D98" i="9"/>
  <c r="E98" i="9"/>
  <c r="A99" i="9"/>
  <c r="B99" i="9"/>
  <c r="D99" i="9"/>
  <c r="E99" i="9"/>
  <c r="A100" i="9"/>
  <c r="B100" i="9"/>
  <c r="D100" i="9"/>
  <c r="E100" i="9"/>
  <c r="A101" i="9"/>
  <c r="B101" i="9"/>
  <c r="D101" i="9"/>
  <c r="E101" i="9"/>
  <c r="A102" i="9"/>
  <c r="B102" i="9"/>
  <c r="D102" i="9"/>
  <c r="E102" i="9"/>
  <c r="A103" i="9"/>
  <c r="B103" i="9"/>
  <c r="D103" i="9"/>
  <c r="E103" i="9"/>
  <c r="A104" i="9"/>
  <c r="B104" i="9"/>
  <c r="D104" i="9"/>
  <c r="E104" i="9"/>
  <c r="A105" i="9"/>
  <c r="B105" i="9"/>
  <c r="D105" i="9"/>
  <c r="E105" i="9"/>
  <c r="A106" i="9"/>
  <c r="B106" i="9"/>
  <c r="D106" i="9"/>
  <c r="E106" i="9"/>
  <c r="A107" i="9"/>
  <c r="B107" i="9"/>
  <c r="D107" i="9"/>
  <c r="E107" i="9"/>
  <c r="A108" i="9"/>
  <c r="B108" i="9"/>
  <c r="D108" i="9"/>
  <c r="E108" i="9"/>
  <c r="A109" i="9"/>
  <c r="B109" i="9"/>
  <c r="D109" i="9"/>
  <c r="E109" i="9"/>
  <c r="A110" i="9"/>
  <c r="B110" i="9"/>
  <c r="D110" i="9"/>
  <c r="E110" i="9"/>
  <c r="A111" i="9"/>
  <c r="B111" i="9"/>
  <c r="D111" i="9"/>
  <c r="E111" i="9"/>
  <c r="A112" i="9"/>
  <c r="B112" i="9"/>
  <c r="D112" i="9"/>
  <c r="E112" i="9"/>
  <c r="A113" i="9"/>
  <c r="B113" i="9"/>
  <c r="D113" i="9"/>
  <c r="E113" i="9"/>
  <c r="A114" i="9"/>
  <c r="B114" i="9"/>
  <c r="D114" i="9"/>
  <c r="E114" i="9"/>
  <c r="A115" i="9"/>
  <c r="B115" i="9"/>
  <c r="D115" i="9"/>
  <c r="E115" i="9"/>
  <c r="A116" i="9"/>
  <c r="B116" i="9"/>
  <c r="D116" i="9"/>
  <c r="E116" i="9"/>
  <c r="A117" i="9"/>
  <c r="B117" i="9"/>
  <c r="D117" i="9"/>
  <c r="A118" i="9"/>
  <c r="B118" i="9"/>
  <c r="D118" i="9"/>
  <c r="E118" i="9"/>
  <c r="A119" i="9"/>
  <c r="B119" i="9"/>
  <c r="D119" i="9"/>
  <c r="E119" i="9"/>
  <c r="A120" i="9"/>
  <c r="B120" i="9"/>
  <c r="D120" i="9"/>
  <c r="E120" i="9"/>
  <c r="A121" i="9"/>
  <c r="B121" i="9"/>
  <c r="D121" i="9"/>
  <c r="E121" i="9"/>
  <c r="A122" i="9"/>
  <c r="B122" i="9"/>
  <c r="D122" i="9"/>
  <c r="E122" i="9"/>
  <c r="A123" i="9"/>
  <c r="B123" i="9"/>
  <c r="D123" i="9"/>
  <c r="E123" i="9"/>
  <c r="A124" i="9"/>
  <c r="B124" i="9"/>
  <c r="D124" i="9"/>
  <c r="E124" i="9"/>
  <c r="A125" i="9"/>
  <c r="B125" i="9"/>
  <c r="D125" i="9"/>
  <c r="E125" i="9"/>
  <c r="A126" i="9"/>
  <c r="B126" i="9"/>
  <c r="D126" i="9"/>
  <c r="A127" i="9"/>
  <c r="B127" i="9"/>
  <c r="D127" i="9"/>
  <c r="E127" i="9"/>
  <c r="A128" i="9"/>
  <c r="B128" i="9"/>
  <c r="D128" i="9"/>
  <c r="E128" i="9"/>
  <c r="A129" i="9"/>
  <c r="B129" i="9"/>
  <c r="D129" i="9"/>
  <c r="A130" i="9"/>
  <c r="B130" i="9"/>
  <c r="D130" i="9"/>
  <c r="E130" i="9"/>
  <c r="A131" i="9"/>
  <c r="B131" i="9"/>
  <c r="D131" i="9"/>
  <c r="E131" i="9"/>
  <c r="A132" i="9"/>
  <c r="B132" i="9"/>
  <c r="D132" i="9"/>
  <c r="E132" i="9"/>
  <c r="A133" i="9"/>
  <c r="B133" i="9"/>
  <c r="D133" i="9"/>
  <c r="E133" i="9"/>
  <c r="A134" i="9"/>
  <c r="B134" i="9"/>
  <c r="D134" i="9"/>
  <c r="E134" i="9"/>
  <c r="A135" i="9"/>
  <c r="B135" i="9"/>
  <c r="D135" i="9"/>
  <c r="E135" i="9"/>
  <c r="A136" i="9"/>
  <c r="B136" i="9"/>
  <c r="D136" i="9"/>
  <c r="E136" i="9"/>
  <c r="A137" i="9"/>
  <c r="B137" i="9"/>
  <c r="D137" i="9"/>
  <c r="E137" i="9"/>
  <c r="A138" i="9"/>
  <c r="B138" i="9"/>
  <c r="D138" i="9"/>
  <c r="E138" i="9"/>
  <c r="A139" i="9"/>
  <c r="B139" i="9"/>
  <c r="D139" i="9"/>
  <c r="E139" i="9"/>
  <c r="A140" i="9"/>
  <c r="B140" i="9"/>
  <c r="D140" i="9"/>
  <c r="E140" i="9"/>
  <c r="A141" i="9"/>
  <c r="B141" i="9"/>
  <c r="D141" i="9"/>
  <c r="E141" i="9"/>
  <c r="A142" i="9"/>
  <c r="B142" i="9"/>
  <c r="D142" i="9"/>
  <c r="E142" i="9"/>
  <c r="A143" i="9"/>
  <c r="B143" i="9"/>
  <c r="D143" i="9"/>
  <c r="E143" i="9"/>
  <c r="A144" i="9"/>
  <c r="B144" i="9"/>
  <c r="D144" i="9"/>
  <c r="E144" i="9"/>
  <c r="A145" i="9"/>
  <c r="B145" i="9"/>
  <c r="D145" i="9"/>
  <c r="E145" i="9"/>
  <c r="A146" i="9"/>
  <c r="B146" i="9"/>
  <c r="D146" i="9"/>
  <c r="A147" i="9"/>
  <c r="B147" i="9"/>
  <c r="D147" i="9"/>
  <c r="E147" i="9"/>
  <c r="A148" i="9"/>
  <c r="B148" i="9"/>
  <c r="D148" i="9"/>
  <c r="E148" i="9"/>
  <c r="A149" i="9"/>
  <c r="B149" i="9"/>
  <c r="D149" i="9"/>
  <c r="E149" i="9"/>
  <c r="A150" i="9"/>
  <c r="B150" i="9"/>
  <c r="D150" i="9"/>
  <c r="E150" i="9"/>
  <c r="A151" i="9"/>
  <c r="B151" i="9"/>
  <c r="D151" i="9"/>
  <c r="E151" i="9"/>
  <c r="A152" i="9"/>
  <c r="B152" i="9"/>
  <c r="D152" i="9"/>
  <c r="E152" i="9"/>
  <c r="A153" i="9"/>
  <c r="B153" i="9"/>
  <c r="D153" i="9"/>
  <c r="E153" i="9"/>
  <c r="A154" i="9"/>
  <c r="B154" i="9"/>
  <c r="D154" i="9"/>
  <c r="E154" i="9"/>
  <c r="A155" i="9"/>
  <c r="B155" i="9"/>
  <c r="D155" i="9"/>
  <c r="E155" i="9"/>
  <c r="A156" i="9"/>
  <c r="B156" i="9"/>
  <c r="D156" i="9"/>
  <c r="E156" i="9"/>
  <c r="A157" i="9"/>
  <c r="B157" i="9"/>
  <c r="D157" i="9"/>
  <c r="E157" i="9"/>
  <c r="A158" i="9"/>
  <c r="B158" i="9"/>
  <c r="D158" i="9"/>
  <c r="E158" i="9"/>
  <c r="A159" i="9"/>
  <c r="B159" i="9"/>
  <c r="D159" i="9"/>
  <c r="E159" i="9"/>
  <c r="A160" i="9"/>
  <c r="B160" i="9"/>
  <c r="D160" i="9"/>
  <c r="E160" i="9"/>
  <c r="A161" i="9"/>
  <c r="B161" i="9"/>
  <c r="D161" i="9"/>
  <c r="E161" i="9"/>
  <c r="A162" i="9"/>
  <c r="B162" i="9"/>
  <c r="D162" i="9"/>
  <c r="E162" i="9"/>
  <c r="A163" i="9"/>
  <c r="B163" i="9"/>
  <c r="D163" i="9"/>
  <c r="E163" i="9"/>
  <c r="A164" i="9"/>
  <c r="B164" i="9"/>
  <c r="D164" i="9"/>
  <c r="E164" i="9"/>
  <c r="A165" i="9"/>
  <c r="B165" i="9"/>
  <c r="D165" i="9"/>
  <c r="E165" i="9"/>
  <c r="A166" i="9"/>
  <c r="B166" i="9"/>
  <c r="D166" i="9"/>
  <c r="E166" i="9"/>
  <c r="A167" i="9"/>
  <c r="B167" i="9"/>
  <c r="D167" i="9"/>
  <c r="E167" i="9"/>
  <c r="A168" i="9"/>
  <c r="B168" i="9"/>
  <c r="D168" i="9"/>
  <c r="E168" i="9"/>
  <c r="A169" i="9"/>
  <c r="B169" i="9"/>
  <c r="D169" i="9"/>
  <c r="E169" i="9"/>
  <c r="A170" i="9"/>
  <c r="B170" i="9"/>
  <c r="D170" i="9"/>
  <c r="E170" i="9"/>
  <c r="A171" i="9"/>
  <c r="B171" i="9"/>
  <c r="D171" i="9"/>
  <c r="E171" i="9"/>
  <c r="A172" i="9"/>
  <c r="B172" i="9"/>
  <c r="D172" i="9"/>
  <c r="E172" i="9"/>
  <c r="A173" i="9"/>
  <c r="B173" i="9"/>
  <c r="D173" i="9"/>
  <c r="E173" i="9"/>
  <c r="A174" i="9"/>
  <c r="B174" i="9"/>
  <c r="D174" i="9"/>
  <c r="E174" i="9"/>
  <c r="A175" i="9"/>
  <c r="B175" i="9"/>
  <c r="D175" i="9"/>
  <c r="E175" i="9"/>
  <c r="A176" i="9"/>
  <c r="B176" i="9"/>
  <c r="D176" i="9"/>
  <c r="E176" i="9"/>
  <c r="A177" i="9"/>
  <c r="B177" i="9"/>
  <c r="D177" i="9"/>
  <c r="E177" i="9"/>
  <c r="A178" i="9"/>
  <c r="B178" i="9"/>
  <c r="D178" i="9"/>
  <c r="E178" i="9"/>
  <c r="A179" i="9"/>
  <c r="B179" i="9"/>
  <c r="D179" i="9"/>
  <c r="E179" i="9"/>
  <c r="A180" i="9"/>
  <c r="B180" i="9"/>
  <c r="D180" i="9"/>
  <c r="E180" i="9"/>
  <c r="A181" i="9"/>
  <c r="B181" i="9"/>
  <c r="D181" i="9"/>
  <c r="E181" i="9"/>
  <c r="A182" i="9"/>
  <c r="B182" i="9"/>
  <c r="D182" i="9"/>
  <c r="E182" i="9"/>
  <c r="A183" i="9"/>
  <c r="B183" i="9"/>
  <c r="D183" i="9"/>
  <c r="E183" i="9"/>
  <c r="A184" i="9"/>
  <c r="B184" i="9"/>
  <c r="D184" i="9"/>
  <c r="E184" i="9"/>
  <c r="A185" i="9"/>
  <c r="B185" i="9"/>
  <c r="D185" i="9"/>
  <c r="E185" i="9"/>
  <c r="A186" i="9"/>
  <c r="B186" i="9"/>
  <c r="D186" i="9"/>
  <c r="E186" i="9"/>
  <c r="A187" i="9"/>
  <c r="B187" i="9"/>
  <c r="D187" i="9"/>
  <c r="E187" i="9"/>
  <c r="A188" i="9"/>
  <c r="B188" i="9"/>
  <c r="D188" i="9"/>
  <c r="E188" i="9"/>
  <c r="A189" i="9"/>
  <c r="B189" i="9"/>
  <c r="D189" i="9"/>
  <c r="E189" i="9"/>
  <c r="A190" i="9"/>
  <c r="B190" i="9"/>
  <c r="D190" i="9"/>
  <c r="E190" i="9"/>
  <c r="A191" i="9"/>
  <c r="B191" i="9"/>
  <c r="D191" i="9"/>
  <c r="E191" i="9"/>
  <c r="A192" i="9"/>
  <c r="B192" i="9"/>
  <c r="D192" i="9"/>
  <c r="E192" i="9"/>
  <c r="A193" i="9"/>
  <c r="B193" i="9"/>
  <c r="D193" i="9"/>
  <c r="E193" i="9"/>
  <c r="A194" i="9"/>
  <c r="B194" i="9"/>
  <c r="D194" i="9"/>
  <c r="E194" i="9"/>
  <c r="A195" i="9"/>
  <c r="B195" i="9"/>
  <c r="D195" i="9"/>
  <c r="E195" i="9"/>
  <c r="A196" i="9"/>
  <c r="B196" i="9"/>
  <c r="D196" i="9"/>
  <c r="E196" i="9"/>
  <c r="A197" i="9"/>
  <c r="B197" i="9"/>
  <c r="D197" i="9"/>
  <c r="E197" i="9"/>
  <c r="A198" i="9"/>
  <c r="B198" i="9"/>
  <c r="D198" i="9"/>
  <c r="E198" i="9"/>
  <c r="A199" i="9"/>
  <c r="B199" i="9"/>
  <c r="D199" i="9"/>
  <c r="E199" i="9"/>
  <c r="A200" i="9"/>
  <c r="B200" i="9"/>
  <c r="D200" i="9"/>
  <c r="E200" i="9"/>
  <c r="A201" i="9"/>
  <c r="B201" i="9"/>
  <c r="D201" i="9"/>
  <c r="E201" i="9"/>
  <c r="A202" i="9"/>
  <c r="B202" i="9"/>
  <c r="D202" i="9"/>
  <c r="E202" i="9"/>
  <c r="A203" i="9"/>
  <c r="B203" i="9"/>
  <c r="D203" i="9"/>
  <c r="E203" i="9"/>
  <c r="A204" i="9"/>
  <c r="B204" i="9"/>
  <c r="D204" i="9"/>
  <c r="E204" i="9"/>
  <c r="A205" i="9"/>
  <c r="B205" i="9"/>
  <c r="D205" i="9"/>
  <c r="E205" i="9"/>
  <c r="A206" i="9"/>
  <c r="B206" i="9"/>
  <c r="D206" i="9"/>
  <c r="E206" i="9"/>
  <c r="A207" i="9"/>
  <c r="B207" i="9"/>
  <c r="D207" i="9"/>
  <c r="E207" i="9"/>
  <c r="A208" i="9"/>
  <c r="B208" i="9"/>
  <c r="D208" i="9"/>
  <c r="E208" i="9"/>
  <c r="A209" i="9"/>
  <c r="B209" i="9"/>
  <c r="D209" i="9"/>
  <c r="E209" i="9"/>
  <c r="A210" i="9"/>
  <c r="B210" i="9"/>
  <c r="D210" i="9"/>
  <c r="E210" i="9"/>
  <c r="A211" i="9"/>
  <c r="B211" i="9"/>
  <c r="D211" i="9"/>
  <c r="E211" i="9"/>
  <c r="A212" i="9"/>
  <c r="B212" i="9"/>
  <c r="D212" i="9"/>
  <c r="E212" i="9"/>
  <c r="A213" i="9"/>
  <c r="B213" i="9"/>
  <c r="D213" i="9"/>
  <c r="E213" i="9"/>
  <c r="A214" i="9"/>
  <c r="B214" i="9"/>
  <c r="D214" i="9"/>
  <c r="E214" i="9"/>
  <c r="A215" i="9"/>
  <c r="B215" i="9"/>
  <c r="D215" i="9"/>
  <c r="E215" i="9"/>
  <c r="A216" i="9"/>
  <c r="B216" i="9"/>
  <c r="D216" i="9"/>
  <c r="E216" i="9"/>
  <c r="A217" i="9"/>
  <c r="B217" i="9"/>
  <c r="D217" i="9"/>
  <c r="E217" i="9"/>
  <c r="A218" i="9"/>
  <c r="B218" i="9"/>
  <c r="D218" i="9"/>
  <c r="E218" i="9"/>
  <c r="A219" i="9"/>
  <c r="B219" i="9"/>
  <c r="D219" i="9"/>
  <c r="E219" i="9"/>
  <c r="A220" i="9"/>
  <c r="B220" i="9"/>
  <c r="D220" i="9"/>
  <c r="E220" i="9"/>
  <c r="A221" i="9"/>
  <c r="B221" i="9"/>
  <c r="D221" i="9"/>
  <c r="E221" i="9"/>
  <c r="A222" i="9"/>
  <c r="B222" i="9"/>
  <c r="D222" i="9"/>
  <c r="E222" i="9"/>
  <c r="A223" i="9"/>
  <c r="B223" i="9"/>
  <c r="D223" i="9"/>
  <c r="E223" i="9"/>
  <c r="A224" i="9"/>
  <c r="B224" i="9"/>
  <c r="D224" i="9"/>
  <c r="E224" i="9"/>
  <c r="A225" i="9"/>
  <c r="B225" i="9"/>
  <c r="D225" i="9"/>
  <c r="E225" i="9"/>
  <c r="A226" i="9"/>
  <c r="B226" i="9"/>
  <c r="D226" i="9"/>
  <c r="E226" i="9"/>
  <c r="A227" i="9"/>
  <c r="B227" i="9"/>
  <c r="D227" i="9"/>
  <c r="E227" i="9"/>
  <c r="A228" i="9"/>
  <c r="B228" i="9"/>
  <c r="D228" i="9"/>
  <c r="E228" i="9"/>
  <c r="A229" i="9"/>
  <c r="B229" i="9"/>
  <c r="D229" i="9"/>
  <c r="E229" i="9"/>
  <c r="A230" i="9"/>
  <c r="B230" i="9"/>
  <c r="D230" i="9"/>
  <c r="E230" i="9"/>
  <c r="A231" i="9"/>
  <c r="B231" i="9"/>
  <c r="D231" i="9"/>
  <c r="E231" i="9"/>
  <c r="A232" i="9"/>
  <c r="B232" i="9"/>
  <c r="D232" i="9"/>
  <c r="E232" i="9"/>
  <c r="A233" i="9"/>
  <c r="B233" i="9"/>
  <c r="D233" i="9"/>
  <c r="E233" i="9"/>
  <c r="A234" i="9"/>
  <c r="B234" i="9"/>
  <c r="D234" i="9"/>
  <c r="E234" i="9"/>
  <c r="A235" i="9"/>
  <c r="B235" i="9"/>
  <c r="D235" i="9"/>
  <c r="E235" i="9"/>
  <c r="A236" i="9"/>
  <c r="B236" i="9"/>
  <c r="D236" i="9"/>
  <c r="E236" i="9"/>
  <c r="A237" i="9"/>
  <c r="B237" i="9"/>
  <c r="D237" i="9"/>
  <c r="E237" i="9"/>
  <c r="A238" i="9"/>
  <c r="B238" i="9"/>
  <c r="D238" i="9"/>
  <c r="E238" i="9"/>
  <c r="A239" i="9"/>
  <c r="B239" i="9"/>
  <c r="D239" i="9"/>
  <c r="E239" i="9"/>
  <c r="A240" i="9"/>
  <c r="B240" i="9"/>
  <c r="D240" i="9"/>
  <c r="E240" i="9"/>
  <c r="A241" i="9"/>
  <c r="B241" i="9"/>
  <c r="D241" i="9"/>
  <c r="E241" i="9"/>
  <c r="A242" i="9"/>
  <c r="B242" i="9"/>
  <c r="D242" i="9"/>
  <c r="E242" i="9"/>
  <c r="A243" i="9"/>
  <c r="B243" i="9"/>
  <c r="D243" i="9"/>
  <c r="E243" i="9"/>
  <c r="A244" i="9"/>
  <c r="B244" i="9"/>
  <c r="D244" i="9"/>
  <c r="E244" i="9"/>
  <c r="A245" i="9"/>
  <c r="B245" i="9"/>
  <c r="D245" i="9"/>
  <c r="E245" i="9"/>
  <c r="A246" i="9"/>
  <c r="B246" i="9"/>
  <c r="D246" i="9"/>
  <c r="E246" i="9"/>
  <c r="A247" i="9"/>
  <c r="B247" i="9"/>
  <c r="D247" i="9"/>
  <c r="E247" i="9"/>
  <c r="A248" i="9"/>
  <c r="B248" i="9"/>
  <c r="D248" i="9"/>
  <c r="E248" i="9"/>
  <c r="A249" i="9"/>
  <c r="B249" i="9"/>
  <c r="D249" i="9"/>
  <c r="E249" i="9"/>
  <c r="A250" i="9"/>
  <c r="B250" i="9"/>
  <c r="D250" i="9"/>
  <c r="E250" i="9"/>
  <c r="A251" i="9"/>
  <c r="B251" i="9"/>
  <c r="D251" i="9"/>
  <c r="E251" i="9"/>
  <c r="A252" i="9"/>
  <c r="B252" i="9"/>
  <c r="D252" i="9"/>
  <c r="E252" i="9"/>
  <c r="A253" i="9"/>
  <c r="B253" i="9"/>
  <c r="D253" i="9"/>
  <c r="E253" i="9"/>
  <c r="A254" i="9"/>
  <c r="B254" i="9"/>
  <c r="D254" i="9"/>
  <c r="E254" i="9"/>
  <c r="A255" i="9"/>
  <c r="B255" i="9"/>
  <c r="D255" i="9"/>
  <c r="E255" i="9"/>
  <c r="A256" i="9"/>
  <c r="B256" i="9"/>
  <c r="D256" i="9"/>
  <c r="E256" i="9"/>
  <c r="A257" i="9"/>
  <c r="B257" i="9"/>
  <c r="D257" i="9"/>
  <c r="E257" i="9"/>
  <c r="A258" i="9"/>
  <c r="B258" i="9"/>
  <c r="D258" i="9"/>
  <c r="E258" i="9"/>
  <c r="A259" i="9"/>
  <c r="B259" i="9"/>
  <c r="D259" i="9"/>
  <c r="E259" i="9"/>
  <c r="A260" i="9"/>
  <c r="B260" i="9"/>
  <c r="D260" i="9"/>
  <c r="E260" i="9"/>
  <c r="A261" i="9"/>
  <c r="B261" i="9"/>
  <c r="D261" i="9"/>
  <c r="E261" i="9"/>
  <c r="A262" i="9"/>
  <c r="B262" i="9"/>
  <c r="D262" i="9"/>
  <c r="E262" i="9"/>
  <c r="A263" i="9"/>
  <c r="B263" i="9"/>
  <c r="D263" i="9"/>
  <c r="E263" i="9"/>
  <c r="A264" i="9"/>
  <c r="B264" i="9"/>
  <c r="D264" i="9"/>
  <c r="E264" i="9"/>
  <c r="A265" i="9"/>
  <c r="B265" i="9"/>
  <c r="D265" i="9"/>
  <c r="E265" i="9"/>
  <c r="A266" i="9"/>
  <c r="B266" i="9"/>
  <c r="D266" i="9"/>
  <c r="E266" i="9"/>
  <c r="A267" i="9"/>
  <c r="B267" i="9"/>
  <c r="D267" i="9"/>
  <c r="A268" i="9"/>
  <c r="B268" i="9"/>
  <c r="D268" i="9"/>
  <c r="E268" i="9"/>
  <c r="A269" i="9"/>
  <c r="B269" i="9"/>
  <c r="D269" i="9"/>
  <c r="E269" i="9"/>
  <c r="A270" i="9"/>
  <c r="B270" i="9"/>
  <c r="D270" i="9"/>
  <c r="E270" i="9"/>
  <c r="A271" i="9"/>
  <c r="B271" i="9"/>
  <c r="D271" i="9"/>
  <c r="E271" i="9"/>
  <c r="A272" i="9"/>
  <c r="B272" i="9"/>
  <c r="D272" i="9"/>
  <c r="E272" i="9"/>
  <c r="A273" i="9"/>
  <c r="B273" i="9"/>
  <c r="D273" i="9"/>
  <c r="E273" i="9"/>
  <c r="A274" i="9"/>
  <c r="B274" i="9"/>
  <c r="D274" i="9"/>
  <c r="E274" i="9"/>
  <c r="A275" i="9"/>
  <c r="B275" i="9"/>
  <c r="D275" i="9"/>
  <c r="E275" i="9"/>
  <c r="A276" i="9"/>
  <c r="B276" i="9"/>
  <c r="D276" i="9"/>
  <c r="E276" i="9"/>
  <c r="A277" i="9"/>
  <c r="B277" i="9"/>
  <c r="D277" i="9"/>
  <c r="A278" i="9"/>
  <c r="B278" i="9"/>
  <c r="D278" i="9"/>
  <c r="E278" i="9"/>
  <c r="A279" i="9"/>
  <c r="B279" i="9"/>
  <c r="D279" i="9"/>
  <c r="E279" i="9"/>
  <c r="A280" i="9"/>
  <c r="B280" i="9"/>
  <c r="D280" i="9"/>
  <c r="E280" i="9"/>
  <c r="A281" i="9"/>
  <c r="B281" i="9"/>
  <c r="D281" i="9"/>
  <c r="E281" i="9"/>
  <c r="A282" i="9"/>
  <c r="B282" i="9"/>
  <c r="D282" i="9"/>
  <c r="E282" i="9"/>
  <c r="A283" i="9"/>
  <c r="B283" i="9"/>
  <c r="D283" i="9"/>
  <c r="E283" i="9"/>
  <c r="A284" i="9"/>
  <c r="B284" i="9"/>
  <c r="D284" i="9"/>
  <c r="E284" i="9"/>
  <c r="A285" i="9"/>
  <c r="B285" i="9"/>
  <c r="D285" i="9"/>
  <c r="E285" i="9"/>
  <c r="A286" i="9"/>
  <c r="B286" i="9"/>
  <c r="D286" i="9"/>
  <c r="E286" i="9"/>
  <c r="A287" i="9"/>
  <c r="B287" i="9"/>
  <c r="D287" i="9"/>
  <c r="E287" i="9"/>
  <c r="A288" i="9"/>
  <c r="B288" i="9"/>
  <c r="D288" i="9"/>
  <c r="E288" i="9"/>
  <c r="A289" i="9"/>
  <c r="B289" i="9"/>
  <c r="D289" i="9"/>
  <c r="E289" i="9"/>
  <c r="A290" i="9"/>
  <c r="B290" i="9"/>
  <c r="D290" i="9"/>
  <c r="E290" i="9"/>
  <c r="A291" i="9"/>
  <c r="B291" i="9"/>
  <c r="D291" i="9"/>
  <c r="E291" i="9"/>
  <c r="A292" i="9"/>
  <c r="B292" i="9"/>
  <c r="D292" i="9"/>
  <c r="E292" i="9"/>
  <c r="A293" i="9"/>
  <c r="B293" i="9"/>
  <c r="D293" i="9"/>
  <c r="E293" i="9"/>
  <c r="A294" i="9"/>
  <c r="B294" i="9"/>
  <c r="D294" i="9"/>
  <c r="E294" i="9"/>
  <c r="A295" i="9"/>
  <c r="B295" i="9"/>
  <c r="D295" i="9"/>
  <c r="E295" i="9"/>
  <c r="A296" i="9"/>
  <c r="B296" i="9"/>
  <c r="D296" i="9"/>
  <c r="E296" i="9"/>
  <c r="A297" i="9"/>
  <c r="B297" i="9"/>
  <c r="D297" i="9"/>
  <c r="E297" i="9"/>
  <c r="A298" i="9"/>
  <c r="B298" i="9"/>
  <c r="D298" i="9"/>
  <c r="E298" i="9"/>
  <c r="A299" i="9"/>
  <c r="B299" i="9"/>
  <c r="D299" i="9"/>
  <c r="E299" i="9"/>
  <c r="A300" i="9"/>
  <c r="B300" i="9"/>
  <c r="D300" i="9"/>
  <c r="E300" i="9"/>
  <c r="A301" i="9"/>
  <c r="B301" i="9"/>
  <c r="D301" i="9"/>
  <c r="E301" i="9"/>
  <c r="A302" i="9"/>
  <c r="B302" i="9"/>
  <c r="D302" i="9"/>
  <c r="E302" i="9"/>
  <c r="A303" i="9"/>
  <c r="B303" i="9"/>
  <c r="D303" i="9"/>
  <c r="E303" i="9"/>
  <c r="A304" i="9"/>
  <c r="B304" i="9"/>
  <c r="D304" i="9"/>
  <c r="E304" i="9"/>
  <c r="A305" i="9"/>
  <c r="B305" i="9"/>
  <c r="D305" i="9"/>
  <c r="E305" i="9"/>
  <c r="A306" i="9"/>
  <c r="B306" i="9"/>
  <c r="D306" i="9"/>
  <c r="E306" i="9"/>
  <c r="A307" i="9"/>
  <c r="B307" i="9"/>
  <c r="D307" i="9"/>
  <c r="E307" i="9"/>
  <c r="A308" i="9"/>
  <c r="B308" i="9"/>
  <c r="D308" i="9"/>
  <c r="E308" i="9"/>
  <c r="A309" i="9"/>
  <c r="B309" i="9"/>
  <c r="D309" i="9"/>
  <c r="E309" i="9"/>
  <c r="A310" i="9"/>
  <c r="B310" i="9"/>
  <c r="D310" i="9"/>
  <c r="E310" i="9"/>
  <c r="A311" i="9"/>
  <c r="B311" i="9"/>
  <c r="D311" i="9"/>
  <c r="E311" i="9"/>
  <c r="A7" i="19"/>
  <c r="B7" i="19"/>
  <c r="C7" i="19"/>
  <c r="D7" i="19"/>
  <c r="E7" i="19"/>
  <c r="F7" i="19"/>
  <c r="G7" i="19"/>
  <c r="H7" i="19"/>
  <c r="I7" i="19"/>
  <c r="J7" i="19"/>
  <c r="K7" i="19"/>
  <c r="M7" i="19"/>
  <c r="N7" i="19"/>
  <c r="O7" i="19"/>
  <c r="Q7" i="19"/>
  <c r="A8" i="19"/>
  <c r="B8" i="19"/>
  <c r="C8" i="19"/>
  <c r="D8" i="19"/>
  <c r="E8" i="19"/>
  <c r="F8" i="19"/>
  <c r="G8" i="19"/>
  <c r="H8" i="19"/>
  <c r="I8" i="19"/>
  <c r="J8" i="19"/>
  <c r="K8" i="19"/>
  <c r="M8" i="19"/>
  <c r="N8" i="19"/>
  <c r="O8" i="19"/>
  <c r="Q8" i="19"/>
  <c r="A9" i="19"/>
  <c r="B9" i="19"/>
  <c r="C9" i="19"/>
  <c r="D9" i="19"/>
  <c r="E9" i="19"/>
  <c r="F9" i="19"/>
  <c r="G9" i="19"/>
  <c r="H9" i="19"/>
  <c r="I9" i="19"/>
  <c r="J9" i="19"/>
  <c r="K9" i="19"/>
  <c r="M9" i="19"/>
  <c r="N9" i="19"/>
  <c r="O9" i="19"/>
  <c r="Q9" i="19"/>
  <c r="A10" i="19"/>
  <c r="B10" i="19"/>
  <c r="C10" i="19"/>
  <c r="D10" i="19"/>
  <c r="E10" i="19"/>
  <c r="F10" i="19"/>
  <c r="G10" i="19"/>
  <c r="H10" i="19"/>
  <c r="I10" i="19"/>
  <c r="J10" i="19"/>
  <c r="K10" i="19"/>
  <c r="M10" i="19"/>
  <c r="N10" i="19"/>
  <c r="O10" i="19"/>
  <c r="Q10" i="19"/>
  <c r="A11" i="19"/>
  <c r="B11" i="19"/>
  <c r="C11" i="19"/>
  <c r="L11" i="19" s="1"/>
  <c r="D11" i="19"/>
  <c r="E11" i="19"/>
  <c r="F11" i="19"/>
  <c r="G11" i="19"/>
  <c r="H11" i="19"/>
  <c r="I11" i="19"/>
  <c r="J11" i="19"/>
  <c r="K11" i="19"/>
  <c r="M11" i="19"/>
  <c r="N11" i="19"/>
  <c r="O11" i="19"/>
  <c r="Q11" i="19"/>
  <c r="A12" i="19"/>
  <c r="B12" i="19"/>
  <c r="C12" i="19"/>
  <c r="D12" i="19"/>
  <c r="E12" i="19"/>
  <c r="F12" i="19"/>
  <c r="G12" i="19"/>
  <c r="H12" i="19"/>
  <c r="I12" i="19"/>
  <c r="J12" i="19"/>
  <c r="K12" i="19"/>
  <c r="M12" i="19"/>
  <c r="N12" i="19"/>
  <c r="O12" i="19"/>
  <c r="Q12" i="19"/>
  <c r="A13" i="19"/>
  <c r="B13" i="19"/>
  <c r="C13" i="19"/>
  <c r="D13" i="19"/>
  <c r="E13" i="19"/>
  <c r="F13" i="19"/>
  <c r="G13" i="19"/>
  <c r="H13" i="19"/>
  <c r="I13" i="19"/>
  <c r="J13" i="19"/>
  <c r="K13" i="19"/>
  <c r="M13" i="19"/>
  <c r="N13" i="19"/>
  <c r="O13" i="19"/>
  <c r="Q13" i="19"/>
  <c r="A14" i="19"/>
  <c r="B14" i="19"/>
  <c r="C14" i="19"/>
  <c r="D14" i="19"/>
  <c r="E14" i="19"/>
  <c r="F14" i="19"/>
  <c r="G14" i="19"/>
  <c r="H14" i="19"/>
  <c r="I14" i="19"/>
  <c r="J14" i="19"/>
  <c r="K14" i="19"/>
  <c r="M14" i="19"/>
  <c r="N14" i="19"/>
  <c r="O14" i="19"/>
  <c r="Q14" i="19"/>
  <c r="A15" i="19"/>
  <c r="B15" i="19"/>
  <c r="C15" i="19"/>
  <c r="D15" i="19"/>
  <c r="E15" i="19"/>
  <c r="F15" i="19"/>
  <c r="G15" i="19"/>
  <c r="H15" i="19"/>
  <c r="I15" i="19"/>
  <c r="J15" i="19"/>
  <c r="K15" i="19"/>
  <c r="M15" i="19"/>
  <c r="N15" i="19"/>
  <c r="O15" i="19"/>
  <c r="Q15" i="19"/>
  <c r="A16" i="19"/>
  <c r="B16" i="19"/>
  <c r="C16" i="19"/>
  <c r="D16" i="19"/>
  <c r="E16" i="19"/>
  <c r="F16" i="19"/>
  <c r="G16" i="19"/>
  <c r="H16" i="19"/>
  <c r="I16" i="19"/>
  <c r="J16" i="19"/>
  <c r="K16" i="19"/>
  <c r="M16" i="19"/>
  <c r="N16" i="19"/>
  <c r="O16" i="19"/>
  <c r="Q16" i="19"/>
  <c r="A17" i="19"/>
  <c r="B17" i="19"/>
  <c r="C17" i="19"/>
  <c r="D17" i="19"/>
  <c r="E17" i="19"/>
  <c r="F17" i="19"/>
  <c r="G17" i="19"/>
  <c r="H17" i="19"/>
  <c r="I17" i="19"/>
  <c r="J17" i="19"/>
  <c r="K17" i="19"/>
  <c r="M17" i="19"/>
  <c r="N17" i="19"/>
  <c r="O17" i="19"/>
  <c r="Q17" i="19"/>
  <c r="A18" i="19"/>
  <c r="B18" i="19"/>
  <c r="C18" i="19"/>
  <c r="D18" i="19"/>
  <c r="E18" i="19"/>
  <c r="F18" i="19"/>
  <c r="G18" i="19"/>
  <c r="H18" i="19"/>
  <c r="I18" i="19"/>
  <c r="J18" i="19"/>
  <c r="K18" i="19"/>
  <c r="M18" i="19"/>
  <c r="N18" i="19"/>
  <c r="O18" i="19"/>
  <c r="Q18" i="19"/>
  <c r="A19" i="19"/>
  <c r="B19" i="19"/>
  <c r="C19" i="19"/>
  <c r="L19" i="19" s="1"/>
  <c r="D19" i="19"/>
  <c r="E19" i="19"/>
  <c r="F19" i="19"/>
  <c r="G19" i="19"/>
  <c r="H19" i="19"/>
  <c r="I19" i="19"/>
  <c r="J19" i="19"/>
  <c r="K19" i="19"/>
  <c r="M19" i="19"/>
  <c r="N19" i="19"/>
  <c r="O19" i="19"/>
  <c r="Q19" i="19"/>
  <c r="A20" i="19"/>
  <c r="B20" i="19"/>
  <c r="C20" i="19"/>
  <c r="D20" i="19"/>
  <c r="E20" i="19"/>
  <c r="F20" i="19"/>
  <c r="G20" i="19"/>
  <c r="H20" i="19"/>
  <c r="I20" i="19"/>
  <c r="J20" i="19"/>
  <c r="K20" i="19"/>
  <c r="M20" i="19"/>
  <c r="N20" i="19"/>
  <c r="O20" i="19"/>
  <c r="Q20" i="19"/>
  <c r="A21" i="19"/>
  <c r="B21" i="19"/>
  <c r="C21" i="19"/>
  <c r="E21" i="19"/>
  <c r="F21" i="19"/>
  <c r="G21" i="19"/>
  <c r="H21" i="19"/>
  <c r="I21" i="19"/>
  <c r="J21" i="19"/>
  <c r="K21" i="19"/>
  <c r="M21" i="19"/>
  <c r="N21" i="19"/>
  <c r="O21" i="19"/>
  <c r="Q21" i="19"/>
  <c r="A22" i="19"/>
  <c r="B22" i="19"/>
  <c r="C22" i="19"/>
  <c r="D22" i="19"/>
  <c r="E22" i="19"/>
  <c r="F22" i="19"/>
  <c r="G22" i="19"/>
  <c r="H22" i="19"/>
  <c r="I22" i="19"/>
  <c r="J22" i="19"/>
  <c r="K22" i="19"/>
  <c r="M22" i="19"/>
  <c r="N22" i="19"/>
  <c r="O22" i="19"/>
  <c r="Q22" i="19"/>
  <c r="A23" i="19"/>
  <c r="B23" i="19"/>
  <c r="C23" i="19"/>
  <c r="D23" i="19"/>
  <c r="E23" i="19"/>
  <c r="F23" i="19"/>
  <c r="G23" i="19"/>
  <c r="H23" i="19"/>
  <c r="I23" i="19"/>
  <c r="J23" i="19"/>
  <c r="K23" i="19"/>
  <c r="M23" i="19"/>
  <c r="N23" i="19"/>
  <c r="O23" i="19"/>
  <c r="Q23" i="19"/>
  <c r="A24" i="19"/>
  <c r="B24" i="19"/>
  <c r="C24" i="19"/>
  <c r="D24" i="19"/>
  <c r="E24" i="19"/>
  <c r="F24" i="19"/>
  <c r="G24" i="19"/>
  <c r="H24" i="19"/>
  <c r="I24" i="19"/>
  <c r="J24" i="19"/>
  <c r="K24" i="19"/>
  <c r="M24" i="19"/>
  <c r="N24" i="19"/>
  <c r="O24" i="19"/>
  <c r="Q24" i="19"/>
  <c r="A25" i="19"/>
  <c r="B25" i="19"/>
  <c r="C25" i="19"/>
  <c r="D25" i="19"/>
  <c r="E25" i="19"/>
  <c r="F25" i="19"/>
  <c r="G25" i="19"/>
  <c r="H25" i="19"/>
  <c r="I25" i="19"/>
  <c r="J25" i="19"/>
  <c r="K25" i="19"/>
  <c r="M25" i="19"/>
  <c r="N25" i="19"/>
  <c r="O25" i="19"/>
  <c r="Q25" i="19"/>
  <c r="A26" i="19"/>
  <c r="B26" i="19"/>
  <c r="C26" i="19"/>
  <c r="D26" i="19"/>
  <c r="E26" i="19"/>
  <c r="F26" i="19"/>
  <c r="G26" i="19"/>
  <c r="H26" i="19"/>
  <c r="I26" i="19"/>
  <c r="J26" i="19"/>
  <c r="K26" i="19"/>
  <c r="M26" i="19"/>
  <c r="N26" i="19"/>
  <c r="O26" i="19"/>
  <c r="Q26" i="19"/>
  <c r="A27" i="19"/>
  <c r="B27" i="19"/>
  <c r="C27" i="19"/>
  <c r="D27" i="19"/>
  <c r="E27" i="19"/>
  <c r="F27" i="19"/>
  <c r="G27" i="19"/>
  <c r="H27" i="19"/>
  <c r="I27" i="19"/>
  <c r="J27" i="19"/>
  <c r="K27" i="19"/>
  <c r="M27" i="19"/>
  <c r="N27" i="19"/>
  <c r="O27" i="19"/>
  <c r="Q27" i="19"/>
  <c r="A28" i="19"/>
  <c r="B28" i="19"/>
  <c r="C28" i="19"/>
  <c r="D28" i="19"/>
  <c r="E28" i="19"/>
  <c r="F28" i="19"/>
  <c r="G28" i="19"/>
  <c r="H28" i="19"/>
  <c r="I28" i="19"/>
  <c r="J28" i="19"/>
  <c r="K28" i="19"/>
  <c r="M28" i="19"/>
  <c r="N28" i="19"/>
  <c r="O28" i="19"/>
  <c r="Q28" i="19"/>
  <c r="A29" i="19"/>
  <c r="B29" i="19"/>
  <c r="C29" i="19"/>
  <c r="D29" i="19"/>
  <c r="E29" i="19"/>
  <c r="F29" i="19"/>
  <c r="L29" i="19" s="1"/>
  <c r="G29" i="19"/>
  <c r="H29" i="19"/>
  <c r="I29" i="19"/>
  <c r="J29" i="19"/>
  <c r="K29" i="19"/>
  <c r="M29" i="19"/>
  <c r="N29" i="19"/>
  <c r="O29" i="19"/>
  <c r="Q29" i="19"/>
  <c r="A30" i="19"/>
  <c r="B30" i="19"/>
  <c r="C30" i="19"/>
  <c r="D30" i="19"/>
  <c r="E30" i="19"/>
  <c r="F30" i="19"/>
  <c r="G30" i="19"/>
  <c r="H30" i="19"/>
  <c r="I30" i="19"/>
  <c r="J30" i="19"/>
  <c r="K30" i="19"/>
  <c r="M30" i="19"/>
  <c r="N30" i="19"/>
  <c r="O30" i="19"/>
  <c r="Q30" i="19"/>
  <c r="A31" i="19"/>
  <c r="B31" i="19"/>
  <c r="C31" i="19"/>
  <c r="D31" i="19"/>
  <c r="E31" i="19"/>
  <c r="F31" i="19"/>
  <c r="G31" i="19"/>
  <c r="H31" i="19"/>
  <c r="I31" i="19"/>
  <c r="J31" i="19"/>
  <c r="K31" i="19"/>
  <c r="M31" i="19"/>
  <c r="N31" i="19"/>
  <c r="O31" i="19"/>
  <c r="Q31" i="19"/>
  <c r="A32" i="19"/>
  <c r="B32" i="19"/>
  <c r="C32" i="19"/>
  <c r="D32" i="19"/>
  <c r="E32" i="19"/>
  <c r="F32" i="19"/>
  <c r="G32" i="19"/>
  <c r="H32" i="19"/>
  <c r="I32" i="19"/>
  <c r="J32" i="19"/>
  <c r="K32" i="19"/>
  <c r="M32" i="19"/>
  <c r="N32" i="19"/>
  <c r="O32" i="19"/>
  <c r="Q32" i="19"/>
  <c r="A33" i="19"/>
  <c r="B33" i="19"/>
  <c r="C33" i="19"/>
  <c r="D33" i="19"/>
  <c r="E33" i="19"/>
  <c r="F33" i="19"/>
  <c r="G33" i="19"/>
  <c r="H33" i="19"/>
  <c r="I33" i="19"/>
  <c r="J33" i="19"/>
  <c r="K33" i="19"/>
  <c r="M33" i="19"/>
  <c r="N33" i="19"/>
  <c r="O33" i="19"/>
  <c r="Q33" i="19"/>
  <c r="A34" i="19"/>
  <c r="B34" i="19"/>
  <c r="C34" i="19"/>
  <c r="D34" i="19"/>
  <c r="E34" i="19"/>
  <c r="F34" i="19"/>
  <c r="G34" i="19"/>
  <c r="H34" i="19"/>
  <c r="I34" i="19"/>
  <c r="J34" i="19"/>
  <c r="K34" i="19"/>
  <c r="M34" i="19"/>
  <c r="N34" i="19"/>
  <c r="O34" i="19"/>
  <c r="Q34" i="19"/>
  <c r="A35" i="19"/>
  <c r="B35" i="19"/>
  <c r="C35" i="19"/>
  <c r="D35" i="19"/>
  <c r="E35" i="19"/>
  <c r="F35" i="19"/>
  <c r="G35" i="19"/>
  <c r="H35" i="19"/>
  <c r="I35" i="19"/>
  <c r="J35" i="19"/>
  <c r="K35" i="19"/>
  <c r="M35" i="19"/>
  <c r="N35" i="19"/>
  <c r="O35" i="19"/>
  <c r="Q35" i="19"/>
  <c r="A36" i="19"/>
  <c r="B36" i="19"/>
  <c r="C36" i="19"/>
  <c r="D36" i="19"/>
  <c r="E36" i="19"/>
  <c r="F36" i="19"/>
  <c r="G36" i="19"/>
  <c r="H36" i="19"/>
  <c r="I36" i="19"/>
  <c r="J36" i="19"/>
  <c r="K36" i="19"/>
  <c r="M36" i="19"/>
  <c r="N36" i="19"/>
  <c r="O36" i="19"/>
  <c r="Q36" i="19"/>
  <c r="A37" i="19"/>
  <c r="B37" i="19"/>
  <c r="C37" i="19"/>
  <c r="D37" i="19"/>
  <c r="E37" i="19"/>
  <c r="F37" i="19"/>
  <c r="L37" i="19" s="1"/>
  <c r="G37" i="19"/>
  <c r="H37" i="19"/>
  <c r="I37" i="19"/>
  <c r="J37" i="19"/>
  <c r="K37" i="19"/>
  <c r="M37" i="19"/>
  <c r="N37" i="19"/>
  <c r="O37" i="19"/>
  <c r="Q37" i="19"/>
  <c r="A38" i="19"/>
  <c r="B38" i="19"/>
  <c r="C38" i="19"/>
  <c r="D38" i="19"/>
  <c r="E38" i="19"/>
  <c r="F38" i="19"/>
  <c r="G38" i="19"/>
  <c r="H38" i="19"/>
  <c r="I38" i="19"/>
  <c r="J38" i="19"/>
  <c r="K38" i="19"/>
  <c r="M38" i="19"/>
  <c r="N38" i="19"/>
  <c r="O38" i="19"/>
  <c r="Q38" i="19"/>
  <c r="A39" i="19"/>
  <c r="B39" i="19"/>
  <c r="C39" i="19"/>
  <c r="D39" i="19"/>
  <c r="E39" i="19"/>
  <c r="F39" i="19"/>
  <c r="G39" i="19"/>
  <c r="H39" i="19"/>
  <c r="I39" i="19"/>
  <c r="J39" i="19"/>
  <c r="K39" i="19"/>
  <c r="M39" i="19"/>
  <c r="N39" i="19"/>
  <c r="O39" i="19"/>
  <c r="Q39" i="19"/>
  <c r="A40" i="19"/>
  <c r="B40" i="19"/>
  <c r="C40" i="19"/>
  <c r="D40" i="19"/>
  <c r="E40" i="19"/>
  <c r="F40" i="19"/>
  <c r="G40" i="19"/>
  <c r="H40" i="19"/>
  <c r="I40" i="19"/>
  <c r="J40" i="19"/>
  <c r="K40" i="19"/>
  <c r="M40" i="19"/>
  <c r="N40" i="19"/>
  <c r="O40" i="19"/>
  <c r="Q40" i="19"/>
  <c r="A41" i="19"/>
  <c r="B41" i="19"/>
  <c r="C41" i="19"/>
  <c r="D41" i="19"/>
  <c r="E41" i="19"/>
  <c r="F41" i="19"/>
  <c r="G41" i="19"/>
  <c r="H41" i="19"/>
  <c r="I41" i="19"/>
  <c r="J41" i="19"/>
  <c r="K41" i="19"/>
  <c r="M41" i="19"/>
  <c r="N41" i="19"/>
  <c r="O41" i="19"/>
  <c r="Q41" i="19"/>
  <c r="A42" i="19"/>
  <c r="B42" i="19"/>
  <c r="C42" i="19"/>
  <c r="D42" i="19"/>
  <c r="E42" i="19"/>
  <c r="F42" i="19"/>
  <c r="G42" i="19"/>
  <c r="H42" i="19"/>
  <c r="I42" i="19"/>
  <c r="J42" i="19"/>
  <c r="K42" i="19"/>
  <c r="M42" i="19"/>
  <c r="N42" i="19"/>
  <c r="O42" i="19"/>
  <c r="Q42" i="19"/>
  <c r="A43" i="19"/>
  <c r="B43" i="19"/>
  <c r="C43" i="19"/>
  <c r="D43" i="19"/>
  <c r="E43" i="19"/>
  <c r="F43" i="19"/>
  <c r="G43" i="19"/>
  <c r="H43" i="19"/>
  <c r="I43" i="19"/>
  <c r="J43" i="19"/>
  <c r="K43" i="19"/>
  <c r="M43" i="19"/>
  <c r="N43" i="19"/>
  <c r="O43" i="19"/>
  <c r="Q43" i="19"/>
  <c r="A44" i="19"/>
  <c r="B44" i="19"/>
  <c r="C44" i="19"/>
  <c r="D44" i="19"/>
  <c r="E44" i="19"/>
  <c r="F44" i="19"/>
  <c r="G44" i="19"/>
  <c r="H44" i="19"/>
  <c r="I44" i="19"/>
  <c r="J44" i="19"/>
  <c r="K44" i="19"/>
  <c r="M44" i="19"/>
  <c r="N44" i="19"/>
  <c r="O44" i="19"/>
  <c r="Q44" i="19"/>
  <c r="A45" i="19"/>
  <c r="B45" i="19"/>
  <c r="C45" i="19"/>
  <c r="D45" i="19"/>
  <c r="E45" i="19"/>
  <c r="F45" i="19"/>
  <c r="G45" i="19"/>
  <c r="H45" i="19"/>
  <c r="I45" i="19"/>
  <c r="J45" i="19"/>
  <c r="K45" i="19"/>
  <c r="M45" i="19"/>
  <c r="N45" i="19"/>
  <c r="O45" i="19"/>
  <c r="Q45" i="19"/>
  <c r="A46" i="19"/>
  <c r="B46" i="19"/>
  <c r="C46" i="19"/>
  <c r="D46" i="19"/>
  <c r="E46" i="19"/>
  <c r="F46" i="19"/>
  <c r="G46" i="19"/>
  <c r="H46" i="19"/>
  <c r="I46" i="19"/>
  <c r="J46" i="19"/>
  <c r="K46" i="19"/>
  <c r="M46" i="19"/>
  <c r="N46" i="19"/>
  <c r="O46" i="19"/>
  <c r="Q46" i="19"/>
  <c r="A47" i="19"/>
  <c r="B47" i="19"/>
  <c r="C47" i="19"/>
  <c r="D47" i="19"/>
  <c r="E47" i="19"/>
  <c r="F47" i="19"/>
  <c r="G47" i="19"/>
  <c r="H47" i="19"/>
  <c r="I47" i="19"/>
  <c r="J47" i="19"/>
  <c r="K47" i="19"/>
  <c r="M47" i="19"/>
  <c r="N47" i="19"/>
  <c r="O47" i="19"/>
  <c r="Q47" i="19"/>
  <c r="A48" i="19"/>
  <c r="B48" i="19"/>
  <c r="C48" i="19"/>
  <c r="D48" i="19"/>
  <c r="E48" i="19"/>
  <c r="F48" i="19"/>
  <c r="G48" i="19"/>
  <c r="H48" i="19"/>
  <c r="I48" i="19"/>
  <c r="J48" i="19"/>
  <c r="K48" i="19"/>
  <c r="M48" i="19"/>
  <c r="N48" i="19"/>
  <c r="O48" i="19"/>
  <c r="Q48" i="19"/>
  <c r="A49" i="19"/>
  <c r="B49" i="19"/>
  <c r="C49" i="19"/>
  <c r="D49" i="19"/>
  <c r="E49" i="19"/>
  <c r="F49" i="19"/>
  <c r="G49" i="19"/>
  <c r="H49" i="19"/>
  <c r="I49" i="19"/>
  <c r="J49" i="19"/>
  <c r="K49" i="19"/>
  <c r="M49" i="19"/>
  <c r="N49" i="19"/>
  <c r="O49" i="19"/>
  <c r="Q49" i="19"/>
  <c r="A50" i="19"/>
  <c r="B50" i="19"/>
  <c r="C50" i="19"/>
  <c r="D50" i="19"/>
  <c r="E50" i="19"/>
  <c r="F50" i="19"/>
  <c r="G50" i="19"/>
  <c r="H50" i="19"/>
  <c r="I50" i="19"/>
  <c r="J50" i="19"/>
  <c r="K50" i="19"/>
  <c r="M50" i="19"/>
  <c r="N50" i="19"/>
  <c r="O50" i="19"/>
  <c r="Q50" i="19"/>
  <c r="A51" i="19"/>
  <c r="B51" i="19"/>
  <c r="C51" i="19"/>
  <c r="D51" i="19"/>
  <c r="E51" i="19"/>
  <c r="F51" i="19"/>
  <c r="G51" i="19"/>
  <c r="H51" i="19"/>
  <c r="I51" i="19"/>
  <c r="J51" i="19"/>
  <c r="K51" i="19"/>
  <c r="M51" i="19"/>
  <c r="N51" i="19"/>
  <c r="O51" i="19"/>
  <c r="Q51" i="19"/>
  <c r="A52" i="19"/>
  <c r="B52" i="19"/>
  <c r="C52" i="19"/>
  <c r="D52" i="19"/>
  <c r="E52" i="19"/>
  <c r="F52" i="19"/>
  <c r="G52" i="19"/>
  <c r="H52" i="19"/>
  <c r="I52" i="19"/>
  <c r="J52" i="19"/>
  <c r="K52" i="19"/>
  <c r="M52" i="19"/>
  <c r="N52" i="19"/>
  <c r="O52" i="19"/>
  <c r="Q52" i="19"/>
  <c r="A53" i="19"/>
  <c r="B53" i="19"/>
  <c r="C53" i="19"/>
  <c r="D53" i="19"/>
  <c r="E53" i="19"/>
  <c r="F53" i="19"/>
  <c r="G53" i="19"/>
  <c r="H53" i="19"/>
  <c r="I53" i="19"/>
  <c r="J53" i="19"/>
  <c r="K53" i="19"/>
  <c r="M53" i="19"/>
  <c r="N53" i="19"/>
  <c r="O53" i="19"/>
  <c r="Q53" i="19"/>
  <c r="A54" i="19"/>
  <c r="B54" i="19"/>
  <c r="C54" i="19"/>
  <c r="D54" i="19"/>
  <c r="E54" i="19"/>
  <c r="F54" i="19"/>
  <c r="G54" i="19"/>
  <c r="H54" i="19"/>
  <c r="I54" i="19"/>
  <c r="J54" i="19"/>
  <c r="K54" i="19"/>
  <c r="M54" i="19"/>
  <c r="N54" i="19"/>
  <c r="O54" i="19"/>
  <c r="Q54" i="19"/>
  <c r="A55" i="19"/>
  <c r="B55" i="19"/>
  <c r="C55" i="19"/>
  <c r="D55" i="19"/>
  <c r="E55" i="19"/>
  <c r="F55" i="19"/>
  <c r="G55" i="19"/>
  <c r="H55" i="19"/>
  <c r="I55" i="19"/>
  <c r="J55" i="19"/>
  <c r="K55" i="19"/>
  <c r="M55" i="19"/>
  <c r="N55" i="19"/>
  <c r="O55" i="19"/>
  <c r="Q55" i="19"/>
  <c r="A56" i="19"/>
  <c r="B56" i="19"/>
  <c r="C56" i="19"/>
  <c r="D56" i="19"/>
  <c r="E56" i="19"/>
  <c r="F56" i="19"/>
  <c r="G56" i="19"/>
  <c r="H56" i="19"/>
  <c r="I56" i="19"/>
  <c r="J56" i="19"/>
  <c r="K56" i="19"/>
  <c r="M56" i="19"/>
  <c r="N56" i="19"/>
  <c r="O56" i="19"/>
  <c r="Q56" i="19"/>
  <c r="A57" i="19"/>
  <c r="B57" i="19"/>
  <c r="C57" i="19"/>
  <c r="D57" i="19"/>
  <c r="E57" i="19"/>
  <c r="F57" i="19"/>
  <c r="G57" i="19"/>
  <c r="H57" i="19"/>
  <c r="I57" i="19"/>
  <c r="J57" i="19"/>
  <c r="K57" i="19"/>
  <c r="M57" i="19"/>
  <c r="N57" i="19"/>
  <c r="O57" i="19"/>
  <c r="Q57" i="19"/>
  <c r="A58" i="19"/>
  <c r="B58" i="19"/>
  <c r="C58" i="19"/>
  <c r="D58" i="19"/>
  <c r="E58" i="19"/>
  <c r="F58" i="19"/>
  <c r="G58" i="19"/>
  <c r="H58" i="19"/>
  <c r="I58" i="19"/>
  <c r="J58" i="19"/>
  <c r="K58" i="19"/>
  <c r="M58" i="19"/>
  <c r="N58" i="19"/>
  <c r="O58" i="19"/>
  <c r="Q58" i="19"/>
  <c r="A59" i="19"/>
  <c r="B59" i="19"/>
  <c r="C59" i="19"/>
  <c r="D59" i="19"/>
  <c r="E59" i="19"/>
  <c r="F59" i="19"/>
  <c r="G59" i="19"/>
  <c r="H59" i="19"/>
  <c r="I59" i="19"/>
  <c r="J59" i="19"/>
  <c r="K59" i="19"/>
  <c r="M59" i="19"/>
  <c r="N59" i="19"/>
  <c r="O59" i="19"/>
  <c r="Q59" i="19"/>
  <c r="A60" i="19"/>
  <c r="B60" i="19"/>
  <c r="C60" i="19"/>
  <c r="D60" i="19"/>
  <c r="E60" i="19"/>
  <c r="F60" i="19"/>
  <c r="G60" i="19"/>
  <c r="H60" i="19"/>
  <c r="I60" i="19"/>
  <c r="J60" i="19"/>
  <c r="K60" i="19"/>
  <c r="M60" i="19"/>
  <c r="N60" i="19"/>
  <c r="O60" i="19"/>
  <c r="Q60" i="19"/>
  <c r="A61" i="19"/>
  <c r="B61" i="19"/>
  <c r="C61" i="19"/>
  <c r="D61" i="19"/>
  <c r="E61" i="19"/>
  <c r="F61" i="19"/>
  <c r="G61" i="19"/>
  <c r="H61" i="19"/>
  <c r="I61" i="19"/>
  <c r="J61" i="19"/>
  <c r="K61" i="19"/>
  <c r="M61" i="19"/>
  <c r="N61" i="19"/>
  <c r="O61" i="19"/>
  <c r="Q61" i="19"/>
  <c r="A62" i="19"/>
  <c r="B62" i="19"/>
  <c r="C62" i="19"/>
  <c r="D62" i="19"/>
  <c r="E62" i="19"/>
  <c r="F62" i="19"/>
  <c r="G62" i="19"/>
  <c r="H62" i="19"/>
  <c r="I62" i="19"/>
  <c r="J62" i="19"/>
  <c r="K62" i="19"/>
  <c r="M62" i="19"/>
  <c r="N62" i="19"/>
  <c r="O62" i="19"/>
  <c r="Q62" i="19"/>
  <c r="A63" i="19"/>
  <c r="B63" i="19"/>
  <c r="C63" i="19"/>
  <c r="D63" i="19"/>
  <c r="E63" i="19"/>
  <c r="F63" i="19"/>
  <c r="G63" i="19"/>
  <c r="H63" i="19"/>
  <c r="I63" i="19"/>
  <c r="J63" i="19"/>
  <c r="K63" i="19"/>
  <c r="M63" i="19"/>
  <c r="N63" i="19"/>
  <c r="O63" i="19"/>
  <c r="Q63" i="19"/>
  <c r="A64" i="19"/>
  <c r="B64" i="19"/>
  <c r="C64" i="19"/>
  <c r="D64" i="19"/>
  <c r="E64" i="19"/>
  <c r="F64" i="19"/>
  <c r="G64" i="19"/>
  <c r="H64" i="19"/>
  <c r="I64" i="19"/>
  <c r="J64" i="19"/>
  <c r="K64" i="19"/>
  <c r="M64" i="19"/>
  <c r="N64" i="19"/>
  <c r="O64" i="19"/>
  <c r="Q64" i="19"/>
  <c r="A65" i="19"/>
  <c r="B65" i="19"/>
  <c r="C65" i="19"/>
  <c r="D65" i="19"/>
  <c r="E65" i="19"/>
  <c r="F65" i="19"/>
  <c r="G65" i="19"/>
  <c r="H65" i="19"/>
  <c r="I65" i="19"/>
  <c r="J65" i="19"/>
  <c r="K65" i="19"/>
  <c r="M65" i="19"/>
  <c r="N65" i="19"/>
  <c r="O65" i="19"/>
  <c r="Q65" i="19"/>
  <c r="A66" i="19"/>
  <c r="B66" i="19"/>
  <c r="C66" i="19"/>
  <c r="D66" i="19"/>
  <c r="E66" i="19"/>
  <c r="F66" i="19"/>
  <c r="G66" i="19"/>
  <c r="H66" i="19"/>
  <c r="I66" i="19"/>
  <c r="J66" i="19"/>
  <c r="K66" i="19"/>
  <c r="M66" i="19"/>
  <c r="N66" i="19"/>
  <c r="O66" i="19"/>
  <c r="Q66" i="19"/>
  <c r="A67" i="19"/>
  <c r="B67" i="19"/>
  <c r="C67" i="19"/>
  <c r="D67" i="19"/>
  <c r="E67" i="19"/>
  <c r="F67" i="19"/>
  <c r="G67" i="19"/>
  <c r="H67" i="19"/>
  <c r="I67" i="19"/>
  <c r="J67" i="19"/>
  <c r="K67" i="19"/>
  <c r="M67" i="19"/>
  <c r="N67" i="19"/>
  <c r="O67" i="19"/>
  <c r="Q67" i="19"/>
  <c r="A68" i="19"/>
  <c r="B68" i="19"/>
  <c r="C68" i="19"/>
  <c r="D68" i="19"/>
  <c r="E68" i="19"/>
  <c r="F68" i="19"/>
  <c r="G68" i="19"/>
  <c r="H68" i="19"/>
  <c r="I68" i="19"/>
  <c r="J68" i="19"/>
  <c r="K68" i="19"/>
  <c r="M68" i="19"/>
  <c r="N68" i="19"/>
  <c r="O68" i="19"/>
  <c r="Q68" i="19"/>
  <c r="A69" i="19"/>
  <c r="B69" i="19"/>
  <c r="C69" i="19"/>
  <c r="D69" i="19"/>
  <c r="E69" i="19"/>
  <c r="F69" i="19"/>
  <c r="G69" i="19"/>
  <c r="H69" i="19"/>
  <c r="I69" i="19"/>
  <c r="J69" i="19"/>
  <c r="K69" i="19"/>
  <c r="M69" i="19"/>
  <c r="N69" i="19"/>
  <c r="O69" i="19"/>
  <c r="Q69" i="19"/>
  <c r="A70" i="19"/>
  <c r="B70" i="19"/>
  <c r="C70" i="19"/>
  <c r="D70" i="19"/>
  <c r="E70" i="19"/>
  <c r="F70" i="19"/>
  <c r="G70" i="19"/>
  <c r="H70" i="19"/>
  <c r="I70" i="19"/>
  <c r="J70" i="19"/>
  <c r="K70" i="19"/>
  <c r="M70" i="19"/>
  <c r="N70" i="19"/>
  <c r="O70" i="19"/>
  <c r="Q70" i="19"/>
  <c r="A71" i="19"/>
  <c r="B71" i="19"/>
  <c r="C71" i="19"/>
  <c r="D71" i="19"/>
  <c r="E71" i="19"/>
  <c r="F71" i="19"/>
  <c r="G71" i="19"/>
  <c r="H71" i="19"/>
  <c r="I71" i="19"/>
  <c r="J71" i="19"/>
  <c r="K71" i="19"/>
  <c r="M71" i="19"/>
  <c r="N71" i="19"/>
  <c r="O71" i="19"/>
  <c r="Q71" i="19"/>
  <c r="A72" i="19"/>
  <c r="B72" i="19"/>
  <c r="C72" i="19"/>
  <c r="D72" i="19"/>
  <c r="E72" i="19"/>
  <c r="F72" i="19"/>
  <c r="G72" i="19"/>
  <c r="H72" i="19"/>
  <c r="I72" i="19"/>
  <c r="J72" i="19"/>
  <c r="K72" i="19"/>
  <c r="M72" i="19"/>
  <c r="N72" i="19"/>
  <c r="O72" i="19"/>
  <c r="Q72" i="19"/>
  <c r="A73" i="19"/>
  <c r="B73" i="19"/>
  <c r="C73" i="19"/>
  <c r="D73" i="19"/>
  <c r="E73" i="19"/>
  <c r="F73" i="19"/>
  <c r="G73" i="19"/>
  <c r="H73" i="19"/>
  <c r="I73" i="19"/>
  <c r="J73" i="19"/>
  <c r="K73" i="19"/>
  <c r="M73" i="19"/>
  <c r="N73" i="19"/>
  <c r="O73" i="19"/>
  <c r="Q73" i="19"/>
  <c r="A74" i="19"/>
  <c r="B74" i="19"/>
  <c r="C74" i="19"/>
  <c r="D74" i="19"/>
  <c r="E74" i="19"/>
  <c r="F74" i="19"/>
  <c r="G74" i="19"/>
  <c r="H74" i="19"/>
  <c r="I74" i="19"/>
  <c r="J74" i="19"/>
  <c r="K74" i="19"/>
  <c r="M74" i="19"/>
  <c r="N74" i="19"/>
  <c r="O74" i="19"/>
  <c r="Q74" i="19"/>
  <c r="A75" i="19"/>
  <c r="B75" i="19"/>
  <c r="C75" i="19"/>
  <c r="D75" i="19"/>
  <c r="E75" i="19"/>
  <c r="F75" i="19"/>
  <c r="G75" i="19"/>
  <c r="H75" i="19"/>
  <c r="I75" i="19"/>
  <c r="J75" i="19"/>
  <c r="K75" i="19"/>
  <c r="M75" i="19"/>
  <c r="N75" i="19"/>
  <c r="O75" i="19"/>
  <c r="Q75" i="19"/>
  <c r="A76" i="19"/>
  <c r="B76" i="19"/>
  <c r="C76" i="19"/>
  <c r="D76" i="19"/>
  <c r="E76" i="19"/>
  <c r="F76" i="19"/>
  <c r="G76" i="19"/>
  <c r="H76" i="19"/>
  <c r="I76" i="19"/>
  <c r="J76" i="19"/>
  <c r="K76" i="19"/>
  <c r="M76" i="19"/>
  <c r="N76" i="19"/>
  <c r="O76" i="19"/>
  <c r="Q76" i="19"/>
  <c r="A77" i="19"/>
  <c r="B77" i="19"/>
  <c r="C77" i="19"/>
  <c r="D77" i="19"/>
  <c r="E77" i="19"/>
  <c r="F77" i="19"/>
  <c r="G77" i="19"/>
  <c r="H77" i="19"/>
  <c r="I77" i="19"/>
  <c r="J77" i="19"/>
  <c r="K77" i="19"/>
  <c r="M77" i="19"/>
  <c r="N77" i="19"/>
  <c r="O77" i="19"/>
  <c r="Q77" i="19"/>
  <c r="A78" i="19"/>
  <c r="B78" i="19"/>
  <c r="C78" i="19"/>
  <c r="D78" i="19"/>
  <c r="E78" i="19"/>
  <c r="F78" i="19"/>
  <c r="G78" i="19"/>
  <c r="H78" i="19"/>
  <c r="I78" i="19"/>
  <c r="J78" i="19"/>
  <c r="K78" i="19"/>
  <c r="M78" i="19"/>
  <c r="N78" i="19"/>
  <c r="O78" i="19"/>
  <c r="Q78" i="19"/>
  <c r="A79" i="19"/>
  <c r="B79" i="19"/>
  <c r="C79" i="19"/>
  <c r="D79" i="19"/>
  <c r="E79" i="19"/>
  <c r="F79" i="19"/>
  <c r="G79" i="19"/>
  <c r="H79" i="19"/>
  <c r="I79" i="19"/>
  <c r="J79" i="19"/>
  <c r="K79" i="19"/>
  <c r="M79" i="19"/>
  <c r="N79" i="19"/>
  <c r="O79" i="19"/>
  <c r="Q79" i="19"/>
  <c r="A80" i="19"/>
  <c r="B80" i="19"/>
  <c r="C80" i="19"/>
  <c r="D80" i="19"/>
  <c r="E80" i="19"/>
  <c r="F80" i="19"/>
  <c r="G80" i="19"/>
  <c r="H80" i="19"/>
  <c r="I80" i="19"/>
  <c r="J80" i="19"/>
  <c r="K80" i="19"/>
  <c r="M80" i="19"/>
  <c r="N80" i="19"/>
  <c r="O80" i="19"/>
  <c r="Q80" i="19"/>
  <c r="A81" i="19"/>
  <c r="B81" i="19"/>
  <c r="C81" i="19"/>
  <c r="D81" i="19"/>
  <c r="E81" i="19"/>
  <c r="F81" i="19"/>
  <c r="G81" i="19"/>
  <c r="H81" i="19"/>
  <c r="I81" i="19"/>
  <c r="J81" i="19"/>
  <c r="K81" i="19"/>
  <c r="M81" i="19"/>
  <c r="N81" i="19"/>
  <c r="O81" i="19"/>
  <c r="Q81" i="19"/>
  <c r="A82" i="19"/>
  <c r="B82" i="19"/>
  <c r="C82" i="19"/>
  <c r="D82" i="19"/>
  <c r="E82" i="19"/>
  <c r="F82" i="19"/>
  <c r="G82" i="19"/>
  <c r="H82" i="19"/>
  <c r="I82" i="19"/>
  <c r="J82" i="19"/>
  <c r="K82" i="19"/>
  <c r="M82" i="19"/>
  <c r="N82" i="19"/>
  <c r="O82" i="19"/>
  <c r="Q82" i="19"/>
  <c r="A83" i="19"/>
  <c r="B83" i="19"/>
  <c r="C83" i="19"/>
  <c r="D83" i="19"/>
  <c r="E83" i="19"/>
  <c r="F83" i="19"/>
  <c r="G83" i="19"/>
  <c r="H83" i="19"/>
  <c r="I83" i="19"/>
  <c r="J83" i="19"/>
  <c r="K83" i="19"/>
  <c r="M83" i="19"/>
  <c r="N83" i="19"/>
  <c r="O83" i="19"/>
  <c r="Q83" i="19"/>
  <c r="A84" i="19"/>
  <c r="B84" i="19"/>
  <c r="C84" i="19"/>
  <c r="D84" i="19"/>
  <c r="E84" i="19"/>
  <c r="F84" i="19"/>
  <c r="G84" i="19"/>
  <c r="H84" i="19"/>
  <c r="I84" i="19"/>
  <c r="J84" i="19"/>
  <c r="K84" i="19"/>
  <c r="M84" i="19"/>
  <c r="N84" i="19"/>
  <c r="O84" i="19"/>
  <c r="Q84" i="19"/>
  <c r="A85" i="19"/>
  <c r="B85" i="19"/>
  <c r="C85" i="19"/>
  <c r="D85" i="19"/>
  <c r="E85" i="19"/>
  <c r="F85" i="19"/>
  <c r="G85" i="19"/>
  <c r="H85" i="19"/>
  <c r="I85" i="19"/>
  <c r="J85" i="19"/>
  <c r="K85" i="19"/>
  <c r="M85" i="19"/>
  <c r="N85" i="19"/>
  <c r="O85" i="19"/>
  <c r="Q85" i="19"/>
  <c r="A86" i="19"/>
  <c r="B86" i="19"/>
  <c r="C86" i="19"/>
  <c r="D86" i="19"/>
  <c r="E86" i="19"/>
  <c r="F86" i="19"/>
  <c r="G86" i="19"/>
  <c r="H86" i="19"/>
  <c r="I86" i="19"/>
  <c r="J86" i="19"/>
  <c r="K86" i="19"/>
  <c r="M86" i="19"/>
  <c r="N86" i="19"/>
  <c r="O86" i="19"/>
  <c r="Q86" i="19"/>
  <c r="A87" i="19"/>
  <c r="B87" i="19"/>
  <c r="C87" i="19"/>
  <c r="D87" i="19"/>
  <c r="E87" i="19"/>
  <c r="F87" i="19"/>
  <c r="G87" i="19"/>
  <c r="H87" i="19"/>
  <c r="I87" i="19"/>
  <c r="J87" i="19"/>
  <c r="K87" i="19"/>
  <c r="M87" i="19"/>
  <c r="N87" i="19"/>
  <c r="O87" i="19"/>
  <c r="Q87" i="19"/>
  <c r="A88" i="19"/>
  <c r="B88" i="19"/>
  <c r="C88" i="19"/>
  <c r="D88" i="19"/>
  <c r="E88" i="19"/>
  <c r="F88" i="19"/>
  <c r="G88" i="19"/>
  <c r="H88" i="19"/>
  <c r="I88" i="19"/>
  <c r="J88" i="19"/>
  <c r="K88" i="19"/>
  <c r="M88" i="19"/>
  <c r="N88" i="19"/>
  <c r="O88" i="19"/>
  <c r="Q88" i="19"/>
  <c r="A89" i="19"/>
  <c r="B89" i="19"/>
  <c r="C89" i="19"/>
  <c r="D89" i="19"/>
  <c r="E89" i="19"/>
  <c r="F89" i="19"/>
  <c r="G89" i="19"/>
  <c r="H89" i="19"/>
  <c r="I89" i="19"/>
  <c r="J89" i="19"/>
  <c r="K89" i="19"/>
  <c r="M89" i="19"/>
  <c r="N89" i="19"/>
  <c r="O89" i="19"/>
  <c r="Q89" i="19"/>
  <c r="A90" i="19"/>
  <c r="B90" i="19"/>
  <c r="C90" i="19"/>
  <c r="D90" i="19"/>
  <c r="E90" i="19"/>
  <c r="F90" i="19"/>
  <c r="G90" i="19"/>
  <c r="H90" i="19"/>
  <c r="I90" i="19"/>
  <c r="J90" i="19"/>
  <c r="K90" i="19"/>
  <c r="M90" i="19"/>
  <c r="N90" i="19"/>
  <c r="O90" i="19"/>
  <c r="Q90" i="19"/>
  <c r="A91" i="19"/>
  <c r="B91" i="19"/>
  <c r="C91" i="19"/>
  <c r="D91" i="19"/>
  <c r="E91" i="19"/>
  <c r="F91" i="19"/>
  <c r="G91" i="19"/>
  <c r="H91" i="19"/>
  <c r="I91" i="19"/>
  <c r="J91" i="19"/>
  <c r="K91" i="19"/>
  <c r="M91" i="19"/>
  <c r="N91" i="19"/>
  <c r="O91" i="19"/>
  <c r="Q91" i="19"/>
  <c r="A92" i="19"/>
  <c r="B92" i="19"/>
  <c r="C92" i="19"/>
  <c r="D92" i="19"/>
  <c r="E92" i="19"/>
  <c r="F92" i="19"/>
  <c r="G92" i="19"/>
  <c r="H92" i="19"/>
  <c r="I92" i="19"/>
  <c r="J92" i="19"/>
  <c r="K92" i="19"/>
  <c r="M92" i="19"/>
  <c r="N92" i="19"/>
  <c r="O92" i="19"/>
  <c r="Q92" i="19"/>
  <c r="A93" i="19"/>
  <c r="B93" i="19"/>
  <c r="C93" i="19"/>
  <c r="D93" i="19"/>
  <c r="E93" i="19"/>
  <c r="F93" i="19"/>
  <c r="G93" i="19"/>
  <c r="H93" i="19"/>
  <c r="I93" i="19"/>
  <c r="J93" i="19"/>
  <c r="K93" i="19"/>
  <c r="M93" i="19"/>
  <c r="N93" i="19"/>
  <c r="O93" i="19"/>
  <c r="Q93" i="19"/>
  <c r="A94" i="19"/>
  <c r="B94" i="19"/>
  <c r="C94" i="19"/>
  <c r="D94" i="19"/>
  <c r="E94" i="19"/>
  <c r="F94" i="19"/>
  <c r="G94" i="19"/>
  <c r="H94" i="19"/>
  <c r="I94" i="19"/>
  <c r="J94" i="19"/>
  <c r="K94" i="19"/>
  <c r="M94" i="19"/>
  <c r="N94" i="19"/>
  <c r="O94" i="19"/>
  <c r="Q94" i="19"/>
  <c r="A95" i="19"/>
  <c r="B95" i="19"/>
  <c r="C95" i="19"/>
  <c r="D95" i="19"/>
  <c r="E95" i="19"/>
  <c r="F95" i="19"/>
  <c r="G95" i="19"/>
  <c r="H95" i="19"/>
  <c r="I95" i="19"/>
  <c r="J95" i="19"/>
  <c r="K95" i="19"/>
  <c r="M95" i="19"/>
  <c r="N95" i="19"/>
  <c r="O95" i="19"/>
  <c r="Q95" i="19"/>
  <c r="A96" i="19"/>
  <c r="B96" i="19"/>
  <c r="C96" i="19"/>
  <c r="D96" i="19"/>
  <c r="E96" i="19"/>
  <c r="F96" i="19"/>
  <c r="G96" i="19"/>
  <c r="H96" i="19"/>
  <c r="I96" i="19"/>
  <c r="J96" i="19"/>
  <c r="K96" i="19"/>
  <c r="M96" i="19"/>
  <c r="N96" i="19"/>
  <c r="O96" i="19"/>
  <c r="Q96" i="19"/>
  <c r="A97" i="19"/>
  <c r="B97" i="19"/>
  <c r="C97" i="19"/>
  <c r="D97" i="19"/>
  <c r="E97" i="19"/>
  <c r="F97" i="19"/>
  <c r="G97" i="19"/>
  <c r="H97" i="19"/>
  <c r="I97" i="19"/>
  <c r="J97" i="19"/>
  <c r="K97" i="19"/>
  <c r="M97" i="19"/>
  <c r="N97" i="19"/>
  <c r="O97" i="19"/>
  <c r="Q97" i="19"/>
  <c r="A98" i="19"/>
  <c r="B98" i="19"/>
  <c r="C98" i="19"/>
  <c r="D98" i="19"/>
  <c r="E98" i="19"/>
  <c r="F98" i="19"/>
  <c r="G98" i="19"/>
  <c r="H98" i="19"/>
  <c r="I98" i="19"/>
  <c r="J98" i="19"/>
  <c r="K98" i="19"/>
  <c r="M98" i="19"/>
  <c r="N98" i="19"/>
  <c r="O98" i="19"/>
  <c r="Q98" i="19"/>
  <c r="A99" i="19"/>
  <c r="B99" i="19"/>
  <c r="C99" i="19"/>
  <c r="D99" i="19"/>
  <c r="E99" i="19"/>
  <c r="F99" i="19"/>
  <c r="G99" i="19"/>
  <c r="H99" i="19"/>
  <c r="I99" i="19"/>
  <c r="J99" i="19"/>
  <c r="K99" i="19"/>
  <c r="M99" i="19"/>
  <c r="N99" i="19"/>
  <c r="O99" i="19"/>
  <c r="Q99" i="19"/>
  <c r="A100" i="19"/>
  <c r="B100" i="19"/>
  <c r="C100" i="19"/>
  <c r="D100" i="19"/>
  <c r="E100" i="19"/>
  <c r="F100" i="19"/>
  <c r="G100" i="19"/>
  <c r="H100" i="19"/>
  <c r="I100" i="19"/>
  <c r="J100" i="19"/>
  <c r="K100" i="19"/>
  <c r="M100" i="19"/>
  <c r="N100" i="19"/>
  <c r="O100" i="19"/>
  <c r="Q100" i="19"/>
  <c r="A101" i="19"/>
  <c r="B101" i="19"/>
  <c r="C101" i="19"/>
  <c r="D101" i="19"/>
  <c r="E101" i="19"/>
  <c r="F101" i="19"/>
  <c r="G101" i="19"/>
  <c r="H101" i="19"/>
  <c r="I101" i="19"/>
  <c r="J101" i="19"/>
  <c r="K101" i="19"/>
  <c r="M101" i="19"/>
  <c r="N101" i="19"/>
  <c r="O101" i="19"/>
  <c r="Q101" i="19"/>
  <c r="A102" i="19"/>
  <c r="B102" i="19"/>
  <c r="C102" i="19"/>
  <c r="D102" i="19"/>
  <c r="E102" i="19"/>
  <c r="F102" i="19"/>
  <c r="G102" i="19"/>
  <c r="H102" i="19"/>
  <c r="I102" i="19"/>
  <c r="J102" i="19"/>
  <c r="K102" i="19"/>
  <c r="M102" i="19"/>
  <c r="N102" i="19"/>
  <c r="O102" i="19"/>
  <c r="Q102" i="19"/>
  <c r="A103" i="19"/>
  <c r="B103" i="19"/>
  <c r="C103" i="19"/>
  <c r="D103" i="19"/>
  <c r="E103" i="19"/>
  <c r="F103" i="19"/>
  <c r="G103" i="19"/>
  <c r="H103" i="19"/>
  <c r="I103" i="19"/>
  <c r="J103" i="19"/>
  <c r="K103" i="19"/>
  <c r="M103" i="19"/>
  <c r="N103" i="19"/>
  <c r="O103" i="19"/>
  <c r="Q103" i="19"/>
  <c r="A104" i="19"/>
  <c r="B104" i="19"/>
  <c r="C104" i="19"/>
  <c r="D104" i="19"/>
  <c r="E104" i="19"/>
  <c r="F104" i="19"/>
  <c r="G104" i="19"/>
  <c r="H104" i="19"/>
  <c r="I104" i="19"/>
  <c r="J104" i="19"/>
  <c r="K104" i="19"/>
  <c r="M104" i="19"/>
  <c r="N104" i="19"/>
  <c r="O104" i="19"/>
  <c r="Q104" i="19"/>
  <c r="A105" i="19"/>
  <c r="B105" i="19"/>
  <c r="C105" i="19"/>
  <c r="D105" i="19"/>
  <c r="E105" i="19"/>
  <c r="F105" i="19"/>
  <c r="G105" i="19"/>
  <c r="H105" i="19"/>
  <c r="I105" i="19"/>
  <c r="J105" i="19"/>
  <c r="K105" i="19"/>
  <c r="M105" i="19"/>
  <c r="N105" i="19"/>
  <c r="O105" i="19"/>
  <c r="Q105" i="19"/>
  <c r="A106" i="19"/>
  <c r="B106" i="19"/>
  <c r="C106" i="19"/>
  <c r="D106" i="19"/>
  <c r="E106" i="19"/>
  <c r="F106" i="19"/>
  <c r="G106" i="19"/>
  <c r="H106" i="19"/>
  <c r="I106" i="19"/>
  <c r="J106" i="19"/>
  <c r="K106" i="19"/>
  <c r="M106" i="19"/>
  <c r="N106" i="19"/>
  <c r="O106" i="19"/>
  <c r="Q106" i="19"/>
  <c r="A107" i="19"/>
  <c r="B107" i="19"/>
  <c r="C107" i="19"/>
  <c r="D107" i="19"/>
  <c r="E107" i="19"/>
  <c r="F107" i="19"/>
  <c r="G107" i="19"/>
  <c r="H107" i="19"/>
  <c r="I107" i="19"/>
  <c r="J107" i="19"/>
  <c r="K107" i="19"/>
  <c r="M107" i="19"/>
  <c r="N107" i="19"/>
  <c r="O107" i="19"/>
  <c r="Q107" i="19"/>
  <c r="A108" i="19"/>
  <c r="B108" i="19"/>
  <c r="C108" i="19"/>
  <c r="D108" i="19"/>
  <c r="E108" i="19"/>
  <c r="F108" i="19"/>
  <c r="G108" i="19"/>
  <c r="H108" i="19"/>
  <c r="I108" i="19"/>
  <c r="J108" i="19"/>
  <c r="K108" i="19"/>
  <c r="M108" i="19"/>
  <c r="N108" i="19"/>
  <c r="O108" i="19"/>
  <c r="Q108" i="19"/>
  <c r="A109" i="19"/>
  <c r="B109" i="19"/>
  <c r="C109" i="19"/>
  <c r="D109" i="19"/>
  <c r="E109" i="19"/>
  <c r="F109" i="19"/>
  <c r="G109" i="19"/>
  <c r="H109" i="19"/>
  <c r="I109" i="19"/>
  <c r="J109" i="19"/>
  <c r="K109" i="19"/>
  <c r="M109" i="19"/>
  <c r="N109" i="19"/>
  <c r="O109" i="19"/>
  <c r="Q109" i="19"/>
  <c r="A110" i="19"/>
  <c r="B110" i="19"/>
  <c r="C110" i="19"/>
  <c r="D110" i="19"/>
  <c r="E110" i="19"/>
  <c r="F110" i="19"/>
  <c r="G110" i="19"/>
  <c r="H110" i="19"/>
  <c r="I110" i="19"/>
  <c r="J110" i="19"/>
  <c r="K110" i="19"/>
  <c r="M110" i="19"/>
  <c r="N110" i="19"/>
  <c r="O110" i="19"/>
  <c r="Q110" i="19"/>
  <c r="A111" i="19"/>
  <c r="B111" i="19"/>
  <c r="C111" i="19"/>
  <c r="D111" i="19"/>
  <c r="E111" i="19"/>
  <c r="F111" i="19"/>
  <c r="G111" i="19"/>
  <c r="H111" i="19"/>
  <c r="I111" i="19"/>
  <c r="J111" i="19"/>
  <c r="K111" i="19"/>
  <c r="M111" i="19"/>
  <c r="N111" i="19"/>
  <c r="O111" i="19"/>
  <c r="Q111" i="19"/>
  <c r="A112" i="19"/>
  <c r="B112" i="19"/>
  <c r="C112" i="19"/>
  <c r="D112" i="19"/>
  <c r="E112" i="19"/>
  <c r="F112" i="19"/>
  <c r="G112" i="19"/>
  <c r="H112" i="19"/>
  <c r="I112" i="19"/>
  <c r="J112" i="19"/>
  <c r="K112" i="19"/>
  <c r="M112" i="19"/>
  <c r="N112" i="19"/>
  <c r="O112" i="19"/>
  <c r="Q112" i="19"/>
  <c r="A113" i="19"/>
  <c r="B113" i="19"/>
  <c r="D113" i="19"/>
  <c r="E113" i="19"/>
  <c r="F113" i="19"/>
  <c r="G113" i="19"/>
  <c r="H113" i="19"/>
  <c r="I113" i="19"/>
  <c r="J113" i="19"/>
  <c r="K113" i="19"/>
  <c r="M113" i="19"/>
  <c r="N113" i="19"/>
  <c r="O113" i="19"/>
  <c r="Q113" i="19"/>
  <c r="A114" i="19"/>
  <c r="B114" i="19"/>
  <c r="C114" i="19"/>
  <c r="D114" i="19"/>
  <c r="E114" i="19"/>
  <c r="F114" i="19"/>
  <c r="G114" i="19"/>
  <c r="H114" i="19"/>
  <c r="I114" i="19"/>
  <c r="J114" i="19"/>
  <c r="K114" i="19"/>
  <c r="M114" i="19"/>
  <c r="N114" i="19"/>
  <c r="O114" i="19"/>
  <c r="Q114" i="19"/>
  <c r="A115" i="19"/>
  <c r="B115" i="19"/>
  <c r="C115" i="19"/>
  <c r="D115" i="19"/>
  <c r="E115" i="19"/>
  <c r="F115" i="19"/>
  <c r="G115" i="19"/>
  <c r="H115" i="19"/>
  <c r="I115" i="19"/>
  <c r="J115" i="19"/>
  <c r="K115" i="19"/>
  <c r="M115" i="19"/>
  <c r="N115" i="19"/>
  <c r="O115" i="19"/>
  <c r="Q115" i="19"/>
  <c r="A116" i="19"/>
  <c r="B116" i="19"/>
  <c r="C116" i="19"/>
  <c r="D116" i="19"/>
  <c r="E116" i="19"/>
  <c r="F116" i="19"/>
  <c r="G116" i="19"/>
  <c r="H116" i="19"/>
  <c r="I116" i="19"/>
  <c r="J116" i="19"/>
  <c r="K116" i="19"/>
  <c r="M116" i="19"/>
  <c r="N116" i="19"/>
  <c r="O116" i="19"/>
  <c r="Q116" i="19"/>
  <c r="A117" i="19"/>
  <c r="B117" i="19"/>
  <c r="C117" i="19"/>
  <c r="D117" i="19"/>
  <c r="E117" i="19"/>
  <c r="F117" i="19"/>
  <c r="G117" i="19"/>
  <c r="H117" i="19"/>
  <c r="I117" i="19"/>
  <c r="J117" i="19"/>
  <c r="K117" i="19"/>
  <c r="M117" i="19"/>
  <c r="N117" i="19"/>
  <c r="O117" i="19"/>
  <c r="Q117" i="19"/>
  <c r="A118" i="19"/>
  <c r="B118" i="19"/>
  <c r="C118" i="19"/>
  <c r="D118" i="19"/>
  <c r="E118" i="19"/>
  <c r="F118" i="19"/>
  <c r="G118" i="19"/>
  <c r="H118" i="19"/>
  <c r="I118" i="19"/>
  <c r="J118" i="19"/>
  <c r="K118" i="19"/>
  <c r="M118" i="19"/>
  <c r="N118" i="19"/>
  <c r="O118" i="19"/>
  <c r="Q118" i="19"/>
  <c r="A119" i="19"/>
  <c r="B119" i="19"/>
  <c r="C119" i="19"/>
  <c r="D119" i="19"/>
  <c r="E119" i="19"/>
  <c r="F119" i="19"/>
  <c r="G119" i="19"/>
  <c r="H119" i="19"/>
  <c r="I119" i="19"/>
  <c r="J119" i="19"/>
  <c r="K119" i="19"/>
  <c r="M119" i="19"/>
  <c r="N119" i="19"/>
  <c r="O119" i="19"/>
  <c r="Q119" i="19"/>
  <c r="A120" i="19"/>
  <c r="B120" i="19"/>
  <c r="C120" i="19"/>
  <c r="E120" i="19"/>
  <c r="F120" i="19"/>
  <c r="G120" i="19"/>
  <c r="H120" i="19"/>
  <c r="I120" i="19"/>
  <c r="J120" i="19"/>
  <c r="K120" i="19"/>
  <c r="M120" i="19"/>
  <c r="N120" i="19"/>
  <c r="O120" i="19"/>
  <c r="Q120" i="19"/>
  <c r="A121" i="19"/>
  <c r="B121" i="19"/>
  <c r="C121" i="19"/>
  <c r="D121" i="19"/>
  <c r="E121" i="19"/>
  <c r="F121" i="19"/>
  <c r="G121" i="19"/>
  <c r="H121" i="19"/>
  <c r="I121" i="19"/>
  <c r="J121" i="19"/>
  <c r="K121" i="19"/>
  <c r="M121" i="19"/>
  <c r="N121" i="19"/>
  <c r="O121" i="19"/>
  <c r="Q121" i="19"/>
  <c r="A122" i="19"/>
  <c r="B122" i="19"/>
  <c r="C122" i="19"/>
  <c r="D122" i="19"/>
  <c r="E122" i="19"/>
  <c r="F122" i="19"/>
  <c r="G122" i="19"/>
  <c r="H122" i="19"/>
  <c r="I122" i="19"/>
  <c r="J122" i="19"/>
  <c r="K122" i="19"/>
  <c r="M122" i="19"/>
  <c r="N122" i="19"/>
  <c r="O122" i="19"/>
  <c r="Q122" i="19"/>
  <c r="A123" i="19"/>
  <c r="B123" i="19"/>
  <c r="C123" i="19"/>
  <c r="D123" i="19"/>
  <c r="E123" i="19"/>
  <c r="F123" i="19"/>
  <c r="G123" i="19"/>
  <c r="H123" i="19"/>
  <c r="I123" i="19"/>
  <c r="J123" i="19"/>
  <c r="K123" i="19"/>
  <c r="M123" i="19"/>
  <c r="N123" i="19"/>
  <c r="O123" i="19"/>
  <c r="Q123" i="19"/>
  <c r="A124" i="19"/>
  <c r="B124" i="19"/>
  <c r="C124" i="19"/>
  <c r="D124" i="19"/>
  <c r="E124" i="19"/>
  <c r="F124" i="19"/>
  <c r="G124" i="19"/>
  <c r="H124" i="19"/>
  <c r="I124" i="19"/>
  <c r="J124" i="19"/>
  <c r="K124" i="19"/>
  <c r="M124" i="19"/>
  <c r="N124" i="19"/>
  <c r="O124" i="19"/>
  <c r="Q124" i="19"/>
  <c r="A125" i="19"/>
  <c r="B125" i="19"/>
  <c r="C125" i="19"/>
  <c r="D125" i="19"/>
  <c r="E125" i="19"/>
  <c r="F125" i="19"/>
  <c r="G125" i="19"/>
  <c r="H125" i="19"/>
  <c r="I125" i="19"/>
  <c r="J125" i="19"/>
  <c r="K125" i="19"/>
  <c r="M125" i="19"/>
  <c r="N125" i="19"/>
  <c r="O125" i="19"/>
  <c r="Q125" i="19"/>
  <c r="A126" i="19"/>
  <c r="B126" i="19"/>
  <c r="C126" i="19"/>
  <c r="D126" i="19"/>
  <c r="E126" i="19"/>
  <c r="F126" i="19"/>
  <c r="G126" i="19"/>
  <c r="H126" i="19"/>
  <c r="I126" i="19"/>
  <c r="J126" i="19"/>
  <c r="K126" i="19"/>
  <c r="M126" i="19"/>
  <c r="N126" i="19"/>
  <c r="O126" i="19"/>
  <c r="Q126" i="19"/>
  <c r="A127" i="19"/>
  <c r="B127" i="19"/>
  <c r="C127" i="19"/>
  <c r="D127" i="19"/>
  <c r="E127" i="19"/>
  <c r="F127" i="19"/>
  <c r="G127" i="19"/>
  <c r="H127" i="19"/>
  <c r="I127" i="19"/>
  <c r="J127" i="19"/>
  <c r="K127" i="19"/>
  <c r="M127" i="19"/>
  <c r="N127" i="19"/>
  <c r="O127" i="19"/>
  <c r="Q127" i="19"/>
  <c r="A128" i="19"/>
  <c r="B128" i="19"/>
  <c r="C128" i="19"/>
  <c r="D128" i="19"/>
  <c r="E128" i="19"/>
  <c r="F128" i="19"/>
  <c r="G128" i="19"/>
  <c r="H128" i="19"/>
  <c r="I128" i="19"/>
  <c r="J128" i="19"/>
  <c r="K128" i="19"/>
  <c r="M128" i="19"/>
  <c r="N128" i="19"/>
  <c r="O128" i="19"/>
  <c r="Q128" i="19"/>
  <c r="A129" i="19"/>
  <c r="B129" i="19"/>
  <c r="C129" i="19"/>
  <c r="D129" i="19"/>
  <c r="E129" i="19"/>
  <c r="F129" i="19"/>
  <c r="G129" i="19"/>
  <c r="H129" i="19"/>
  <c r="I129" i="19"/>
  <c r="J129" i="19"/>
  <c r="K129" i="19"/>
  <c r="M129" i="19"/>
  <c r="N129" i="19"/>
  <c r="O129" i="19"/>
  <c r="Q129" i="19"/>
  <c r="A130" i="19"/>
  <c r="B130" i="19"/>
  <c r="C130" i="19"/>
  <c r="D130" i="19"/>
  <c r="E130" i="19"/>
  <c r="F130" i="19"/>
  <c r="G130" i="19"/>
  <c r="H130" i="19"/>
  <c r="I130" i="19"/>
  <c r="J130" i="19"/>
  <c r="K130" i="19"/>
  <c r="M130" i="19"/>
  <c r="N130" i="19"/>
  <c r="O130" i="19"/>
  <c r="Q130" i="19"/>
  <c r="A131" i="19"/>
  <c r="B131" i="19"/>
  <c r="C131" i="19"/>
  <c r="D131" i="19"/>
  <c r="E131" i="19"/>
  <c r="F131" i="19"/>
  <c r="G131" i="19"/>
  <c r="H131" i="19"/>
  <c r="I131" i="19"/>
  <c r="J131" i="19"/>
  <c r="K131" i="19"/>
  <c r="M131" i="19"/>
  <c r="N131" i="19"/>
  <c r="O131" i="19"/>
  <c r="Q131" i="19"/>
  <c r="A132" i="19"/>
  <c r="B132" i="19"/>
  <c r="C132" i="19"/>
  <c r="D132" i="19"/>
  <c r="E132" i="19"/>
  <c r="F132" i="19"/>
  <c r="G132" i="19"/>
  <c r="H132" i="19"/>
  <c r="I132" i="19"/>
  <c r="J132" i="19"/>
  <c r="K132" i="19"/>
  <c r="M132" i="19"/>
  <c r="N132" i="19"/>
  <c r="O132" i="19"/>
  <c r="Q132" i="19"/>
  <c r="A133" i="19"/>
  <c r="B133" i="19"/>
  <c r="C133" i="19"/>
  <c r="D133" i="19"/>
  <c r="E133" i="19"/>
  <c r="F133" i="19"/>
  <c r="G133" i="19"/>
  <c r="H133" i="19"/>
  <c r="I133" i="19"/>
  <c r="J133" i="19"/>
  <c r="K133" i="19"/>
  <c r="M133" i="19"/>
  <c r="N133" i="19"/>
  <c r="O133" i="19"/>
  <c r="Q133" i="19"/>
  <c r="A134" i="19"/>
  <c r="B134" i="19"/>
  <c r="C134" i="19"/>
  <c r="D134" i="19"/>
  <c r="E134" i="19"/>
  <c r="F134" i="19"/>
  <c r="G134" i="19"/>
  <c r="H134" i="19"/>
  <c r="I134" i="19"/>
  <c r="J134" i="19"/>
  <c r="K134" i="19"/>
  <c r="M134" i="19"/>
  <c r="N134" i="19"/>
  <c r="O134" i="19"/>
  <c r="Q134" i="19"/>
  <c r="A135" i="19"/>
  <c r="B135" i="19"/>
  <c r="C135" i="19"/>
  <c r="D135" i="19"/>
  <c r="E135" i="19"/>
  <c r="F135" i="19"/>
  <c r="G135" i="19"/>
  <c r="H135" i="19"/>
  <c r="I135" i="19"/>
  <c r="J135" i="19"/>
  <c r="K135" i="19"/>
  <c r="M135" i="19"/>
  <c r="N135" i="19"/>
  <c r="O135" i="19"/>
  <c r="Q135" i="19"/>
  <c r="A136" i="19"/>
  <c r="B136" i="19"/>
  <c r="C136" i="19"/>
  <c r="D136" i="19"/>
  <c r="E136" i="19"/>
  <c r="F136" i="19"/>
  <c r="G136" i="19"/>
  <c r="H136" i="19"/>
  <c r="I136" i="19"/>
  <c r="J136" i="19"/>
  <c r="K136" i="19"/>
  <c r="M136" i="19"/>
  <c r="N136" i="19"/>
  <c r="O136" i="19"/>
  <c r="Q136" i="19"/>
  <c r="A137" i="19"/>
  <c r="B137" i="19"/>
  <c r="C137" i="19"/>
  <c r="E137" i="19"/>
  <c r="F137" i="19"/>
  <c r="G137" i="19"/>
  <c r="H137" i="19"/>
  <c r="I137" i="19"/>
  <c r="J137" i="19"/>
  <c r="K137" i="19"/>
  <c r="M137" i="19"/>
  <c r="N137" i="19"/>
  <c r="O137" i="19"/>
  <c r="Q137" i="19"/>
  <c r="A138" i="19"/>
  <c r="B138" i="19"/>
  <c r="C138" i="19"/>
  <c r="D138" i="19"/>
  <c r="E138" i="19"/>
  <c r="F138" i="19"/>
  <c r="G138" i="19"/>
  <c r="H138" i="19"/>
  <c r="I138" i="19"/>
  <c r="J138" i="19"/>
  <c r="K138" i="19"/>
  <c r="M138" i="19"/>
  <c r="N138" i="19"/>
  <c r="O138" i="19"/>
  <c r="Q138" i="19"/>
  <c r="A139" i="19"/>
  <c r="B139" i="19"/>
  <c r="C139" i="19"/>
  <c r="D139" i="19"/>
  <c r="E139" i="19"/>
  <c r="F139" i="19"/>
  <c r="G139" i="19"/>
  <c r="H139" i="19"/>
  <c r="I139" i="19"/>
  <c r="J139" i="19"/>
  <c r="K139" i="19"/>
  <c r="M139" i="19"/>
  <c r="N139" i="19"/>
  <c r="O139" i="19"/>
  <c r="Q139" i="19"/>
  <c r="A140" i="19"/>
  <c r="B140" i="19"/>
  <c r="C140" i="19"/>
  <c r="D140" i="19"/>
  <c r="E140" i="19"/>
  <c r="F140" i="19"/>
  <c r="G140" i="19"/>
  <c r="H140" i="19"/>
  <c r="I140" i="19"/>
  <c r="J140" i="19"/>
  <c r="K140" i="19"/>
  <c r="M140" i="19"/>
  <c r="N140" i="19"/>
  <c r="O140" i="19"/>
  <c r="Q140" i="19"/>
  <c r="A141" i="19"/>
  <c r="B141" i="19"/>
  <c r="C141" i="19"/>
  <c r="D141" i="19"/>
  <c r="E141" i="19"/>
  <c r="F141" i="19"/>
  <c r="G141" i="19"/>
  <c r="H141" i="19"/>
  <c r="I141" i="19"/>
  <c r="J141" i="19"/>
  <c r="K141" i="19"/>
  <c r="M141" i="19"/>
  <c r="N141" i="19"/>
  <c r="O141" i="19"/>
  <c r="Q141" i="19"/>
  <c r="A142" i="19"/>
  <c r="B142" i="19"/>
  <c r="C142" i="19"/>
  <c r="D142" i="19"/>
  <c r="E142" i="19"/>
  <c r="F142" i="19"/>
  <c r="G142" i="19"/>
  <c r="H142" i="19"/>
  <c r="I142" i="19"/>
  <c r="J142" i="19"/>
  <c r="K142" i="19"/>
  <c r="M142" i="19"/>
  <c r="N142" i="19"/>
  <c r="O142" i="19"/>
  <c r="Q142" i="19"/>
  <c r="A143" i="19"/>
  <c r="B143" i="19"/>
  <c r="C143" i="19"/>
  <c r="E143" i="19"/>
  <c r="F143" i="19"/>
  <c r="G143" i="19"/>
  <c r="H143" i="19"/>
  <c r="I143" i="19"/>
  <c r="J143" i="19"/>
  <c r="K143" i="19"/>
  <c r="M143" i="19"/>
  <c r="N143" i="19"/>
  <c r="O143" i="19"/>
  <c r="Q143" i="19"/>
  <c r="A144" i="19"/>
  <c r="B144" i="19"/>
  <c r="C144" i="19"/>
  <c r="D144" i="19"/>
  <c r="E144" i="19"/>
  <c r="F144" i="19"/>
  <c r="G144" i="19"/>
  <c r="H144" i="19"/>
  <c r="I144" i="19"/>
  <c r="J144" i="19"/>
  <c r="K144" i="19"/>
  <c r="M144" i="19"/>
  <c r="N144" i="19"/>
  <c r="O144" i="19"/>
  <c r="Q144" i="19"/>
  <c r="A145" i="19"/>
  <c r="B145" i="19"/>
  <c r="C145" i="19"/>
  <c r="D145" i="19"/>
  <c r="E145" i="19"/>
  <c r="F145" i="19"/>
  <c r="G145" i="19"/>
  <c r="H145" i="19"/>
  <c r="I145" i="19"/>
  <c r="J145" i="19"/>
  <c r="K145" i="19"/>
  <c r="M145" i="19"/>
  <c r="N145" i="19"/>
  <c r="O145" i="19"/>
  <c r="Q145" i="19"/>
  <c r="A146" i="19"/>
  <c r="B146" i="19"/>
  <c r="C146" i="19"/>
  <c r="D146" i="19"/>
  <c r="E146" i="19"/>
  <c r="F146" i="19"/>
  <c r="G146" i="19"/>
  <c r="H146" i="19"/>
  <c r="I146" i="19"/>
  <c r="J146" i="19"/>
  <c r="K146" i="19"/>
  <c r="M146" i="19"/>
  <c r="N146" i="19"/>
  <c r="O146" i="19"/>
  <c r="Q146" i="19"/>
  <c r="A147" i="19"/>
  <c r="B147" i="19"/>
  <c r="C147" i="19"/>
  <c r="D147" i="19"/>
  <c r="E147" i="19"/>
  <c r="F147" i="19"/>
  <c r="G147" i="19"/>
  <c r="H147" i="19"/>
  <c r="I147" i="19"/>
  <c r="J147" i="19"/>
  <c r="K147" i="19"/>
  <c r="M147" i="19"/>
  <c r="N147" i="19"/>
  <c r="O147" i="19"/>
  <c r="Q147" i="19"/>
  <c r="A148" i="19"/>
  <c r="B148" i="19"/>
  <c r="C148" i="19"/>
  <c r="D148" i="19"/>
  <c r="E148" i="19"/>
  <c r="F148" i="19"/>
  <c r="G148" i="19"/>
  <c r="H148" i="19"/>
  <c r="I148" i="19"/>
  <c r="J148" i="19"/>
  <c r="K148" i="19"/>
  <c r="M148" i="19"/>
  <c r="N148" i="19"/>
  <c r="O148" i="19"/>
  <c r="Q148" i="19"/>
  <c r="A149" i="19"/>
  <c r="B149" i="19"/>
  <c r="C149" i="19"/>
  <c r="D149" i="19"/>
  <c r="E149" i="19"/>
  <c r="F149" i="19"/>
  <c r="G149" i="19"/>
  <c r="H149" i="19"/>
  <c r="I149" i="19"/>
  <c r="J149" i="19"/>
  <c r="K149" i="19"/>
  <c r="M149" i="19"/>
  <c r="N149" i="19"/>
  <c r="O149" i="19"/>
  <c r="Q149" i="19"/>
  <c r="A150" i="19"/>
  <c r="B150" i="19"/>
  <c r="C150" i="19"/>
  <c r="D150" i="19"/>
  <c r="E150" i="19"/>
  <c r="F150" i="19"/>
  <c r="G150" i="19"/>
  <c r="H150" i="19"/>
  <c r="I150" i="19"/>
  <c r="J150" i="19"/>
  <c r="K150" i="19"/>
  <c r="M150" i="19"/>
  <c r="N150" i="19"/>
  <c r="O150" i="19"/>
  <c r="Q150" i="19"/>
  <c r="A151" i="19"/>
  <c r="B151" i="19"/>
  <c r="C151" i="19"/>
  <c r="D151" i="19"/>
  <c r="E151" i="19"/>
  <c r="F151" i="19"/>
  <c r="G151" i="19"/>
  <c r="H151" i="19"/>
  <c r="I151" i="19"/>
  <c r="J151" i="19"/>
  <c r="K151" i="19"/>
  <c r="M151" i="19"/>
  <c r="N151" i="19"/>
  <c r="O151" i="19"/>
  <c r="Q151" i="19"/>
  <c r="A152" i="19"/>
  <c r="B152" i="19"/>
  <c r="C152" i="19"/>
  <c r="D152" i="19"/>
  <c r="E152" i="19"/>
  <c r="F152" i="19"/>
  <c r="G152" i="19"/>
  <c r="H152" i="19"/>
  <c r="I152" i="19"/>
  <c r="J152" i="19"/>
  <c r="K152" i="19"/>
  <c r="M152" i="19"/>
  <c r="N152" i="19"/>
  <c r="O152" i="19"/>
  <c r="Q152" i="19"/>
  <c r="A153" i="19"/>
  <c r="B153" i="19"/>
  <c r="C153" i="19"/>
  <c r="D153" i="19"/>
  <c r="E153" i="19"/>
  <c r="F153" i="19"/>
  <c r="G153" i="19"/>
  <c r="H153" i="19"/>
  <c r="I153" i="19"/>
  <c r="J153" i="19"/>
  <c r="K153" i="19"/>
  <c r="M153" i="19"/>
  <c r="N153" i="19"/>
  <c r="O153" i="19"/>
  <c r="Q153" i="19"/>
  <c r="A154" i="19"/>
  <c r="B154" i="19"/>
  <c r="C154" i="19"/>
  <c r="D154" i="19"/>
  <c r="E154" i="19"/>
  <c r="F154" i="19"/>
  <c r="G154" i="19"/>
  <c r="H154" i="19"/>
  <c r="I154" i="19"/>
  <c r="J154" i="19"/>
  <c r="K154" i="19"/>
  <c r="M154" i="19"/>
  <c r="N154" i="19"/>
  <c r="O154" i="19"/>
  <c r="Q154" i="19"/>
  <c r="A155" i="19"/>
  <c r="B155" i="19"/>
  <c r="C155" i="19"/>
  <c r="D155" i="19"/>
  <c r="E155" i="19"/>
  <c r="F155" i="19"/>
  <c r="G155" i="19"/>
  <c r="H155" i="19"/>
  <c r="I155" i="19"/>
  <c r="J155" i="19"/>
  <c r="K155" i="19"/>
  <c r="M155" i="19"/>
  <c r="N155" i="19"/>
  <c r="O155" i="19"/>
  <c r="Q155" i="19"/>
  <c r="A156" i="19"/>
  <c r="B156" i="19"/>
  <c r="C156" i="19"/>
  <c r="D156" i="19"/>
  <c r="E156" i="19"/>
  <c r="F156" i="19"/>
  <c r="G156" i="19"/>
  <c r="H156" i="19"/>
  <c r="I156" i="19"/>
  <c r="J156" i="19"/>
  <c r="K156" i="19"/>
  <c r="M156" i="19"/>
  <c r="N156" i="19"/>
  <c r="O156" i="19"/>
  <c r="Q156" i="19"/>
  <c r="A157" i="19"/>
  <c r="B157" i="19"/>
  <c r="C157" i="19"/>
  <c r="D157" i="19"/>
  <c r="E157" i="19"/>
  <c r="F157" i="19"/>
  <c r="G157" i="19"/>
  <c r="H157" i="19"/>
  <c r="I157" i="19"/>
  <c r="J157" i="19"/>
  <c r="K157" i="19"/>
  <c r="M157" i="19"/>
  <c r="N157" i="19"/>
  <c r="O157" i="19"/>
  <c r="Q157" i="19"/>
  <c r="A158" i="19"/>
  <c r="B158" i="19"/>
  <c r="C158" i="19"/>
  <c r="D158" i="19"/>
  <c r="E158" i="19"/>
  <c r="F158" i="19"/>
  <c r="G158" i="19"/>
  <c r="H158" i="19"/>
  <c r="I158" i="19"/>
  <c r="J158" i="19"/>
  <c r="K158" i="19"/>
  <c r="M158" i="19"/>
  <c r="N158" i="19"/>
  <c r="O158" i="19"/>
  <c r="Q158" i="19"/>
  <c r="A159" i="19"/>
  <c r="B159" i="19"/>
  <c r="C159" i="19"/>
  <c r="D159" i="19"/>
  <c r="E159" i="19"/>
  <c r="F159" i="19"/>
  <c r="G159" i="19"/>
  <c r="H159" i="19"/>
  <c r="I159" i="19"/>
  <c r="J159" i="19"/>
  <c r="K159" i="19"/>
  <c r="M159" i="19"/>
  <c r="N159" i="19"/>
  <c r="O159" i="19"/>
  <c r="Q159" i="19"/>
  <c r="A160" i="19"/>
  <c r="B160" i="19"/>
  <c r="C160" i="19"/>
  <c r="D160" i="19"/>
  <c r="E160" i="19"/>
  <c r="F160" i="19"/>
  <c r="G160" i="19"/>
  <c r="H160" i="19"/>
  <c r="I160" i="19"/>
  <c r="J160" i="19"/>
  <c r="K160" i="19"/>
  <c r="M160" i="19"/>
  <c r="N160" i="19"/>
  <c r="O160" i="19"/>
  <c r="Q160" i="19"/>
  <c r="A161" i="19"/>
  <c r="B161" i="19"/>
  <c r="C161" i="19"/>
  <c r="D161" i="19"/>
  <c r="E161" i="19"/>
  <c r="F161" i="19"/>
  <c r="G161" i="19"/>
  <c r="H161" i="19"/>
  <c r="I161" i="19"/>
  <c r="J161" i="19"/>
  <c r="K161" i="19"/>
  <c r="M161" i="19"/>
  <c r="N161" i="19"/>
  <c r="O161" i="19"/>
  <c r="Q161" i="19"/>
  <c r="A162" i="19"/>
  <c r="B162" i="19"/>
  <c r="C162" i="19"/>
  <c r="D162" i="19"/>
  <c r="E162" i="19"/>
  <c r="F162" i="19"/>
  <c r="G162" i="19"/>
  <c r="H162" i="19"/>
  <c r="I162" i="19"/>
  <c r="J162" i="19"/>
  <c r="K162" i="19"/>
  <c r="M162" i="19"/>
  <c r="N162" i="19"/>
  <c r="O162" i="19"/>
  <c r="Q162" i="19"/>
  <c r="A163" i="19"/>
  <c r="B163" i="19"/>
  <c r="C163" i="19"/>
  <c r="D163" i="19"/>
  <c r="E163" i="19"/>
  <c r="F163" i="19"/>
  <c r="G163" i="19"/>
  <c r="H163" i="19"/>
  <c r="I163" i="19"/>
  <c r="J163" i="19"/>
  <c r="K163" i="19"/>
  <c r="M163" i="19"/>
  <c r="N163" i="19"/>
  <c r="O163" i="19"/>
  <c r="Q163" i="19"/>
  <c r="A164" i="19"/>
  <c r="B164" i="19"/>
  <c r="C164" i="19"/>
  <c r="D164" i="19"/>
  <c r="E164" i="19"/>
  <c r="F164" i="19"/>
  <c r="G164" i="19"/>
  <c r="H164" i="19"/>
  <c r="I164" i="19"/>
  <c r="J164" i="19"/>
  <c r="K164" i="19"/>
  <c r="M164" i="19"/>
  <c r="N164" i="19"/>
  <c r="O164" i="19"/>
  <c r="Q164" i="19"/>
  <c r="A165" i="19"/>
  <c r="B165" i="19"/>
  <c r="C165" i="19"/>
  <c r="D165" i="19"/>
  <c r="E165" i="19"/>
  <c r="F165" i="19"/>
  <c r="G165" i="19"/>
  <c r="H165" i="19"/>
  <c r="I165" i="19"/>
  <c r="J165" i="19"/>
  <c r="K165" i="19"/>
  <c r="M165" i="19"/>
  <c r="N165" i="19"/>
  <c r="O165" i="19"/>
  <c r="Q165" i="19"/>
  <c r="A166" i="19"/>
  <c r="B166" i="19"/>
  <c r="C166" i="19"/>
  <c r="D166" i="19"/>
  <c r="E166" i="19"/>
  <c r="F166" i="19"/>
  <c r="G166" i="19"/>
  <c r="H166" i="19"/>
  <c r="I166" i="19"/>
  <c r="J166" i="19"/>
  <c r="K166" i="19"/>
  <c r="M166" i="19"/>
  <c r="N166" i="19"/>
  <c r="O166" i="19"/>
  <c r="Q166" i="19"/>
  <c r="A167" i="19"/>
  <c r="B167" i="19"/>
  <c r="C167" i="19"/>
  <c r="D167" i="19"/>
  <c r="E167" i="19"/>
  <c r="F167" i="19"/>
  <c r="G167" i="19"/>
  <c r="H167" i="19"/>
  <c r="I167" i="19"/>
  <c r="J167" i="19"/>
  <c r="K167" i="19"/>
  <c r="M167" i="19"/>
  <c r="N167" i="19"/>
  <c r="O167" i="19"/>
  <c r="Q167" i="19"/>
  <c r="A168" i="19"/>
  <c r="B168" i="19"/>
  <c r="C168" i="19"/>
  <c r="D168" i="19"/>
  <c r="E168" i="19"/>
  <c r="F168" i="19"/>
  <c r="G168" i="19"/>
  <c r="H168" i="19"/>
  <c r="I168" i="19"/>
  <c r="J168" i="19"/>
  <c r="K168" i="19"/>
  <c r="M168" i="19"/>
  <c r="N168" i="19"/>
  <c r="O168" i="19"/>
  <c r="Q168" i="19"/>
  <c r="A169" i="19"/>
  <c r="B169" i="19"/>
  <c r="C169" i="19"/>
  <c r="D169" i="19"/>
  <c r="E169" i="19"/>
  <c r="F169" i="19"/>
  <c r="G169" i="19"/>
  <c r="H169" i="19"/>
  <c r="I169" i="19"/>
  <c r="J169" i="19"/>
  <c r="K169" i="19"/>
  <c r="M169" i="19"/>
  <c r="N169" i="19"/>
  <c r="O169" i="19"/>
  <c r="Q169" i="19"/>
  <c r="A170" i="19"/>
  <c r="B170" i="19"/>
  <c r="C170" i="19"/>
  <c r="D170" i="19"/>
  <c r="E170" i="19"/>
  <c r="F170" i="19"/>
  <c r="G170" i="19"/>
  <c r="H170" i="19"/>
  <c r="I170" i="19"/>
  <c r="J170" i="19"/>
  <c r="K170" i="19"/>
  <c r="M170" i="19"/>
  <c r="N170" i="19"/>
  <c r="O170" i="19"/>
  <c r="Q170" i="19"/>
  <c r="A171" i="19"/>
  <c r="B171" i="19"/>
  <c r="C171" i="19"/>
  <c r="D171" i="19"/>
  <c r="E171" i="19"/>
  <c r="F171" i="19"/>
  <c r="G171" i="19"/>
  <c r="H171" i="19"/>
  <c r="I171" i="19"/>
  <c r="J171" i="19"/>
  <c r="K171" i="19"/>
  <c r="M171" i="19"/>
  <c r="N171" i="19"/>
  <c r="O171" i="19"/>
  <c r="Q171" i="19"/>
  <c r="A172" i="19"/>
  <c r="B172" i="19"/>
  <c r="C172" i="19"/>
  <c r="D172" i="19"/>
  <c r="E172" i="19"/>
  <c r="F172" i="19"/>
  <c r="G172" i="19"/>
  <c r="H172" i="19"/>
  <c r="I172" i="19"/>
  <c r="J172" i="19"/>
  <c r="K172" i="19"/>
  <c r="M172" i="19"/>
  <c r="N172" i="19"/>
  <c r="O172" i="19"/>
  <c r="Q172" i="19"/>
  <c r="A173" i="19"/>
  <c r="B173" i="19"/>
  <c r="C173" i="19"/>
  <c r="D173" i="19"/>
  <c r="E173" i="19"/>
  <c r="F173" i="19"/>
  <c r="G173" i="19"/>
  <c r="H173" i="19"/>
  <c r="I173" i="19"/>
  <c r="J173" i="19"/>
  <c r="K173" i="19"/>
  <c r="M173" i="19"/>
  <c r="N173" i="19"/>
  <c r="O173" i="19"/>
  <c r="Q173" i="19"/>
  <c r="A174" i="19"/>
  <c r="B174" i="19"/>
  <c r="C174" i="19"/>
  <c r="D174" i="19"/>
  <c r="E174" i="19"/>
  <c r="F174" i="19"/>
  <c r="G174" i="19"/>
  <c r="H174" i="19"/>
  <c r="I174" i="19"/>
  <c r="J174" i="19"/>
  <c r="K174" i="19"/>
  <c r="M174" i="19"/>
  <c r="N174" i="19"/>
  <c r="O174" i="19"/>
  <c r="Q174" i="19"/>
  <c r="A175" i="19"/>
  <c r="B175" i="19"/>
  <c r="D175" i="19"/>
  <c r="E175" i="19"/>
  <c r="F175" i="19"/>
  <c r="G175" i="19"/>
  <c r="H175" i="19"/>
  <c r="I175" i="19"/>
  <c r="J175" i="19"/>
  <c r="K175" i="19"/>
  <c r="M175" i="19"/>
  <c r="N175" i="19"/>
  <c r="O175" i="19"/>
  <c r="Q175" i="19"/>
  <c r="A176" i="19"/>
  <c r="B176" i="19"/>
  <c r="C176" i="19"/>
  <c r="D176" i="19"/>
  <c r="E176" i="19"/>
  <c r="F176" i="19"/>
  <c r="G176" i="19"/>
  <c r="H176" i="19"/>
  <c r="I176" i="19"/>
  <c r="J176" i="19"/>
  <c r="K176" i="19"/>
  <c r="M176" i="19"/>
  <c r="N176" i="19"/>
  <c r="O176" i="19"/>
  <c r="Q176" i="19"/>
  <c r="A177" i="19"/>
  <c r="B177" i="19"/>
  <c r="C177" i="19"/>
  <c r="D177" i="19"/>
  <c r="E177" i="19"/>
  <c r="F177" i="19"/>
  <c r="G177" i="19"/>
  <c r="H177" i="19"/>
  <c r="I177" i="19"/>
  <c r="J177" i="19"/>
  <c r="K177" i="19"/>
  <c r="M177" i="19"/>
  <c r="N177" i="19"/>
  <c r="O177" i="19"/>
  <c r="Q177" i="19"/>
  <c r="A178" i="19"/>
  <c r="B178" i="19"/>
  <c r="C178" i="19"/>
  <c r="D178" i="19"/>
  <c r="E178" i="19"/>
  <c r="F178" i="19"/>
  <c r="G178" i="19"/>
  <c r="H178" i="19"/>
  <c r="I178" i="19"/>
  <c r="J178" i="19"/>
  <c r="K178" i="19"/>
  <c r="M178" i="19"/>
  <c r="N178" i="19"/>
  <c r="O178" i="19"/>
  <c r="Q178" i="19"/>
  <c r="A179" i="19"/>
  <c r="B179" i="19"/>
  <c r="C179" i="19"/>
  <c r="D179" i="19"/>
  <c r="E179" i="19"/>
  <c r="F179" i="19"/>
  <c r="G179" i="19"/>
  <c r="H179" i="19"/>
  <c r="I179" i="19"/>
  <c r="J179" i="19"/>
  <c r="K179" i="19"/>
  <c r="M179" i="19"/>
  <c r="N179" i="19"/>
  <c r="O179" i="19"/>
  <c r="Q179" i="19"/>
  <c r="A180" i="19"/>
  <c r="B180" i="19"/>
  <c r="C180" i="19"/>
  <c r="D180" i="19"/>
  <c r="E180" i="19"/>
  <c r="F180" i="19"/>
  <c r="G180" i="19"/>
  <c r="H180" i="19"/>
  <c r="I180" i="19"/>
  <c r="J180" i="19"/>
  <c r="K180" i="19"/>
  <c r="M180" i="19"/>
  <c r="N180" i="19"/>
  <c r="O180" i="19"/>
  <c r="Q180" i="19"/>
  <c r="A181" i="19"/>
  <c r="B181" i="19"/>
  <c r="C181" i="19"/>
  <c r="D181" i="19"/>
  <c r="E181" i="19"/>
  <c r="F181" i="19"/>
  <c r="G181" i="19"/>
  <c r="H181" i="19"/>
  <c r="I181" i="19"/>
  <c r="J181" i="19"/>
  <c r="K181" i="19"/>
  <c r="M181" i="19"/>
  <c r="N181" i="19"/>
  <c r="O181" i="19"/>
  <c r="Q181" i="19"/>
  <c r="A182" i="19"/>
  <c r="B182" i="19"/>
  <c r="C182" i="19"/>
  <c r="D182" i="19"/>
  <c r="E182" i="19"/>
  <c r="F182" i="19"/>
  <c r="G182" i="19"/>
  <c r="H182" i="19"/>
  <c r="I182" i="19"/>
  <c r="J182" i="19"/>
  <c r="K182" i="19"/>
  <c r="M182" i="19"/>
  <c r="N182" i="19"/>
  <c r="O182" i="19"/>
  <c r="Q182" i="19"/>
  <c r="A183" i="19"/>
  <c r="B183" i="19"/>
  <c r="C183" i="19"/>
  <c r="D183" i="19"/>
  <c r="E183" i="19"/>
  <c r="F183" i="19"/>
  <c r="G183" i="19"/>
  <c r="H183" i="19"/>
  <c r="I183" i="19"/>
  <c r="J183" i="19"/>
  <c r="K183" i="19"/>
  <c r="M183" i="19"/>
  <c r="N183" i="19"/>
  <c r="O183" i="19"/>
  <c r="Q183" i="19"/>
  <c r="A184" i="19"/>
  <c r="B184" i="19"/>
  <c r="C184" i="19"/>
  <c r="D184" i="19"/>
  <c r="E184" i="19"/>
  <c r="F184" i="19"/>
  <c r="G184" i="19"/>
  <c r="H184" i="19"/>
  <c r="I184" i="19"/>
  <c r="J184" i="19"/>
  <c r="K184" i="19"/>
  <c r="M184" i="19"/>
  <c r="N184" i="19"/>
  <c r="O184" i="19"/>
  <c r="Q184" i="19"/>
  <c r="A185" i="19"/>
  <c r="B185" i="19"/>
  <c r="C185" i="19"/>
  <c r="D185" i="19"/>
  <c r="E185" i="19"/>
  <c r="F185" i="19"/>
  <c r="G185" i="19"/>
  <c r="H185" i="19"/>
  <c r="I185" i="19"/>
  <c r="J185" i="19"/>
  <c r="K185" i="19"/>
  <c r="M185" i="19"/>
  <c r="N185" i="19"/>
  <c r="O185" i="19"/>
  <c r="Q185" i="19"/>
  <c r="A186" i="19"/>
  <c r="B186" i="19"/>
  <c r="C186" i="19"/>
  <c r="D186" i="19"/>
  <c r="E186" i="19"/>
  <c r="F186" i="19"/>
  <c r="G186" i="19"/>
  <c r="H186" i="19"/>
  <c r="I186" i="19"/>
  <c r="J186" i="19"/>
  <c r="K186" i="19"/>
  <c r="M186" i="19"/>
  <c r="N186" i="19"/>
  <c r="O186" i="19"/>
  <c r="Q186" i="19"/>
  <c r="A187" i="19"/>
  <c r="B187" i="19"/>
  <c r="C187" i="19"/>
  <c r="D187" i="19"/>
  <c r="E187" i="19"/>
  <c r="F187" i="19"/>
  <c r="G187" i="19"/>
  <c r="H187" i="19"/>
  <c r="I187" i="19"/>
  <c r="J187" i="19"/>
  <c r="K187" i="19"/>
  <c r="M187" i="19"/>
  <c r="N187" i="19"/>
  <c r="O187" i="19"/>
  <c r="Q187" i="19"/>
  <c r="A188" i="19"/>
  <c r="B188" i="19"/>
  <c r="C188" i="19"/>
  <c r="D188" i="19"/>
  <c r="E188" i="19"/>
  <c r="F188" i="19"/>
  <c r="G188" i="19"/>
  <c r="H188" i="19"/>
  <c r="I188" i="19"/>
  <c r="J188" i="19"/>
  <c r="K188" i="19"/>
  <c r="M188" i="19"/>
  <c r="N188" i="19"/>
  <c r="O188" i="19"/>
  <c r="Q188" i="19"/>
  <c r="A189" i="19"/>
  <c r="B189" i="19"/>
  <c r="C189" i="19"/>
  <c r="D189" i="19"/>
  <c r="E189" i="19"/>
  <c r="F189" i="19"/>
  <c r="G189" i="19"/>
  <c r="H189" i="19"/>
  <c r="I189" i="19"/>
  <c r="J189" i="19"/>
  <c r="K189" i="19"/>
  <c r="M189" i="19"/>
  <c r="N189" i="19"/>
  <c r="O189" i="19"/>
  <c r="Q189" i="19"/>
  <c r="A190" i="19"/>
  <c r="B190" i="19"/>
  <c r="C190" i="19"/>
  <c r="D190" i="19"/>
  <c r="E190" i="19"/>
  <c r="F190" i="19"/>
  <c r="G190" i="19"/>
  <c r="H190" i="19"/>
  <c r="I190" i="19"/>
  <c r="J190" i="19"/>
  <c r="K190" i="19"/>
  <c r="M190" i="19"/>
  <c r="N190" i="19"/>
  <c r="O190" i="19"/>
  <c r="Q190" i="19"/>
  <c r="A191" i="19"/>
  <c r="B191" i="19"/>
  <c r="C191" i="19"/>
  <c r="D191" i="19"/>
  <c r="E191" i="19"/>
  <c r="F191" i="19"/>
  <c r="G191" i="19"/>
  <c r="H191" i="19"/>
  <c r="I191" i="19"/>
  <c r="J191" i="19"/>
  <c r="K191" i="19"/>
  <c r="M191" i="19"/>
  <c r="N191" i="19"/>
  <c r="O191" i="19"/>
  <c r="Q191" i="19"/>
  <c r="A192" i="19"/>
  <c r="B192" i="19"/>
  <c r="C192" i="19"/>
  <c r="D192" i="19"/>
  <c r="E192" i="19"/>
  <c r="F192" i="19"/>
  <c r="G192" i="19"/>
  <c r="H192" i="19"/>
  <c r="I192" i="19"/>
  <c r="J192" i="19"/>
  <c r="K192" i="19"/>
  <c r="M192" i="19"/>
  <c r="N192" i="19"/>
  <c r="O192" i="19"/>
  <c r="Q192" i="19"/>
  <c r="A193" i="19"/>
  <c r="B193" i="19"/>
  <c r="C193" i="19"/>
  <c r="D193" i="19"/>
  <c r="E193" i="19"/>
  <c r="F193" i="19"/>
  <c r="G193" i="19"/>
  <c r="H193" i="19"/>
  <c r="I193" i="19"/>
  <c r="J193" i="19"/>
  <c r="K193" i="19"/>
  <c r="M193" i="19"/>
  <c r="N193" i="19"/>
  <c r="O193" i="19"/>
  <c r="Q193" i="19"/>
  <c r="A194" i="19"/>
  <c r="B194" i="19"/>
  <c r="C194" i="19"/>
  <c r="D194" i="19"/>
  <c r="E194" i="19"/>
  <c r="F194" i="19"/>
  <c r="G194" i="19"/>
  <c r="H194" i="19"/>
  <c r="I194" i="19"/>
  <c r="J194" i="19"/>
  <c r="K194" i="19"/>
  <c r="M194" i="19"/>
  <c r="N194" i="19"/>
  <c r="O194" i="19"/>
  <c r="Q194" i="19"/>
  <c r="A195" i="19"/>
  <c r="B195" i="19"/>
  <c r="C195" i="19"/>
  <c r="D195" i="19"/>
  <c r="E195" i="19"/>
  <c r="F195" i="19"/>
  <c r="G195" i="19"/>
  <c r="H195" i="19"/>
  <c r="I195" i="19"/>
  <c r="J195" i="19"/>
  <c r="K195" i="19"/>
  <c r="M195" i="19"/>
  <c r="N195" i="19"/>
  <c r="O195" i="19"/>
  <c r="Q195" i="19"/>
  <c r="A196" i="19"/>
  <c r="B196" i="19"/>
  <c r="C196" i="19"/>
  <c r="D196" i="19"/>
  <c r="E196" i="19"/>
  <c r="F196" i="19"/>
  <c r="G196" i="19"/>
  <c r="H196" i="19"/>
  <c r="I196" i="19"/>
  <c r="J196" i="19"/>
  <c r="K196" i="19"/>
  <c r="M196" i="19"/>
  <c r="N196" i="19"/>
  <c r="O196" i="19"/>
  <c r="Q196" i="19"/>
  <c r="A197" i="19"/>
  <c r="B197" i="19"/>
  <c r="C197" i="19"/>
  <c r="D197" i="19"/>
  <c r="E197" i="19"/>
  <c r="F197" i="19"/>
  <c r="G197" i="19"/>
  <c r="H197" i="19"/>
  <c r="I197" i="19"/>
  <c r="J197" i="19"/>
  <c r="K197" i="19"/>
  <c r="M197" i="19"/>
  <c r="N197" i="19"/>
  <c r="O197" i="19"/>
  <c r="Q197" i="19"/>
  <c r="A198" i="19"/>
  <c r="B198" i="19"/>
  <c r="C198" i="19"/>
  <c r="D198" i="19"/>
  <c r="E198" i="19"/>
  <c r="F198" i="19"/>
  <c r="G198" i="19"/>
  <c r="H198" i="19"/>
  <c r="I198" i="19"/>
  <c r="J198" i="19"/>
  <c r="K198" i="19"/>
  <c r="M198" i="19"/>
  <c r="N198" i="19"/>
  <c r="O198" i="19"/>
  <c r="Q198" i="19"/>
  <c r="A199" i="19"/>
  <c r="B199" i="19"/>
  <c r="C199" i="19"/>
  <c r="D199" i="19"/>
  <c r="E199" i="19"/>
  <c r="F199" i="19"/>
  <c r="G199" i="19"/>
  <c r="H199" i="19"/>
  <c r="I199" i="19"/>
  <c r="J199" i="19"/>
  <c r="K199" i="19"/>
  <c r="M199" i="19"/>
  <c r="N199" i="19"/>
  <c r="O199" i="19"/>
  <c r="Q199" i="19"/>
  <c r="A200" i="19"/>
  <c r="B200" i="19"/>
  <c r="C200" i="19"/>
  <c r="D200" i="19"/>
  <c r="E200" i="19"/>
  <c r="F200" i="19"/>
  <c r="G200" i="19"/>
  <c r="H200" i="19"/>
  <c r="I200" i="19"/>
  <c r="J200" i="19"/>
  <c r="K200" i="19"/>
  <c r="M200" i="19"/>
  <c r="N200" i="19"/>
  <c r="O200" i="19"/>
  <c r="Q200" i="19"/>
  <c r="A201" i="19"/>
  <c r="B201" i="19"/>
  <c r="C201" i="19"/>
  <c r="D201" i="19"/>
  <c r="E201" i="19"/>
  <c r="F201" i="19"/>
  <c r="G201" i="19"/>
  <c r="H201" i="19"/>
  <c r="I201" i="19"/>
  <c r="J201" i="19"/>
  <c r="K201" i="19"/>
  <c r="M201" i="19"/>
  <c r="N201" i="19"/>
  <c r="O201" i="19"/>
  <c r="Q201" i="19"/>
  <c r="A202" i="19"/>
  <c r="B202" i="19"/>
  <c r="C202" i="19"/>
  <c r="D202" i="19"/>
  <c r="E202" i="19"/>
  <c r="F202" i="19"/>
  <c r="G202" i="19"/>
  <c r="H202" i="19"/>
  <c r="I202" i="19"/>
  <c r="J202" i="19"/>
  <c r="K202" i="19"/>
  <c r="M202" i="19"/>
  <c r="N202" i="19"/>
  <c r="O202" i="19"/>
  <c r="Q202" i="19"/>
  <c r="A203" i="19"/>
  <c r="B203" i="19"/>
  <c r="C203" i="19"/>
  <c r="D203" i="19"/>
  <c r="E203" i="19"/>
  <c r="F203" i="19"/>
  <c r="G203" i="19"/>
  <c r="H203" i="19"/>
  <c r="I203" i="19"/>
  <c r="J203" i="19"/>
  <c r="K203" i="19"/>
  <c r="M203" i="19"/>
  <c r="N203" i="19"/>
  <c r="O203" i="19"/>
  <c r="Q203" i="19"/>
  <c r="A204" i="19"/>
  <c r="B204" i="19"/>
  <c r="C204" i="19"/>
  <c r="D204" i="19"/>
  <c r="E204" i="19"/>
  <c r="F204" i="19"/>
  <c r="G204" i="19"/>
  <c r="H204" i="19"/>
  <c r="I204" i="19"/>
  <c r="J204" i="19"/>
  <c r="K204" i="19"/>
  <c r="M204" i="19"/>
  <c r="N204" i="19"/>
  <c r="O204" i="19"/>
  <c r="Q204" i="19"/>
  <c r="A205" i="19"/>
  <c r="B205" i="19"/>
  <c r="C205" i="19"/>
  <c r="D205" i="19"/>
  <c r="E205" i="19"/>
  <c r="F205" i="19"/>
  <c r="G205" i="19"/>
  <c r="H205" i="19"/>
  <c r="I205" i="19"/>
  <c r="J205" i="19"/>
  <c r="K205" i="19"/>
  <c r="M205" i="19"/>
  <c r="N205" i="19"/>
  <c r="O205" i="19"/>
  <c r="Q205" i="19"/>
  <c r="A206" i="19"/>
  <c r="B206" i="19"/>
  <c r="C206" i="19"/>
  <c r="D206" i="19"/>
  <c r="E206" i="19"/>
  <c r="F206" i="19"/>
  <c r="G206" i="19"/>
  <c r="H206" i="19"/>
  <c r="I206" i="19"/>
  <c r="J206" i="19"/>
  <c r="K206" i="19"/>
  <c r="M206" i="19"/>
  <c r="N206" i="19"/>
  <c r="O206" i="19"/>
  <c r="Q206" i="19"/>
  <c r="A207" i="19"/>
  <c r="B207" i="19"/>
  <c r="C207" i="19"/>
  <c r="D207" i="19"/>
  <c r="E207" i="19"/>
  <c r="F207" i="19"/>
  <c r="G207" i="19"/>
  <c r="H207" i="19"/>
  <c r="I207" i="19"/>
  <c r="J207" i="19"/>
  <c r="K207" i="19"/>
  <c r="M207" i="19"/>
  <c r="N207" i="19"/>
  <c r="O207" i="19"/>
  <c r="Q207" i="19"/>
  <c r="A208" i="19"/>
  <c r="B208" i="19"/>
  <c r="C208" i="19"/>
  <c r="D208" i="19"/>
  <c r="E208" i="19"/>
  <c r="F208" i="19"/>
  <c r="G208" i="19"/>
  <c r="H208" i="19"/>
  <c r="I208" i="19"/>
  <c r="J208" i="19"/>
  <c r="K208" i="19"/>
  <c r="M208" i="19"/>
  <c r="N208" i="19"/>
  <c r="O208" i="19"/>
  <c r="Q208" i="19"/>
  <c r="A209" i="19"/>
  <c r="B209" i="19"/>
  <c r="C209" i="19"/>
  <c r="D209" i="19"/>
  <c r="E209" i="19"/>
  <c r="F209" i="19"/>
  <c r="G209" i="19"/>
  <c r="H209" i="19"/>
  <c r="I209" i="19"/>
  <c r="J209" i="19"/>
  <c r="K209" i="19"/>
  <c r="M209" i="19"/>
  <c r="N209" i="19"/>
  <c r="O209" i="19"/>
  <c r="Q209" i="19"/>
  <c r="A210" i="19"/>
  <c r="B210" i="19"/>
  <c r="C210" i="19"/>
  <c r="D210" i="19"/>
  <c r="E210" i="19"/>
  <c r="F210" i="19"/>
  <c r="G210" i="19"/>
  <c r="H210" i="19"/>
  <c r="I210" i="19"/>
  <c r="J210" i="19"/>
  <c r="K210" i="19"/>
  <c r="M210" i="19"/>
  <c r="N210" i="19"/>
  <c r="O210" i="19"/>
  <c r="Q210" i="19"/>
  <c r="A211" i="19"/>
  <c r="B211" i="19"/>
  <c r="C211" i="19"/>
  <c r="D211" i="19"/>
  <c r="E211" i="19"/>
  <c r="F211" i="19"/>
  <c r="G211" i="19"/>
  <c r="H211" i="19"/>
  <c r="I211" i="19"/>
  <c r="J211" i="19"/>
  <c r="K211" i="19"/>
  <c r="M211" i="19"/>
  <c r="N211" i="19"/>
  <c r="O211" i="19"/>
  <c r="Q211" i="19"/>
  <c r="A212" i="19"/>
  <c r="B212" i="19"/>
  <c r="C212" i="19"/>
  <c r="D212" i="19"/>
  <c r="E212" i="19"/>
  <c r="F212" i="19"/>
  <c r="G212" i="19"/>
  <c r="H212" i="19"/>
  <c r="I212" i="19"/>
  <c r="J212" i="19"/>
  <c r="K212" i="19"/>
  <c r="M212" i="19"/>
  <c r="N212" i="19"/>
  <c r="O212" i="19"/>
  <c r="Q212" i="19"/>
  <c r="A213" i="19"/>
  <c r="B213" i="19"/>
  <c r="C213" i="19"/>
  <c r="D213" i="19"/>
  <c r="E213" i="19"/>
  <c r="F213" i="19"/>
  <c r="G213" i="19"/>
  <c r="H213" i="19"/>
  <c r="I213" i="19"/>
  <c r="J213" i="19"/>
  <c r="K213" i="19"/>
  <c r="M213" i="19"/>
  <c r="N213" i="19"/>
  <c r="O213" i="19"/>
  <c r="Q213" i="19"/>
  <c r="A214" i="19"/>
  <c r="B214" i="19"/>
  <c r="C214" i="19"/>
  <c r="D214" i="19"/>
  <c r="E214" i="19"/>
  <c r="F214" i="19"/>
  <c r="G214" i="19"/>
  <c r="H214" i="19"/>
  <c r="I214" i="19"/>
  <c r="J214" i="19"/>
  <c r="K214" i="19"/>
  <c r="M214" i="19"/>
  <c r="N214" i="19"/>
  <c r="O214" i="19"/>
  <c r="Q214" i="19"/>
  <c r="A215" i="19"/>
  <c r="B215" i="19"/>
  <c r="C215" i="19"/>
  <c r="D215" i="19"/>
  <c r="E215" i="19"/>
  <c r="F215" i="19"/>
  <c r="G215" i="19"/>
  <c r="H215" i="19"/>
  <c r="I215" i="19"/>
  <c r="J215" i="19"/>
  <c r="K215" i="19"/>
  <c r="M215" i="19"/>
  <c r="N215" i="19"/>
  <c r="O215" i="19"/>
  <c r="Q215" i="19"/>
  <c r="A216" i="19"/>
  <c r="B216" i="19"/>
  <c r="C216" i="19"/>
  <c r="D216" i="19"/>
  <c r="E216" i="19"/>
  <c r="F216" i="19"/>
  <c r="G216" i="19"/>
  <c r="H216" i="19"/>
  <c r="I216" i="19"/>
  <c r="J216" i="19"/>
  <c r="K216" i="19"/>
  <c r="M216" i="19"/>
  <c r="N216" i="19"/>
  <c r="O216" i="19"/>
  <c r="Q216" i="19"/>
  <c r="A217" i="19"/>
  <c r="B217" i="19"/>
  <c r="C217" i="19"/>
  <c r="D217" i="19"/>
  <c r="E217" i="19"/>
  <c r="F217" i="19"/>
  <c r="G217" i="19"/>
  <c r="H217" i="19"/>
  <c r="I217" i="19"/>
  <c r="J217" i="19"/>
  <c r="K217" i="19"/>
  <c r="M217" i="19"/>
  <c r="N217" i="19"/>
  <c r="O217" i="19"/>
  <c r="Q217" i="19"/>
  <c r="A218" i="19"/>
  <c r="B218" i="19"/>
  <c r="C218" i="19"/>
  <c r="D218" i="19"/>
  <c r="E218" i="19"/>
  <c r="F218" i="19"/>
  <c r="G218" i="19"/>
  <c r="H218" i="19"/>
  <c r="I218" i="19"/>
  <c r="J218" i="19"/>
  <c r="K218" i="19"/>
  <c r="M218" i="19"/>
  <c r="N218" i="19"/>
  <c r="O218" i="19"/>
  <c r="Q218" i="19"/>
  <c r="A219" i="19"/>
  <c r="B219" i="19"/>
  <c r="C219" i="19"/>
  <c r="D219" i="19"/>
  <c r="E219" i="19"/>
  <c r="F219" i="19"/>
  <c r="G219" i="19"/>
  <c r="H219" i="19"/>
  <c r="I219" i="19"/>
  <c r="J219" i="19"/>
  <c r="K219" i="19"/>
  <c r="M219" i="19"/>
  <c r="N219" i="19"/>
  <c r="O219" i="19"/>
  <c r="Q219" i="19"/>
  <c r="A220" i="19"/>
  <c r="B220" i="19"/>
  <c r="C220" i="19"/>
  <c r="D220" i="19"/>
  <c r="E220" i="19"/>
  <c r="F220" i="19"/>
  <c r="G220" i="19"/>
  <c r="H220" i="19"/>
  <c r="I220" i="19"/>
  <c r="J220" i="19"/>
  <c r="K220" i="19"/>
  <c r="M220" i="19"/>
  <c r="N220" i="19"/>
  <c r="O220" i="19"/>
  <c r="Q220" i="19"/>
  <c r="A221" i="19"/>
  <c r="B221" i="19"/>
  <c r="C221" i="19"/>
  <c r="D221" i="19"/>
  <c r="E221" i="19"/>
  <c r="F221" i="19"/>
  <c r="G221" i="19"/>
  <c r="H221" i="19"/>
  <c r="I221" i="19"/>
  <c r="J221" i="19"/>
  <c r="K221" i="19"/>
  <c r="M221" i="19"/>
  <c r="N221" i="19"/>
  <c r="O221" i="19"/>
  <c r="Q221" i="19"/>
  <c r="A222" i="19"/>
  <c r="B222" i="19"/>
  <c r="C222" i="19"/>
  <c r="D222" i="19"/>
  <c r="E222" i="19"/>
  <c r="F222" i="19"/>
  <c r="G222" i="19"/>
  <c r="H222" i="19"/>
  <c r="I222" i="19"/>
  <c r="J222" i="19"/>
  <c r="K222" i="19"/>
  <c r="M222" i="19"/>
  <c r="N222" i="19"/>
  <c r="O222" i="19"/>
  <c r="Q222" i="19"/>
  <c r="A223" i="19"/>
  <c r="B223" i="19"/>
  <c r="C223" i="19"/>
  <c r="D223" i="19"/>
  <c r="E223" i="19"/>
  <c r="F223" i="19"/>
  <c r="G223" i="19"/>
  <c r="H223" i="19"/>
  <c r="I223" i="19"/>
  <c r="J223" i="19"/>
  <c r="K223" i="19"/>
  <c r="M223" i="19"/>
  <c r="N223" i="19"/>
  <c r="O223" i="19"/>
  <c r="Q223" i="19"/>
  <c r="A224" i="19"/>
  <c r="B224" i="19"/>
  <c r="C224" i="19"/>
  <c r="D224" i="19"/>
  <c r="E224" i="19"/>
  <c r="F224" i="19"/>
  <c r="G224" i="19"/>
  <c r="H224" i="19"/>
  <c r="I224" i="19"/>
  <c r="J224" i="19"/>
  <c r="K224" i="19"/>
  <c r="M224" i="19"/>
  <c r="N224" i="19"/>
  <c r="O224" i="19"/>
  <c r="Q224" i="19"/>
  <c r="A225" i="19"/>
  <c r="B225" i="19"/>
  <c r="C225" i="19"/>
  <c r="D225" i="19"/>
  <c r="E225" i="19"/>
  <c r="F225" i="19"/>
  <c r="G225" i="19"/>
  <c r="H225" i="19"/>
  <c r="I225" i="19"/>
  <c r="J225" i="19"/>
  <c r="K225" i="19"/>
  <c r="M225" i="19"/>
  <c r="N225" i="19"/>
  <c r="O225" i="19"/>
  <c r="Q225" i="19"/>
  <c r="A226" i="19"/>
  <c r="B226" i="19"/>
  <c r="C226" i="19"/>
  <c r="D226" i="19"/>
  <c r="E226" i="19"/>
  <c r="F226" i="19"/>
  <c r="G226" i="19"/>
  <c r="H226" i="19"/>
  <c r="I226" i="19"/>
  <c r="J226" i="19"/>
  <c r="K226" i="19"/>
  <c r="M226" i="19"/>
  <c r="N226" i="19"/>
  <c r="O226" i="19"/>
  <c r="Q226" i="19"/>
  <c r="A227" i="19"/>
  <c r="B227" i="19"/>
  <c r="C227" i="19"/>
  <c r="D227" i="19"/>
  <c r="E227" i="19"/>
  <c r="F227" i="19"/>
  <c r="G227" i="19"/>
  <c r="H227" i="19"/>
  <c r="I227" i="19"/>
  <c r="J227" i="19"/>
  <c r="K227" i="19"/>
  <c r="M227" i="19"/>
  <c r="N227" i="19"/>
  <c r="O227" i="19"/>
  <c r="Q227" i="19"/>
  <c r="A228" i="19"/>
  <c r="B228" i="19"/>
  <c r="D228" i="19"/>
  <c r="E228" i="19"/>
  <c r="F228" i="19"/>
  <c r="G228" i="19"/>
  <c r="H228" i="19"/>
  <c r="I228" i="19"/>
  <c r="J228" i="19"/>
  <c r="K228" i="19"/>
  <c r="M228" i="19"/>
  <c r="N228" i="19"/>
  <c r="O228" i="19"/>
  <c r="Q228" i="19"/>
  <c r="A229" i="19"/>
  <c r="B229" i="19"/>
  <c r="C229" i="19"/>
  <c r="D229" i="19"/>
  <c r="E229" i="19"/>
  <c r="F229" i="19"/>
  <c r="G229" i="19"/>
  <c r="H229" i="19"/>
  <c r="I229" i="19"/>
  <c r="J229" i="19"/>
  <c r="K229" i="19"/>
  <c r="M229" i="19"/>
  <c r="N229" i="19"/>
  <c r="O229" i="19"/>
  <c r="Q229" i="19"/>
  <c r="A230" i="19"/>
  <c r="B230" i="19"/>
  <c r="C230" i="19"/>
  <c r="D230" i="19"/>
  <c r="E230" i="19"/>
  <c r="F230" i="19"/>
  <c r="G230" i="19"/>
  <c r="H230" i="19"/>
  <c r="I230" i="19"/>
  <c r="J230" i="19"/>
  <c r="K230" i="19"/>
  <c r="M230" i="19"/>
  <c r="N230" i="19"/>
  <c r="O230" i="19"/>
  <c r="Q230" i="19"/>
  <c r="A231" i="19"/>
  <c r="B231" i="19"/>
  <c r="C231" i="19"/>
  <c r="D231" i="19"/>
  <c r="E231" i="19"/>
  <c r="F231" i="19"/>
  <c r="G231" i="19"/>
  <c r="H231" i="19"/>
  <c r="I231" i="19"/>
  <c r="J231" i="19"/>
  <c r="K231" i="19"/>
  <c r="M231" i="19"/>
  <c r="N231" i="19"/>
  <c r="O231" i="19"/>
  <c r="Q231" i="19"/>
  <c r="A232" i="19"/>
  <c r="B232" i="19"/>
  <c r="C232" i="19"/>
  <c r="D232" i="19"/>
  <c r="E232" i="19"/>
  <c r="F232" i="19"/>
  <c r="G232" i="19"/>
  <c r="H232" i="19"/>
  <c r="I232" i="19"/>
  <c r="J232" i="19"/>
  <c r="K232" i="19"/>
  <c r="M232" i="19"/>
  <c r="N232" i="19"/>
  <c r="O232" i="19"/>
  <c r="Q232" i="19"/>
  <c r="A233" i="19"/>
  <c r="B233" i="19"/>
  <c r="C233" i="19"/>
  <c r="D233" i="19"/>
  <c r="E233" i="19"/>
  <c r="F233" i="19"/>
  <c r="G233" i="19"/>
  <c r="H233" i="19"/>
  <c r="I233" i="19"/>
  <c r="J233" i="19"/>
  <c r="K233" i="19"/>
  <c r="M233" i="19"/>
  <c r="N233" i="19"/>
  <c r="O233" i="19"/>
  <c r="Q233" i="19"/>
  <c r="A234" i="19"/>
  <c r="B234" i="19"/>
  <c r="C234" i="19"/>
  <c r="D234" i="19"/>
  <c r="E234" i="19"/>
  <c r="F234" i="19"/>
  <c r="G234" i="19"/>
  <c r="H234" i="19"/>
  <c r="I234" i="19"/>
  <c r="J234" i="19"/>
  <c r="K234" i="19"/>
  <c r="M234" i="19"/>
  <c r="N234" i="19"/>
  <c r="O234" i="19"/>
  <c r="Q234" i="19"/>
  <c r="A235" i="19"/>
  <c r="B235" i="19"/>
  <c r="C235" i="19"/>
  <c r="D235" i="19"/>
  <c r="E235" i="19"/>
  <c r="F235" i="19"/>
  <c r="G235" i="19"/>
  <c r="H235" i="19"/>
  <c r="I235" i="19"/>
  <c r="J235" i="19"/>
  <c r="K235" i="19"/>
  <c r="M235" i="19"/>
  <c r="N235" i="19"/>
  <c r="O235" i="19"/>
  <c r="Q235" i="19"/>
  <c r="A236" i="19"/>
  <c r="B236" i="19"/>
  <c r="C236" i="19"/>
  <c r="D236" i="19"/>
  <c r="E236" i="19"/>
  <c r="F236" i="19"/>
  <c r="G236" i="19"/>
  <c r="H236" i="19"/>
  <c r="I236" i="19"/>
  <c r="J236" i="19"/>
  <c r="K236" i="19"/>
  <c r="M236" i="19"/>
  <c r="N236" i="19"/>
  <c r="O236" i="19"/>
  <c r="Q236" i="19"/>
  <c r="A237" i="19"/>
  <c r="B237" i="19"/>
  <c r="C237" i="19"/>
  <c r="D237" i="19"/>
  <c r="E237" i="19"/>
  <c r="F237" i="19"/>
  <c r="G237" i="19"/>
  <c r="H237" i="19"/>
  <c r="I237" i="19"/>
  <c r="J237" i="19"/>
  <c r="K237" i="19"/>
  <c r="M237" i="19"/>
  <c r="N237" i="19"/>
  <c r="O237" i="19"/>
  <c r="Q237" i="19"/>
  <c r="A238" i="19"/>
  <c r="B238" i="19"/>
  <c r="C238" i="19"/>
  <c r="D238" i="19"/>
  <c r="E238" i="19"/>
  <c r="F238" i="19"/>
  <c r="G238" i="19"/>
  <c r="H238" i="19"/>
  <c r="I238" i="19"/>
  <c r="J238" i="19"/>
  <c r="K238" i="19"/>
  <c r="M238" i="19"/>
  <c r="N238" i="19"/>
  <c r="O238" i="19"/>
  <c r="Q238" i="19"/>
  <c r="A239" i="19"/>
  <c r="B239" i="19"/>
  <c r="C239" i="19"/>
  <c r="D239" i="19"/>
  <c r="E239" i="19"/>
  <c r="F239" i="19"/>
  <c r="G239" i="19"/>
  <c r="H239" i="19"/>
  <c r="I239" i="19"/>
  <c r="J239" i="19"/>
  <c r="K239" i="19"/>
  <c r="M239" i="19"/>
  <c r="N239" i="19"/>
  <c r="O239" i="19"/>
  <c r="Q239" i="19"/>
  <c r="A240" i="19"/>
  <c r="B240" i="19"/>
  <c r="C240" i="19"/>
  <c r="D240" i="19"/>
  <c r="E240" i="19"/>
  <c r="F240" i="19"/>
  <c r="G240" i="19"/>
  <c r="H240" i="19"/>
  <c r="I240" i="19"/>
  <c r="J240" i="19"/>
  <c r="K240" i="19"/>
  <c r="M240" i="19"/>
  <c r="N240" i="19"/>
  <c r="O240" i="19"/>
  <c r="Q240" i="19"/>
  <c r="A241" i="19"/>
  <c r="B241" i="19"/>
  <c r="C241" i="19"/>
  <c r="D241" i="19"/>
  <c r="E241" i="19"/>
  <c r="F241" i="19"/>
  <c r="G241" i="19"/>
  <c r="H241" i="19"/>
  <c r="I241" i="19"/>
  <c r="J241" i="19"/>
  <c r="K241" i="19"/>
  <c r="M241" i="19"/>
  <c r="N241" i="19"/>
  <c r="O241" i="19"/>
  <c r="Q241" i="19"/>
  <c r="A242" i="19"/>
  <c r="B242" i="19"/>
  <c r="C242" i="19"/>
  <c r="D242" i="19"/>
  <c r="E242" i="19"/>
  <c r="F242" i="19"/>
  <c r="G242" i="19"/>
  <c r="H242" i="19"/>
  <c r="I242" i="19"/>
  <c r="J242" i="19"/>
  <c r="K242" i="19"/>
  <c r="M242" i="19"/>
  <c r="N242" i="19"/>
  <c r="O242" i="19"/>
  <c r="Q242" i="19"/>
  <c r="A243" i="19"/>
  <c r="B243" i="19"/>
  <c r="C243" i="19"/>
  <c r="D243" i="19"/>
  <c r="E243" i="19"/>
  <c r="F243" i="19"/>
  <c r="G243" i="19"/>
  <c r="H243" i="19"/>
  <c r="I243" i="19"/>
  <c r="J243" i="19"/>
  <c r="K243" i="19"/>
  <c r="M243" i="19"/>
  <c r="N243" i="19"/>
  <c r="O243" i="19"/>
  <c r="Q243" i="19"/>
  <c r="A244" i="19"/>
  <c r="B244" i="19"/>
  <c r="C244" i="19"/>
  <c r="D244" i="19"/>
  <c r="E244" i="19"/>
  <c r="F244" i="19"/>
  <c r="G244" i="19"/>
  <c r="H244" i="19"/>
  <c r="I244" i="19"/>
  <c r="J244" i="19"/>
  <c r="K244" i="19"/>
  <c r="M244" i="19"/>
  <c r="N244" i="19"/>
  <c r="O244" i="19"/>
  <c r="Q244" i="19"/>
  <c r="A245" i="19"/>
  <c r="B245" i="19"/>
  <c r="C245" i="19"/>
  <c r="D245" i="19"/>
  <c r="E245" i="19"/>
  <c r="F245" i="19"/>
  <c r="G245" i="19"/>
  <c r="H245" i="19"/>
  <c r="I245" i="19"/>
  <c r="J245" i="19"/>
  <c r="K245" i="19"/>
  <c r="M245" i="19"/>
  <c r="N245" i="19"/>
  <c r="O245" i="19"/>
  <c r="Q245" i="19"/>
  <c r="A246" i="19"/>
  <c r="B246" i="19"/>
  <c r="C246" i="19"/>
  <c r="D246" i="19"/>
  <c r="E246" i="19"/>
  <c r="F246" i="19"/>
  <c r="G246" i="19"/>
  <c r="H246" i="19"/>
  <c r="I246" i="19"/>
  <c r="J246" i="19"/>
  <c r="K246" i="19"/>
  <c r="M246" i="19"/>
  <c r="N246" i="19"/>
  <c r="O246" i="19"/>
  <c r="Q246" i="19"/>
  <c r="A247" i="19"/>
  <c r="B247" i="19"/>
  <c r="C247" i="19"/>
  <c r="D247" i="19"/>
  <c r="E247" i="19"/>
  <c r="F247" i="19"/>
  <c r="G247" i="19"/>
  <c r="H247" i="19"/>
  <c r="I247" i="19"/>
  <c r="J247" i="19"/>
  <c r="K247" i="19"/>
  <c r="M247" i="19"/>
  <c r="N247" i="19"/>
  <c r="O247" i="19"/>
  <c r="Q247" i="19"/>
  <c r="A248" i="19"/>
  <c r="B248" i="19"/>
  <c r="C248" i="19"/>
  <c r="D248" i="19"/>
  <c r="E248" i="19"/>
  <c r="F248" i="19"/>
  <c r="G248" i="19"/>
  <c r="H248" i="19"/>
  <c r="I248" i="19"/>
  <c r="J248" i="19"/>
  <c r="K248" i="19"/>
  <c r="M248" i="19"/>
  <c r="N248" i="19"/>
  <c r="O248" i="19"/>
  <c r="Q248" i="19"/>
  <c r="A249" i="19"/>
  <c r="B249" i="19"/>
  <c r="C249" i="19"/>
  <c r="D249" i="19"/>
  <c r="E249" i="19"/>
  <c r="F249" i="19"/>
  <c r="G249" i="19"/>
  <c r="H249" i="19"/>
  <c r="I249" i="19"/>
  <c r="J249" i="19"/>
  <c r="K249" i="19"/>
  <c r="M249" i="19"/>
  <c r="N249" i="19"/>
  <c r="O249" i="19"/>
  <c r="Q249" i="19"/>
  <c r="A250" i="19"/>
  <c r="B250" i="19"/>
  <c r="C250" i="19"/>
  <c r="D250" i="19"/>
  <c r="E250" i="19"/>
  <c r="F250" i="19"/>
  <c r="G250" i="19"/>
  <c r="H250" i="19"/>
  <c r="I250" i="19"/>
  <c r="J250" i="19"/>
  <c r="K250" i="19"/>
  <c r="M250" i="19"/>
  <c r="N250" i="19"/>
  <c r="O250" i="19"/>
  <c r="Q250" i="19"/>
  <c r="A251" i="19"/>
  <c r="B251" i="19"/>
  <c r="C251" i="19"/>
  <c r="D251" i="19"/>
  <c r="E251" i="19"/>
  <c r="F251" i="19"/>
  <c r="G251" i="19"/>
  <c r="H251" i="19"/>
  <c r="I251" i="19"/>
  <c r="J251" i="19"/>
  <c r="K251" i="19"/>
  <c r="M251" i="19"/>
  <c r="N251" i="19"/>
  <c r="O251" i="19"/>
  <c r="Q251" i="19"/>
  <c r="A252" i="19"/>
  <c r="B252" i="19"/>
  <c r="C252" i="19"/>
  <c r="D252" i="19"/>
  <c r="E252" i="19"/>
  <c r="F252" i="19"/>
  <c r="G252" i="19"/>
  <c r="H252" i="19"/>
  <c r="I252" i="19"/>
  <c r="J252" i="19"/>
  <c r="K252" i="19"/>
  <c r="M252" i="19"/>
  <c r="N252" i="19"/>
  <c r="O252" i="19"/>
  <c r="Q252" i="19"/>
  <c r="A253" i="19"/>
  <c r="B253" i="19"/>
  <c r="C253" i="19"/>
  <c r="D253" i="19"/>
  <c r="E253" i="19"/>
  <c r="F253" i="19"/>
  <c r="G253" i="19"/>
  <c r="H253" i="19"/>
  <c r="I253" i="19"/>
  <c r="J253" i="19"/>
  <c r="K253" i="19"/>
  <c r="M253" i="19"/>
  <c r="N253" i="19"/>
  <c r="O253" i="19"/>
  <c r="Q253" i="19"/>
  <c r="A254" i="19"/>
  <c r="B254" i="19"/>
  <c r="C254" i="19"/>
  <c r="D254" i="19"/>
  <c r="E254" i="19"/>
  <c r="F254" i="19"/>
  <c r="G254" i="19"/>
  <c r="H254" i="19"/>
  <c r="I254" i="19"/>
  <c r="J254" i="19"/>
  <c r="K254" i="19"/>
  <c r="M254" i="19"/>
  <c r="N254" i="19"/>
  <c r="O254" i="19"/>
  <c r="Q254" i="19"/>
  <c r="A255" i="19"/>
  <c r="B255" i="19"/>
  <c r="C255" i="19"/>
  <c r="D255" i="19"/>
  <c r="E255" i="19"/>
  <c r="F255" i="19"/>
  <c r="G255" i="19"/>
  <c r="H255" i="19"/>
  <c r="I255" i="19"/>
  <c r="J255" i="19"/>
  <c r="K255" i="19"/>
  <c r="M255" i="19"/>
  <c r="N255" i="19"/>
  <c r="O255" i="19"/>
  <c r="Q255" i="19"/>
  <c r="A256" i="19"/>
  <c r="B256" i="19"/>
  <c r="C256" i="19"/>
  <c r="D256" i="19"/>
  <c r="E256" i="19"/>
  <c r="F256" i="19"/>
  <c r="G256" i="19"/>
  <c r="H256" i="19"/>
  <c r="I256" i="19"/>
  <c r="J256" i="19"/>
  <c r="K256" i="19"/>
  <c r="M256" i="19"/>
  <c r="N256" i="19"/>
  <c r="O256" i="19"/>
  <c r="Q256" i="19"/>
  <c r="A257" i="19"/>
  <c r="B257" i="19"/>
  <c r="C257" i="19"/>
  <c r="D257" i="19"/>
  <c r="E257" i="19"/>
  <c r="F257" i="19"/>
  <c r="G257" i="19"/>
  <c r="H257" i="19"/>
  <c r="I257" i="19"/>
  <c r="J257" i="19"/>
  <c r="K257" i="19"/>
  <c r="M257" i="19"/>
  <c r="N257" i="19"/>
  <c r="O257" i="19"/>
  <c r="Q257" i="19"/>
  <c r="A258" i="19"/>
  <c r="B258" i="19"/>
  <c r="C258" i="19"/>
  <c r="D258" i="19"/>
  <c r="E258" i="19"/>
  <c r="F258" i="19"/>
  <c r="G258" i="19"/>
  <c r="H258" i="19"/>
  <c r="I258" i="19"/>
  <c r="J258" i="19"/>
  <c r="K258" i="19"/>
  <c r="M258" i="19"/>
  <c r="N258" i="19"/>
  <c r="O258" i="19"/>
  <c r="Q258" i="19"/>
  <c r="A259" i="19"/>
  <c r="B259" i="19"/>
  <c r="C259" i="19"/>
  <c r="D259" i="19"/>
  <c r="E259" i="19"/>
  <c r="F259" i="19"/>
  <c r="G259" i="19"/>
  <c r="H259" i="19"/>
  <c r="I259" i="19"/>
  <c r="J259" i="19"/>
  <c r="K259" i="19"/>
  <c r="M259" i="19"/>
  <c r="N259" i="19"/>
  <c r="O259" i="19"/>
  <c r="Q259" i="19"/>
  <c r="A260" i="19"/>
  <c r="B260" i="19"/>
  <c r="C260" i="19"/>
  <c r="D260" i="19"/>
  <c r="E260" i="19"/>
  <c r="F260" i="19"/>
  <c r="G260" i="19"/>
  <c r="H260" i="19"/>
  <c r="I260" i="19"/>
  <c r="J260" i="19"/>
  <c r="K260" i="19"/>
  <c r="M260" i="19"/>
  <c r="N260" i="19"/>
  <c r="O260" i="19"/>
  <c r="Q260" i="19"/>
  <c r="A261" i="19"/>
  <c r="B261" i="19"/>
  <c r="C261" i="19"/>
  <c r="E261" i="19"/>
  <c r="F261" i="19"/>
  <c r="G261" i="19"/>
  <c r="H261" i="19"/>
  <c r="I261" i="19"/>
  <c r="J261" i="19"/>
  <c r="K261" i="19"/>
  <c r="M261" i="19"/>
  <c r="N261" i="19"/>
  <c r="O261" i="19"/>
  <c r="Q261" i="19"/>
  <c r="A262" i="19"/>
  <c r="B262" i="19"/>
  <c r="C262" i="19"/>
  <c r="D262" i="19"/>
  <c r="E262" i="19"/>
  <c r="F262" i="19"/>
  <c r="G262" i="19"/>
  <c r="H262" i="19"/>
  <c r="I262" i="19"/>
  <c r="J262" i="19"/>
  <c r="K262" i="19"/>
  <c r="M262" i="19"/>
  <c r="N262" i="19"/>
  <c r="O262" i="19"/>
  <c r="Q262" i="19"/>
  <c r="A263" i="19"/>
  <c r="B263" i="19"/>
  <c r="C263" i="19"/>
  <c r="D263" i="19"/>
  <c r="E263" i="19"/>
  <c r="F263" i="19"/>
  <c r="G263" i="19"/>
  <c r="H263" i="19"/>
  <c r="I263" i="19"/>
  <c r="J263" i="19"/>
  <c r="K263" i="19"/>
  <c r="M263" i="19"/>
  <c r="N263" i="19"/>
  <c r="O263" i="19"/>
  <c r="Q263" i="19"/>
  <c r="A264" i="19"/>
  <c r="B264" i="19"/>
  <c r="C264" i="19"/>
  <c r="D264" i="19"/>
  <c r="E264" i="19"/>
  <c r="F264" i="19"/>
  <c r="G264" i="19"/>
  <c r="H264" i="19"/>
  <c r="I264" i="19"/>
  <c r="J264" i="19"/>
  <c r="K264" i="19"/>
  <c r="M264" i="19"/>
  <c r="N264" i="19"/>
  <c r="O264" i="19"/>
  <c r="Q264" i="19"/>
  <c r="A265" i="19"/>
  <c r="B265" i="19"/>
  <c r="C265" i="19"/>
  <c r="D265" i="19"/>
  <c r="E265" i="19"/>
  <c r="F265" i="19"/>
  <c r="G265" i="19"/>
  <c r="H265" i="19"/>
  <c r="I265" i="19"/>
  <c r="J265" i="19"/>
  <c r="K265" i="19"/>
  <c r="M265" i="19"/>
  <c r="N265" i="19"/>
  <c r="O265" i="19"/>
  <c r="Q265" i="19"/>
  <c r="A266" i="19"/>
  <c r="B266" i="19"/>
  <c r="C266" i="19"/>
  <c r="D266" i="19"/>
  <c r="E266" i="19"/>
  <c r="F266" i="19"/>
  <c r="G266" i="19"/>
  <c r="H266" i="19"/>
  <c r="I266" i="19"/>
  <c r="J266" i="19"/>
  <c r="K266" i="19"/>
  <c r="M266" i="19"/>
  <c r="N266" i="19"/>
  <c r="O266" i="19"/>
  <c r="Q266" i="19"/>
  <c r="A267" i="19"/>
  <c r="B267" i="19"/>
  <c r="C267" i="19"/>
  <c r="D267" i="19"/>
  <c r="E267" i="19"/>
  <c r="F267" i="19"/>
  <c r="G267" i="19"/>
  <c r="H267" i="19"/>
  <c r="I267" i="19"/>
  <c r="J267" i="19"/>
  <c r="K267" i="19"/>
  <c r="M267" i="19"/>
  <c r="N267" i="19"/>
  <c r="O267" i="19"/>
  <c r="Q267" i="19"/>
  <c r="A268" i="19"/>
  <c r="B268" i="19"/>
  <c r="C268" i="19"/>
  <c r="D268" i="19"/>
  <c r="E268" i="19"/>
  <c r="F268" i="19"/>
  <c r="G268" i="19"/>
  <c r="H268" i="19"/>
  <c r="I268" i="19"/>
  <c r="J268" i="19"/>
  <c r="K268" i="19"/>
  <c r="M268" i="19"/>
  <c r="N268" i="19"/>
  <c r="O268" i="19"/>
  <c r="Q268" i="19"/>
  <c r="A269" i="19"/>
  <c r="B269" i="19"/>
  <c r="C269" i="19"/>
  <c r="D269" i="19"/>
  <c r="E269" i="19"/>
  <c r="F269" i="19"/>
  <c r="G269" i="19"/>
  <c r="H269" i="19"/>
  <c r="I269" i="19"/>
  <c r="J269" i="19"/>
  <c r="K269" i="19"/>
  <c r="M269" i="19"/>
  <c r="N269" i="19"/>
  <c r="O269" i="19"/>
  <c r="Q269" i="19"/>
  <c r="A270" i="19"/>
  <c r="B270" i="19"/>
  <c r="C270" i="19"/>
  <c r="D270" i="19"/>
  <c r="E270" i="19"/>
  <c r="F270" i="19"/>
  <c r="G270" i="19"/>
  <c r="H270" i="19"/>
  <c r="I270" i="19"/>
  <c r="J270" i="19"/>
  <c r="K270" i="19"/>
  <c r="M270" i="19"/>
  <c r="N270" i="19"/>
  <c r="O270" i="19"/>
  <c r="Q270" i="19"/>
  <c r="A271" i="19"/>
  <c r="B271" i="19"/>
  <c r="D271" i="19"/>
  <c r="E271" i="19"/>
  <c r="F271" i="19"/>
  <c r="G271" i="19"/>
  <c r="H271" i="19"/>
  <c r="I271" i="19"/>
  <c r="J271" i="19"/>
  <c r="K271" i="19"/>
  <c r="M271" i="19"/>
  <c r="N271" i="19"/>
  <c r="O271" i="19"/>
  <c r="Q271" i="19"/>
  <c r="A272" i="19"/>
  <c r="B272" i="19"/>
  <c r="C272" i="19"/>
  <c r="D272" i="19"/>
  <c r="E272" i="19"/>
  <c r="F272" i="19"/>
  <c r="G272" i="19"/>
  <c r="H272" i="19"/>
  <c r="I272" i="19"/>
  <c r="J272" i="19"/>
  <c r="K272" i="19"/>
  <c r="M272" i="19"/>
  <c r="N272" i="19"/>
  <c r="O272" i="19"/>
  <c r="Q272" i="19"/>
  <c r="A273" i="19"/>
  <c r="B273" i="19"/>
  <c r="C273" i="19"/>
  <c r="D273" i="19"/>
  <c r="E273" i="19"/>
  <c r="F273" i="19"/>
  <c r="G273" i="19"/>
  <c r="H273" i="19"/>
  <c r="I273" i="19"/>
  <c r="J273" i="19"/>
  <c r="K273" i="19"/>
  <c r="M273" i="19"/>
  <c r="N273" i="19"/>
  <c r="O273" i="19"/>
  <c r="Q273" i="19"/>
  <c r="A274" i="19"/>
  <c r="B274" i="19"/>
  <c r="C274" i="19"/>
  <c r="D274" i="19"/>
  <c r="E274" i="19"/>
  <c r="F274" i="19"/>
  <c r="G274" i="19"/>
  <c r="H274" i="19"/>
  <c r="I274" i="19"/>
  <c r="J274" i="19"/>
  <c r="K274" i="19"/>
  <c r="M274" i="19"/>
  <c r="N274" i="19"/>
  <c r="O274" i="19"/>
  <c r="Q274" i="19"/>
  <c r="A275" i="19"/>
  <c r="B275" i="19"/>
  <c r="C275" i="19"/>
  <c r="D275" i="19"/>
  <c r="E275" i="19"/>
  <c r="F275" i="19"/>
  <c r="G275" i="19"/>
  <c r="H275" i="19"/>
  <c r="I275" i="19"/>
  <c r="J275" i="19"/>
  <c r="K275" i="19"/>
  <c r="M275" i="19"/>
  <c r="N275" i="19"/>
  <c r="O275" i="19"/>
  <c r="Q275" i="19"/>
  <c r="A276" i="19"/>
  <c r="B276" i="19"/>
  <c r="C276" i="19"/>
  <c r="D276" i="19"/>
  <c r="E276" i="19"/>
  <c r="F276" i="19"/>
  <c r="G276" i="19"/>
  <c r="H276" i="19"/>
  <c r="I276" i="19"/>
  <c r="J276" i="19"/>
  <c r="K276" i="19"/>
  <c r="M276" i="19"/>
  <c r="N276" i="19"/>
  <c r="O276" i="19"/>
  <c r="Q276" i="19"/>
  <c r="A277" i="19"/>
  <c r="B277" i="19"/>
  <c r="C277" i="19"/>
  <c r="D277" i="19"/>
  <c r="E277" i="19"/>
  <c r="F277" i="19"/>
  <c r="G277" i="19"/>
  <c r="H277" i="19"/>
  <c r="I277" i="19"/>
  <c r="J277" i="19"/>
  <c r="K277" i="19"/>
  <c r="M277" i="19"/>
  <c r="N277" i="19"/>
  <c r="O277" i="19"/>
  <c r="Q277" i="19"/>
  <c r="A278" i="19"/>
  <c r="B278" i="19"/>
  <c r="C278" i="19"/>
  <c r="D278" i="19"/>
  <c r="E278" i="19"/>
  <c r="F278" i="19"/>
  <c r="G278" i="19"/>
  <c r="H278" i="19"/>
  <c r="I278" i="19"/>
  <c r="J278" i="19"/>
  <c r="K278" i="19"/>
  <c r="M278" i="19"/>
  <c r="N278" i="19"/>
  <c r="O278" i="19"/>
  <c r="Q278" i="19"/>
  <c r="A279" i="19"/>
  <c r="B279" i="19"/>
  <c r="C279" i="19"/>
  <c r="D279" i="19"/>
  <c r="E279" i="19"/>
  <c r="F279" i="19"/>
  <c r="G279" i="19"/>
  <c r="H279" i="19"/>
  <c r="I279" i="19"/>
  <c r="J279" i="19"/>
  <c r="K279" i="19"/>
  <c r="M279" i="19"/>
  <c r="N279" i="19"/>
  <c r="O279" i="19"/>
  <c r="Q279" i="19"/>
  <c r="A280" i="19"/>
  <c r="B280" i="19"/>
  <c r="C280" i="19"/>
  <c r="D280" i="19"/>
  <c r="E280" i="19"/>
  <c r="F280" i="19"/>
  <c r="G280" i="19"/>
  <c r="H280" i="19"/>
  <c r="I280" i="19"/>
  <c r="J280" i="19"/>
  <c r="K280" i="19"/>
  <c r="M280" i="19"/>
  <c r="N280" i="19"/>
  <c r="O280" i="19"/>
  <c r="Q280" i="19"/>
  <c r="A281" i="19"/>
  <c r="B281" i="19"/>
  <c r="C281" i="19"/>
  <c r="D281" i="19"/>
  <c r="E281" i="19"/>
  <c r="F281" i="19"/>
  <c r="G281" i="19"/>
  <c r="H281" i="19"/>
  <c r="I281" i="19"/>
  <c r="J281" i="19"/>
  <c r="K281" i="19"/>
  <c r="M281" i="19"/>
  <c r="N281" i="19"/>
  <c r="O281" i="19"/>
  <c r="Q281" i="19"/>
  <c r="A282" i="19"/>
  <c r="B282" i="19"/>
  <c r="C282" i="19"/>
  <c r="D282" i="19"/>
  <c r="E282" i="19"/>
  <c r="F282" i="19"/>
  <c r="G282" i="19"/>
  <c r="H282" i="19"/>
  <c r="I282" i="19"/>
  <c r="J282" i="19"/>
  <c r="K282" i="19"/>
  <c r="M282" i="19"/>
  <c r="N282" i="19"/>
  <c r="O282" i="19"/>
  <c r="Q282" i="19"/>
  <c r="A283" i="19"/>
  <c r="B283" i="19"/>
  <c r="C283" i="19"/>
  <c r="D283" i="19"/>
  <c r="E283" i="19"/>
  <c r="F283" i="19"/>
  <c r="G283" i="19"/>
  <c r="H283" i="19"/>
  <c r="I283" i="19"/>
  <c r="J283" i="19"/>
  <c r="K283" i="19"/>
  <c r="M283" i="19"/>
  <c r="N283" i="19"/>
  <c r="O283" i="19"/>
  <c r="Q283" i="19"/>
  <c r="A284" i="19"/>
  <c r="B284" i="19"/>
  <c r="C284" i="19"/>
  <c r="D284" i="19"/>
  <c r="E284" i="19"/>
  <c r="F284" i="19"/>
  <c r="G284" i="19"/>
  <c r="H284" i="19"/>
  <c r="I284" i="19"/>
  <c r="J284" i="19"/>
  <c r="K284" i="19"/>
  <c r="M284" i="19"/>
  <c r="N284" i="19"/>
  <c r="O284" i="19"/>
  <c r="Q284" i="19"/>
  <c r="A285" i="19"/>
  <c r="B285" i="19"/>
  <c r="C285" i="19"/>
  <c r="D285" i="19"/>
  <c r="E285" i="19"/>
  <c r="F285" i="19"/>
  <c r="G285" i="19"/>
  <c r="H285" i="19"/>
  <c r="I285" i="19"/>
  <c r="J285" i="19"/>
  <c r="K285" i="19"/>
  <c r="M285" i="19"/>
  <c r="N285" i="19"/>
  <c r="O285" i="19"/>
  <c r="Q285" i="19"/>
  <c r="A286" i="19"/>
  <c r="B286" i="19"/>
  <c r="C286" i="19"/>
  <c r="D286" i="19"/>
  <c r="E286" i="19"/>
  <c r="F286" i="19"/>
  <c r="G286" i="19"/>
  <c r="H286" i="19"/>
  <c r="I286" i="19"/>
  <c r="J286" i="19"/>
  <c r="K286" i="19"/>
  <c r="M286" i="19"/>
  <c r="N286" i="19"/>
  <c r="O286" i="19"/>
  <c r="Q286" i="19"/>
  <c r="A287" i="19"/>
  <c r="B287" i="19"/>
  <c r="C287" i="19"/>
  <c r="D287" i="19"/>
  <c r="E287" i="19"/>
  <c r="F287" i="19"/>
  <c r="G287" i="19"/>
  <c r="H287" i="19"/>
  <c r="I287" i="19"/>
  <c r="J287" i="19"/>
  <c r="K287" i="19"/>
  <c r="M287" i="19"/>
  <c r="N287" i="19"/>
  <c r="O287" i="19"/>
  <c r="Q287" i="19"/>
  <c r="A288" i="19"/>
  <c r="B288" i="19"/>
  <c r="C288" i="19"/>
  <c r="D288" i="19"/>
  <c r="E288" i="19"/>
  <c r="F288" i="19"/>
  <c r="G288" i="19"/>
  <c r="H288" i="19"/>
  <c r="I288" i="19"/>
  <c r="J288" i="19"/>
  <c r="K288" i="19"/>
  <c r="M288" i="19"/>
  <c r="N288" i="19"/>
  <c r="O288" i="19"/>
  <c r="Q288" i="19"/>
  <c r="A289" i="19"/>
  <c r="B289" i="19"/>
  <c r="C289" i="19"/>
  <c r="D289" i="19"/>
  <c r="E289" i="19"/>
  <c r="F289" i="19"/>
  <c r="G289" i="19"/>
  <c r="H289" i="19"/>
  <c r="I289" i="19"/>
  <c r="J289" i="19"/>
  <c r="K289" i="19"/>
  <c r="M289" i="19"/>
  <c r="N289" i="19"/>
  <c r="O289" i="19"/>
  <c r="Q289" i="19"/>
  <c r="A290" i="19"/>
  <c r="B290" i="19"/>
  <c r="C290" i="19"/>
  <c r="D290" i="19"/>
  <c r="E290" i="19"/>
  <c r="F290" i="19"/>
  <c r="G290" i="19"/>
  <c r="H290" i="19"/>
  <c r="I290" i="19"/>
  <c r="J290" i="19"/>
  <c r="K290" i="19"/>
  <c r="M290" i="19"/>
  <c r="N290" i="19"/>
  <c r="O290" i="19"/>
  <c r="Q290" i="19"/>
  <c r="A291" i="19"/>
  <c r="B291" i="19"/>
  <c r="C291" i="19"/>
  <c r="D291" i="19"/>
  <c r="E291" i="19"/>
  <c r="F291" i="19"/>
  <c r="G291" i="19"/>
  <c r="H291" i="19"/>
  <c r="I291" i="19"/>
  <c r="J291" i="19"/>
  <c r="K291" i="19"/>
  <c r="M291" i="19"/>
  <c r="N291" i="19"/>
  <c r="O291" i="19"/>
  <c r="Q291" i="19"/>
  <c r="A292" i="19"/>
  <c r="B292" i="19"/>
  <c r="C292" i="19"/>
  <c r="D292" i="19"/>
  <c r="E292" i="19"/>
  <c r="F292" i="19"/>
  <c r="G292" i="19"/>
  <c r="H292" i="19"/>
  <c r="I292" i="19"/>
  <c r="J292" i="19"/>
  <c r="K292" i="19"/>
  <c r="M292" i="19"/>
  <c r="N292" i="19"/>
  <c r="O292" i="19"/>
  <c r="Q292" i="19"/>
  <c r="A293" i="19"/>
  <c r="B293" i="19"/>
  <c r="C293" i="19"/>
  <c r="D293" i="19"/>
  <c r="E293" i="19"/>
  <c r="F293" i="19"/>
  <c r="G293" i="19"/>
  <c r="H293" i="19"/>
  <c r="I293" i="19"/>
  <c r="J293" i="19"/>
  <c r="K293" i="19"/>
  <c r="M293" i="19"/>
  <c r="N293" i="19"/>
  <c r="O293" i="19"/>
  <c r="Q293" i="19"/>
  <c r="A294" i="19"/>
  <c r="B294" i="19"/>
  <c r="C294" i="19"/>
  <c r="D294" i="19"/>
  <c r="E294" i="19"/>
  <c r="F294" i="19"/>
  <c r="G294" i="19"/>
  <c r="H294" i="19"/>
  <c r="I294" i="19"/>
  <c r="J294" i="19"/>
  <c r="K294" i="19"/>
  <c r="M294" i="19"/>
  <c r="N294" i="19"/>
  <c r="O294" i="19"/>
  <c r="Q294" i="19"/>
  <c r="A295" i="19"/>
  <c r="B295" i="19"/>
  <c r="C295" i="19"/>
  <c r="D295" i="19"/>
  <c r="E295" i="19"/>
  <c r="F295" i="19"/>
  <c r="G295" i="19"/>
  <c r="H295" i="19"/>
  <c r="I295" i="19"/>
  <c r="J295" i="19"/>
  <c r="K295" i="19"/>
  <c r="M295" i="19"/>
  <c r="N295" i="19"/>
  <c r="O295" i="19"/>
  <c r="Q295" i="19"/>
  <c r="A296" i="19"/>
  <c r="B296" i="19"/>
  <c r="C296" i="19"/>
  <c r="D296" i="19"/>
  <c r="E296" i="19"/>
  <c r="F296" i="19"/>
  <c r="G296" i="19"/>
  <c r="H296" i="19"/>
  <c r="I296" i="19"/>
  <c r="J296" i="19"/>
  <c r="K296" i="19"/>
  <c r="M296" i="19"/>
  <c r="N296" i="19"/>
  <c r="O296" i="19"/>
  <c r="Q296" i="19"/>
  <c r="A297" i="19"/>
  <c r="B297" i="19"/>
  <c r="C297" i="19"/>
  <c r="D297" i="19"/>
  <c r="E297" i="19"/>
  <c r="F297" i="19"/>
  <c r="G297" i="19"/>
  <c r="H297" i="19"/>
  <c r="I297" i="19"/>
  <c r="J297" i="19"/>
  <c r="K297" i="19"/>
  <c r="M297" i="19"/>
  <c r="N297" i="19"/>
  <c r="O297" i="19"/>
  <c r="Q297" i="19"/>
  <c r="A298" i="19"/>
  <c r="B298" i="19"/>
  <c r="C298" i="19"/>
  <c r="D298" i="19"/>
  <c r="E298" i="19"/>
  <c r="F298" i="19"/>
  <c r="G298" i="19"/>
  <c r="H298" i="19"/>
  <c r="I298" i="19"/>
  <c r="J298" i="19"/>
  <c r="K298" i="19"/>
  <c r="M298" i="19"/>
  <c r="N298" i="19"/>
  <c r="O298" i="19"/>
  <c r="Q298" i="19"/>
  <c r="A299" i="19"/>
  <c r="B299" i="19"/>
  <c r="C299" i="19"/>
  <c r="D299" i="19"/>
  <c r="E299" i="19"/>
  <c r="F299" i="19"/>
  <c r="G299" i="19"/>
  <c r="H299" i="19"/>
  <c r="I299" i="19"/>
  <c r="J299" i="19"/>
  <c r="K299" i="19"/>
  <c r="M299" i="19"/>
  <c r="N299" i="19"/>
  <c r="O299" i="19"/>
  <c r="Q299" i="19"/>
  <c r="A300" i="19"/>
  <c r="B300" i="19"/>
  <c r="C300" i="19"/>
  <c r="D300" i="19"/>
  <c r="E300" i="19"/>
  <c r="F300" i="19"/>
  <c r="G300" i="19"/>
  <c r="H300" i="19"/>
  <c r="I300" i="19"/>
  <c r="J300" i="19"/>
  <c r="K300" i="19"/>
  <c r="M300" i="19"/>
  <c r="N300" i="19"/>
  <c r="O300" i="19"/>
  <c r="Q300" i="19"/>
  <c r="A301" i="19"/>
  <c r="B301" i="19"/>
  <c r="C301" i="19"/>
  <c r="D301" i="19"/>
  <c r="E301" i="19"/>
  <c r="F301" i="19"/>
  <c r="G301" i="19"/>
  <c r="H301" i="19"/>
  <c r="I301" i="19"/>
  <c r="J301" i="19"/>
  <c r="K301" i="19"/>
  <c r="M301" i="19"/>
  <c r="N301" i="19"/>
  <c r="O301" i="19"/>
  <c r="Q301" i="19"/>
  <c r="A302" i="19"/>
  <c r="B302" i="19"/>
  <c r="C302" i="19"/>
  <c r="D302" i="19"/>
  <c r="E302" i="19"/>
  <c r="F302" i="19"/>
  <c r="G302" i="19"/>
  <c r="H302" i="19"/>
  <c r="I302" i="19"/>
  <c r="J302" i="19"/>
  <c r="K302" i="19"/>
  <c r="M302" i="19"/>
  <c r="N302" i="19"/>
  <c r="O302" i="19"/>
  <c r="Q302" i="19"/>
  <c r="A303" i="19"/>
  <c r="B303" i="19"/>
  <c r="C303" i="19"/>
  <c r="D303" i="19"/>
  <c r="E303" i="19"/>
  <c r="F303" i="19"/>
  <c r="G303" i="19"/>
  <c r="H303" i="19"/>
  <c r="I303" i="19"/>
  <c r="J303" i="19"/>
  <c r="K303" i="19"/>
  <c r="M303" i="19"/>
  <c r="N303" i="19"/>
  <c r="O303" i="19"/>
  <c r="Q303" i="19"/>
  <c r="A304" i="19"/>
  <c r="B304" i="19"/>
  <c r="C304" i="19"/>
  <c r="D304" i="19"/>
  <c r="E304" i="19"/>
  <c r="F304" i="19"/>
  <c r="G304" i="19"/>
  <c r="H304" i="19"/>
  <c r="I304" i="19"/>
  <c r="J304" i="19"/>
  <c r="K304" i="19"/>
  <c r="M304" i="19"/>
  <c r="N304" i="19"/>
  <c r="O304" i="19"/>
  <c r="Q304" i="19"/>
  <c r="A305" i="19"/>
  <c r="B305" i="19"/>
  <c r="C305" i="19"/>
  <c r="D305" i="19"/>
  <c r="E305" i="19"/>
  <c r="F305" i="19"/>
  <c r="G305" i="19"/>
  <c r="H305" i="19"/>
  <c r="I305" i="19"/>
  <c r="J305" i="19"/>
  <c r="K305" i="19"/>
  <c r="M305" i="19"/>
  <c r="N305" i="19"/>
  <c r="O305" i="19"/>
  <c r="Q305" i="19"/>
  <c r="L161" i="19" l="1"/>
  <c r="L159" i="19"/>
  <c r="F159" i="49" s="1"/>
  <c r="G159" i="49" s="1"/>
  <c r="L31" i="19"/>
  <c r="L171" i="19"/>
  <c r="L165" i="19"/>
  <c r="F165" i="49" s="1"/>
  <c r="G165" i="49" s="1"/>
  <c r="L163" i="19"/>
  <c r="F163" i="49" s="1"/>
  <c r="G163" i="49" s="1"/>
  <c r="L157" i="19"/>
  <c r="F157" i="49" s="1"/>
  <c r="G157" i="49" s="1"/>
  <c r="L57" i="19"/>
  <c r="F57" i="49" s="1"/>
  <c r="G57" i="49" s="1"/>
  <c r="L49" i="19"/>
  <c r="F49" i="49" s="1"/>
  <c r="G49" i="49" s="1"/>
  <c r="L179" i="19"/>
  <c r="L131" i="19"/>
  <c r="L59" i="19"/>
  <c r="L51" i="19"/>
  <c r="L43" i="19"/>
  <c r="F43" i="49" s="1"/>
  <c r="G43" i="49" s="1"/>
  <c r="L203" i="19"/>
  <c r="L195" i="19"/>
  <c r="F195" i="49" s="1"/>
  <c r="G195" i="49" s="1"/>
  <c r="L259" i="19"/>
  <c r="P259" i="19" s="1"/>
  <c r="R259" i="19" s="1"/>
  <c r="L145" i="19"/>
  <c r="L133" i="19"/>
  <c r="L125" i="19"/>
  <c r="L61" i="19"/>
  <c r="L53" i="19"/>
  <c r="F53" i="49" s="1"/>
  <c r="G53" i="49" s="1"/>
  <c r="L45" i="19"/>
  <c r="F45" i="49" s="1"/>
  <c r="G45" i="49" s="1"/>
  <c r="L181" i="19"/>
  <c r="F181" i="49" s="1"/>
  <c r="G181" i="49" s="1"/>
  <c r="L267" i="19"/>
  <c r="P267" i="19" s="1"/>
  <c r="R267" i="19" s="1"/>
  <c r="L167" i="19"/>
  <c r="L139" i="19"/>
  <c r="L102" i="19"/>
  <c r="L33" i="19"/>
  <c r="L15" i="19"/>
  <c r="F15" i="49" s="1"/>
  <c r="G15" i="49" s="1"/>
  <c r="L135" i="19"/>
  <c r="F135" i="49" s="1"/>
  <c r="G135" i="49" s="1"/>
  <c r="L127" i="19"/>
  <c r="F127" i="49" s="1"/>
  <c r="G127" i="49" s="1"/>
  <c r="L63" i="19"/>
  <c r="F63" i="49" s="1"/>
  <c r="G63" i="49" s="1"/>
  <c r="L55" i="19"/>
  <c r="L47" i="19"/>
  <c r="L39" i="19"/>
  <c r="L23" i="19"/>
  <c r="L173" i="19"/>
  <c r="P173" i="19" s="1"/>
  <c r="R173" i="19" s="1"/>
  <c r="C173" i="33" s="1"/>
  <c r="E173" i="33" s="1"/>
  <c r="D173" i="37" s="1"/>
  <c r="L169" i="19"/>
  <c r="F169" i="49" s="1"/>
  <c r="G169" i="49" s="1"/>
  <c r="L141" i="19"/>
  <c r="F141" i="49" s="1"/>
  <c r="G141" i="49" s="1"/>
  <c r="L35" i="19"/>
  <c r="F35" i="49" s="1"/>
  <c r="G35" i="49" s="1"/>
  <c r="L27" i="19"/>
  <c r="L17" i="19"/>
  <c r="L9" i="19"/>
  <c r="L13" i="19"/>
  <c r="L177" i="19"/>
  <c r="L129" i="19"/>
  <c r="F129" i="49" s="1"/>
  <c r="G129" i="49" s="1"/>
  <c r="L41" i="19"/>
  <c r="F41" i="49" s="1"/>
  <c r="G41" i="49" s="1"/>
  <c r="L25" i="19"/>
  <c r="F25" i="49" s="1"/>
  <c r="G25" i="49" s="1"/>
  <c r="F171" i="49"/>
  <c r="G171" i="49" s="1"/>
  <c r="P171" i="19"/>
  <c r="R171" i="19" s="1"/>
  <c r="C171" i="33" s="1"/>
  <c r="F19" i="49"/>
  <c r="G19" i="49" s="1"/>
  <c r="P19" i="19"/>
  <c r="R19" i="19" s="1"/>
  <c r="C25" i="9" s="1"/>
  <c r="F59" i="49"/>
  <c r="G59" i="49" s="1"/>
  <c r="P59" i="19"/>
  <c r="R59" i="19" s="1"/>
  <c r="C65" i="9" s="1"/>
  <c r="F173" i="49"/>
  <c r="G173" i="49" s="1"/>
  <c r="F31" i="49"/>
  <c r="G31" i="49" s="1"/>
  <c r="P31" i="19"/>
  <c r="R31" i="19" s="1"/>
  <c r="C37" i="9" s="1"/>
  <c r="F13" i="49"/>
  <c r="G13" i="49" s="1"/>
  <c r="P13" i="19"/>
  <c r="R13" i="19" s="1"/>
  <c r="C13" i="33" s="1"/>
  <c r="F161" i="49"/>
  <c r="G161" i="49" s="1"/>
  <c r="P161" i="19"/>
  <c r="R161" i="19" s="1"/>
  <c r="C161" i="33" s="1"/>
  <c r="C161" i="11" s="1"/>
  <c r="F37" i="49"/>
  <c r="G37" i="49" s="1"/>
  <c r="P37" i="19"/>
  <c r="R37" i="19" s="1"/>
  <c r="C43" i="9" s="1"/>
  <c r="F29" i="49"/>
  <c r="P29" i="19"/>
  <c r="R29" i="19" s="1"/>
  <c r="C29" i="33" s="1"/>
  <c r="F11" i="49"/>
  <c r="G11" i="49" s="1"/>
  <c r="P11" i="19"/>
  <c r="R11" i="19" s="1"/>
  <c r="C17" i="9" s="1"/>
  <c r="F131" i="49"/>
  <c r="G131" i="49" s="1"/>
  <c r="P131" i="19"/>
  <c r="R131" i="19" s="1"/>
  <c r="C137" i="9" s="1"/>
  <c r="F51" i="49"/>
  <c r="G51" i="49" s="1"/>
  <c r="P51" i="19"/>
  <c r="R51" i="19" s="1"/>
  <c r="C57" i="9" s="1"/>
  <c r="F145" i="49"/>
  <c r="G145" i="49" s="1"/>
  <c r="P145" i="19"/>
  <c r="R145" i="19" s="1"/>
  <c r="C145" i="33" s="1"/>
  <c r="F133" i="49"/>
  <c r="G133" i="49" s="1"/>
  <c r="P133" i="19"/>
  <c r="R133" i="19" s="1"/>
  <c r="C133" i="33" s="1"/>
  <c r="C133" i="11" s="1"/>
  <c r="F125" i="49"/>
  <c r="P125" i="19"/>
  <c r="R125" i="19" s="1"/>
  <c r="C131" i="9" s="1"/>
  <c r="F61" i="49"/>
  <c r="G61" i="49" s="1"/>
  <c r="P61" i="19"/>
  <c r="R61" i="19" s="1"/>
  <c r="C61" i="33" s="1"/>
  <c r="C61" i="11" s="1"/>
  <c r="F167" i="49"/>
  <c r="G167" i="49" s="1"/>
  <c r="P167" i="19"/>
  <c r="R167" i="19" s="1"/>
  <c r="C173" i="9" s="1"/>
  <c r="F139" i="49"/>
  <c r="G139" i="49" s="1"/>
  <c r="P139" i="19"/>
  <c r="R139" i="19" s="1"/>
  <c r="C145" i="9" s="1"/>
  <c r="F33" i="49"/>
  <c r="G33" i="49" s="1"/>
  <c r="P33" i="19"/>
  <c r="R33" i="19" s="1"/>
  <c r="C33" i="33" s="1"/>
  <c r="C39" i="34" s="1"/>
  <c r="F55" i="49"/>
  <c r="G55" i="49" s="1"/>
  <c r="P55" i="19"/>
  <c r="R55" i="19" s="1"/>
  <c r="C55" i="33" s="1"/>
  <c r="C55" i="11" s="1"/>
  <c r="F47" i="49"/>
  <c r="G47" i="49" s="1"/>
  <c r="P47" i="19"/>
  <c r="R47" i="19" s="1"/>
  <c r="C53" i="9" s="1"/>
  <c r="F39" i="49"/>
  <c r="G39" i="49" s="1"/>
  <c r="P39" i="19"/>
  <c r="R39" i="19" s="1"/>
  <c r="C45" i="9" s="1"/>
  <c r="F23" i="49"/>
  <c r="G23" i="49" s="1"/>
  <c r="P23" i="19"/>
  <c r="R23" i="19" s="1"/>
  <c r="C29" i="9" s="1"/>
  <c r="P169" i="19"/>
  <c r="R169" i="19" s="1"/>
  <c r="C169" i="33" s="1"/>
  <c r="E169" i="33" s="1"/>
  <c r="D169" i="37" s="1"/>
  <c r="F27" i="49"/>
  <c r="G27" i="49" s="1"/>
  <c r="P27" i="19"/>
  <c r="R27" i="19" s="1"/>
  <c r="C27" i="33" s="1"/>
  <c r="F17" i="49"/>
  <c r="G17" i="49" s="1"/>
  <c r="P17" i="19"/>
  <c r="R17" i="19" s="1"/>
  <c r="C17" i="33" s="1"/>
  <c r="C17" i="11" s="1"/>
  <c r="F9" i="49"/>
  <c r="G9" i="49" s="1"/>
  <c r="P9" i="19"/>
  <c r="R9" i="19" s="1"/>
  <c r="C15" i="9" s="1"/>
  <c r="F177" i="49"/>
  <c r="G177" i="49" s="1"/>
  <c r="P177" i="19"/>
  <c r="R177" i="19" s="1"/>
  <c r="C183" i="9" s="1"/>
  <c r="L296" i="19"/>
  <c r="F296" i="49" s="1"/>
  <c r="G296" i="49" s="1"/>
  <c r="L117" i="19"/>
  <c r="P117" i="19" s="1"/>
  <c r="R117" i="19" s="1"/>
  <c r="L211" i="19"/>
  <c r="F211" i="49" s="1"/>
  <c r="G211" i="49" s="1"/>
  <c r="L201" i="19"/>
  <c r="F201" i="49" s="1"/>
  <c r="G201" i="49" s="1"/>
  <c r="L193" i="19"/>
  <c r="P193" i="19" s="1"/>
  <c r="R193" i="19" s="1"/>
  <c r="L110" i="19"/>
  <c r="P110" i="19" s="1"/>
  <c r="R110" i="19" s="1"/>
  <c r="L153" i="19"/>
  <c r="F153" i="49" s="1"/>
  <c r="G153" i="49" s="1"/>
  <c r="L298" i="19"/>
  <c r="P298" i="19" s="1"/>
  <c r="R298" i="19" s="1"/>
  <c r="L149" i="19"/>
  <c r="F149" i="49" s="1"/>
  <c r="G149" i="49" s="1"/>
  <c r="L119" i="19"/>
  <c r="P119" i="19" s="1"/>
  <c r="R119" i="19" s="1"/>
  <c r="L300" i="19"/>
  <c r="L294" i="19"/>
  <c r="F294" i="49" s="1"/>
  <c r="G294" i="49" s="1"/>
  <c r="L151" i="19"/>
  <c r="L121" i="19"/>
  <c r="P121" i="19" s="1"/>
  <c r="R121" i="19" s="1"/>
  <c r="L7" i="19"/>
  <c r="P7" i="19" s="1"/>
  <c r="R7" i="19" s="1"/>
  <c r="L205" i="19"/>
  <c r="F205" i="49" s="1"/>
  <c r="G205" i="49" s="1"/>
  <c r="L197" i="19"/>
  <c r="F197" i="49" s="1"/>
  <c r="G197" i="49" s="1"/>
  <c r="L189" i="19"/>
  <c r="F189" i="49" s="1"/>
  <c r="G189" i="49" s="1"/>
  <c r="L183" i="19"/>
  <c r="F183" i="49" s="1"/>
  <c r="G183" i="49" s="1"/>
  <c r="L64" i="19"/>
  <c r="F64" i="49" s="1"/>
  <c r="G64" i="49" s="1"/>
  <c r="L302" i="19"/>
  <c r="L115" i="19"/>
  <c r="P115" i="19" s="1"/>
  <c r="R115" i="19" s="1"/>
  <c r="L304" i="19"/>
  <c r="P304" i="19" s="1"/>
  <c r="R304" i="19" s="1"/>
  <c r="L303" i="19"/>
  <c r="P303" i="19" s="1"/>
  <c r="R303" i="19" s="1"/>
  <c r="L207" i="19"/>
  <c r="F207" i="49" s="1"/>
  <c r="G207" i="49" s="1"/>
  <c r="L199" i="19"/>
  <c r="F199" i="49" s="1"/>
  <c r="G199" i="49" s="1"/>
  <c r="L191" i="19"/>
  <c r="F191" i="49" s="1"/>
  <c r="G191" i="49" s="1"/>
  <c r="L185" i="19"/>
  <c r="P185" i="19" s="1"/>
  <c r="R185" i="19" s="1"/>
  <c r="P165" i="19"/>
  <c r="R165" i="19" s="1"/>
  <c r="C165" i="33" s="1"/>
  <c r="P163" i="19"/>
  <c r="R163" i="19" s="1"/>
  <c r="C169" i="9" s="1"/>
  <c r="P159" i="19"/>
  <c r="R159" i="19" s="1"/>
  <c r="C159" i="33" s="1"/>
  <c r="C159" i="11" s="1"/>
  <c r="P157" i="19"/>
  <c r="R157" i="19" s="1"/>
  <c r="C157" i="33" s="1"/>
  <c r="E157" i="33" s="1"/>
  <c r="D157" i="37" s="1"/>
  <c r="P197" i="19"/>
  <c r="R197" i="19" s="1"/>
  <c r="F193" i="49"/>
  <c r="G193" i="49" s="1"/>
  <c r="C145" i="11"/>
  <c r="C151" i="34"/>
  <c r="E133" i="33"/>
  <c r="D133" i="37" s="1"/>
  <c r="F110" i="49"/>
  <c r="G110" i="49" s="1"/>
  <c r="C29" i="11"/>
  <c r="C35" i="34"/>
  <c r="C27" i="11"/>
  <c r="C33" i="34"/>
  <c r="C13" i="11"/>
  <c r="C19" i="34"/>
  <c r="P302" i="19"/>
  <c r="R302" i="19" s="1"/>
  <c r="F302" i="49"/>
  <c r="G302" i="49" s="1"/>
  <c r="F203" i="49"/>
  <c r="G203" i="49" s="1"/>
  <c r="P203" i="19"/>
  <c r="R203" i="19" s="1"/>
  <c r="P199" i="19"/>
  <c r="R199" i="19" s="1"/>
  <c r="F185" i="49"/>
  <c r="G185" i="49" s="1"/>
  <c r="C171" i="11"/>
  <c r="C177" i="34"/>
  <c r="E171" i="33"/>
  <c r="D171" i="37" s="1"/>
  <c r="C165" i="11"/>
  <c r="C171" i="34"/>
  <c r="E165" i="33"/>
  <c r="D165" i="37" s="1"/>
  <c r="C167" i="34"/>
  <c r="F102" i="49"/>
  <c r="G102" i="49" s="1"/>
  <c r="P102" i="19"/>
  <c r="R102" i="19" s="1"/>
  <c r="F300" i="49"/>
  <c r="G300" i="49" s="1"/>
  <c r="P300" i="19"/>
  <c r="R300" i="19" s="1"/>
  <c r="F151" i="49"/>
  <c r="G151" i="49" s="1"/>
  <c r="P151" i="19"/>
  <c r="R151" i="19" s="1"/>
  <c r="F121" i="49"/>
  <c r="C250" i="25"/>
  <c r="E251" i="13"/>
  <c r="F251" i="13" s="1"/>
  <c r="C292" i="25"/>
  <c r="E293" i="13"/>
  <c r="F293" i="13" s="1"/>
  <c r="C288" i="25"/>
  <c r="E289" i="13"/>
  <c r="C284" i="25"/>
  <c r="E285" i="13"/>
  <c r="F285" i="13" s="1"/>
  <c r="C280" i="25"/>
  <c r="E281" i="13"/>
  <c r="F281" i="13" s="1"/>
  <c r="C276" i="25"/>
  <c r="E277" i="13"/>
  <c r="F277" i="13" s="1"/>
  <c r="C272" i="25"/>
  <c r="E273" i="13"/>
  <c r="C267" i="25"/>
  <c r="E268" i="13"/>
  <c r="F268" i="13" s="1"/>
  <c r="C263" i="25"/>
  <c r="E264" i="13"/>
  <c r="F264" i="13" s="1"/>
  <c r="C259" i="25"/>
  <c r="E260" i="13"/>
  <c r="F260" i="13" s="1"/>
  <c r="C255" i="25"/>
  <c r="E256" i="13"/>
  <c r="F256" i="13" s="1"/>
  <c r="L256" i="19"/>
  <c r="L253" i="19"/>
  <c r="C251" i="25"/>
  <c r="E252" i="13"/>
  <c r="F252" i="13" s="1"/>
  <c r="C247" i="25"/>
  <c r="E248" i="13"/>
  <c r="F248" i="13" s="1"/>
  <c r="C243" i="25"/>
  <c r="E244" i="13"/>
  <c r="F244" i="13" s="1"/>
  <c r="C239" i="25"/>
  <c r="E240" i="13"/>
  <c r="F240" i="13" s="1"/>
  <c r="C235" i="25"/>
  <c r="E236" i="13"/>
  <c r="F236" i="13" s="1"/>
  <c r="C231" i="25"/>
  <c r="E232" i="13"/>
  <c r="F232" i="13" s="1"/>
  <c r="C227" i="25"/>
  <c r="E228" i="13"/>
  <c r="F228" i="13" s="1"/>
  <c r="C223" i="25"/>
  <c r="E224" i="13"/>
  <c r="F224" i="13" s="1"/>
  <c r="C219" i="25"/>
  <c r="E220" i="13"/>
  <c r="F220" i="13" s="1"/>
  <c r="C215" i="25"/>
  <c r="E216" i="13"/>
  <c r="F216" i="13" s="1"/>
  <c r="L216" i="19"/>
  <c r="C211" i="25"/>
  <c r="E212" i="13"/>
  <c r="F212" i="13" s="1"/>
  <c r="C209" i="25"/>
  <c r="E210" i="13"/>
  <c r="F210" i="13" s="1"/>
  <c r="L187" i="19"/>
  <c r="C185" i="25"/>
  <c r="E186" i="13"/>
  <c r="F186" i="13" s="1"/>
  <c r="C183" i="25"/>
  <c r="E184" i="13"/>
  <c r="F184" i="13" s="1"/>
  <c r="L184" i="19"/>
  <c r="F184" i="49" s="1"/>
  <c r="G184" i="49" s="1"/>
  <c r="C181" i="25"/>
  <c r="E182" i="13"/>
  <c r="F182" i="13" s="1"/>
  <c r="C179" i="25"/>
  <c r="E180" i="13"/>
  <c r="F180" i="13" s="1"/>
  <c r="L180" i="19"/>
  <c r="C152" i="25"/>
  <c r="E153" i="13"/>
  <c r="F153" i="13" s="1"/>
  <c r="C150" i="25"/>
  <c r="E151" i="13"/>
  <c r="F151" i="13" s="1"/>
  <c r="C148" i="25"/>
  <c r="E149" i="13"/>
  <c r="F149" i="13" s="1"/>
  <c r="C146" i="25"/>
  <c r="E147" i="13"/>
  <c r="F147" i="13" s="1"/>
  <c r="C120" i="25"/>
  <c r="E121" i="13"/>
  <c r="F121" i="13" s="1"/>
  <c r="C118" i="25"/>
  <c r="E119" i="13"/>
  <c r="F119" i="13" s="1"/>
  <c r="C116" i="25"/>
  <c r="E117" i="13"/>
  <c r="F117" i="13" s="1"/>
  <c r="C114" i="25"/>
  <c r="E115" i="13"/>
  <c r="F115" i="13" s="1"/>
  <c r="C112" i="25"/>
  <c r="E113" i="13"/>
  <c r="F113" i="13" s="1"/>
  <c r="C110" i="25"/>
  <c r="E111" i="13"/>
  <c r="F111" i="13" s="1"/>
  <c r="C108" i="25"/>
  <c r="E109" i="13"/>
  <c r="F109" i="13" s="1"/>
  <c r="C104" i="25"/>
  <c r="E105" i="13"/>
  <c r="F105" i="13" s="1"/>
  <c r="C98" i="25"/>
  <c r="E99" i="13"/>
  <c r="F99" i="13" s="1"/>
  <c r="C94" i="25"/>
  <c r="E95" i="13"/>
  <c r="F95" i="13" s="1"/>
  <c r="C90" i="25"/>
  <c r="E91" i="13"/>
  <c r="F91" i="13" s="1"/>
  <c r="C86" i="25"/>
  <c r="E87" i="13"/>
  <c r="F87" i="13" s="1"/>
  <c r="C82" i="25"/>
  <c r="E83" i="13"/>
  <c r="F83" i="13" s="1"/>
  <c r="C78" i="25"/>
  <c r="E79" i="13"/>
  <c r="F79" i="13" s="1"/>
  <c r="C74" i="25"/>
  <c r="E75" i="13"/>
  <c r="F75" i="13" s="1"/>
  <c r="C70" i="25"/>
  <c r="E71" i="13"/>
  <c r="F71" i="13" s="1"/>
  <c r="C66" i="25"/>
  <c r="E67" i="13"/>
  <c r="F67" i="13" s="1"/>
  <c r="C171" i="9"/>
  <c r="C167" i="9"/>
  <c r="C151" i="9"/>
  <c r="C35" i="9"/>
  <c r="C19" i="9"/>
  <c r="C19" i="33"/>
  <c r="C287" i="25"/>
  <c r="E288" i="13"/>
  <c r="F288" i="13" s="1"/>
  <c r="C279" i="25"/>
  <c r="E280" i="13"/>
  <c r="F280" i="13" s="1"/>
  <c r="C258" i="25"/>
  <c r="E259" i="13"/>
  <c r="C303" i="25"/>
  <c r="E304" i="13"/>
  <c r="F304" i="13" s="1"/>
  <c r="C295" i="25"/>
  <c r="E296" i="13"/>
  <c r="F296" i="13" s="1"/>
  <c r="L289" i="19"/>
  <c r="L282" i="19"/>
  <c r="L281" i="19"/>
  <c r="L269" i="19"/>
  <c r="C304" i="25"/>
  <c r="E305" i="13"/>
  <c r="F305" i="13" s="1"/>
  <c r="L305" i="19"/>
  <c r="C299" i="25"/>
  <c r="E300" i="13"/>
  <c r="F300" i="13" s="1"/>
  <c r="C297" i="25"/>
  <c r="E298" i="13"/>
  <c r="F298" i="13" s="1"/>
  <c r="C296" i="25"/>
  <c r="E297" i="13"/>
  <c r="L297" i="19"/>
  <c r="C294" i="25"/>
  <c r="E295" i="13"/>
  <c r="F295" i="13" s="1"/>
  <c r="L295" i="19"/>
  <c r="C289" i="25"/>
  <c r="E290" i="13"/>
  <c r="F290" i="13" s="1"/>
  <c r="C285" i="25"/>
  <c r="E286" i="13"/>
  <c r="F286" i="13" s="1"/>
  <c r="C281" i="25"/>
  <c r="E282" i="13"/>
  <c r="F282" i="13" s="1"/>
  <c r="C277" i="25"/>
  <c r="E278" i="13"/>
  <c r="F278" i="13" s="1"/>
  <c r="C273" i="25"/>
  <c r="E274" i="13"/>
  <c r="F274" i="13" s="1"/>
  <c r="C268" i="25"/>
  <c r="E269" i="13"/>
  <c r="F269" i="13" s="1"/>
  <c r="C264" i="25"/>
  <c r="E265" i="13"/>
  <c r="F265" i="13" s="1"/>
  <c r="L265" i="19"/>
  <c r="C260" i="25"/>
  <c r="E261" i="13"/>
  <c r="F261" i="13" s="1"/>
  <c r="C256" i="25"/>
  <c r="E257" i="13"/>
  <c r="L257" i="19"/>
  <c r="C252" i="25"/>
  <c r="E253" i="13"/>
  <c r="F253" i="13" s="1"/>
  <c r="C248" i="25"/>
  <c r="E249" i="13"/>
  <c r="F249" i="13" s="1"/>
  <c r="C244" i="25"/>
  <c r="E245" i="13"/>
  <c r="F245" i="13" s="1"/>
  <c r="C240" i="25"/>
  <c r="E241" i="13"/>
  <c r="F241" i="13" s="1"/>
  <c r="C236" i="25"/>
  <c r="E237" i="13"/>
  <c r="F237" i="13" s="1"/>
  <c r="C232" i="25"/>
  <c r="E233" i="13"/>
  <c r="F233" i="13" s="1"/>
  <c r="C228" i="25"/>
  <c r="E229" i="13"/>
  <c r="F229" i="13" s="1"/>
  <c r="L229" i="19"/>
  <c r="C224" i="25"/>
  <c r="E225" i="13"/>
  <c r="F225" i="13" s="1"/>
  <c r="L225" i="19"/>
  <c r="C220" i="25"/>
  <c r="E221" i="13"/>
  <c r="F221" i="13" s="1"/>
  <c r="L221" i="19"/>
  <c r="C216" i="25"/>
  <c r="E217" i="13"/>
  <c r="F217" i="13" s="1"/>
  <c r="L215" i="19"/>
  <c r="C212" i="25"/>
  <c r="E213" i="13"/>
  <c r="F213" i="13" s="1"/>
  <c r="L209" i="19"/>
  <c r="C206" i="25"/>
  <c r="E207" i="13"/>
  <c r="F207" i="13" s="1"/>
  <c r="C204" i="25"/>
  <c r="E205" i="13"/>
  <c r="F205" i="13" s="1"/>
  <c r="C202" i="25"/>
  <c r="E203" i="13"/>
  <c r="F203" i="13" s="1"/>
  <c r="C200" i="25"/>
  <c r="E201" i="13"/>
  <c r="F201" i="13" s="1"/>
  <c r="C198" i="25"/>
  <c r="E199" i="13"/>
  <c r="F199" i="13" s="1"/>
  <c r="C196" i="25"/>
  <c r="E197" i="13"/>
  <c r="F197" i="13" s="1"/>
  <c r="C194" i="25"/>
  <c r="E195" i="13"/>
  <c r="F195" i="13" s="1"/>
  <c r="C192" i="25"/>
  <c r="E193" i="13"/>
  <c r="F193" i="13" s="1"/>
  <c r="C190" i="25"/>
  <c r="E191" i="13"/>
  <c r="F191" i="13" s="1"/>
  <c r="C188" i="25"/>
  <c r="E189" i="13"/>
  <c r="F189" i="13" s="1"/>
  <c r="C186" i="25"/>
  <c r="E187" i="13"/>
  <c r="F187" i="13" s="1"/>
  <c r="L155" i="19"/>
  <c r="C153" i="25"/>
  <c r="E154" i="13"/>
  <c r="F154" i="13" s="1"/>
  <c r="C151" i="25"/>
  <c r="E152" i="13"/>
  <c r="L152" i="19"/>
  <c r="F152" i="49" s="1"/>
  <c r="G152" i="49" s="1"/>
  <c r="C149" i="25"/>
  <c r="E150" i="13"/>
  <c r="F150" i="13" s="1"/>
  <c r="C147" i="25"/>
  <c r="E148" i="13"/>
  <c r="F148" i="13" s="1"/>
  <c r="L148" i="19"/>
  <c r="L123" i="19"/>
  <c r="C121" i="25"/>
  <c r="E122" i="13"/>
  <c r="F122" i="13" s="1"/>
  <c r="C119" i="25"/>
  <c r="E120" i="13"/>
  <c r="F120" i="13" s="1"/>
  <c r="C117" i="25"/>
  <c r="E118" i="13"/>
  <c r="F118" i="13" s="1"/>
  <c r="C115" i="25"/>
  <c r="E116" i="13"/>
  <c r="L116" i="19"/>
  <c r="C113" i="25"/>
  <c r="E114" i="13"/>
  <c r="F114" i="13" s="1"/>
  <c r="C111" i="25"/>
  <c r="E112" i="13"/>
  <c r="F112" i="13" s="1"/>
  <c r="L112" i="19"/>
  <c r="F112" i="49" s="1"/>
  <c r="C105" i="25"/>
  <c r="E106" i="13"/>
  <c r="F106" i="13" s="1"/>
  <c r="L106" i="19"/>
  <c r="C101" i="25"/>
  <c r="E102" i="13"/>
  <c r="F102" i="13" s="1"/>
  <c r="C99" i="25"/>
  <c r="E100" i="13"/>
  <c r="F100" i="13" s="1"/>
  <c r="L100" i="19"/>
  <c r="C95" i="25"/>
  <c r="E96" i="13"/>
  <c r="C91" i="25"/>
  <c r="E92" i="13"/>
  <c r="C87" i="25"/>
  <c r="E88" i="13"/>
  <c r="F88" i="13" s="1"/>
  <c r="C83" i="25"/>
  <c r="E84" i="13"/>
  <c r="F84" i="13" s="1"/>
  <c r="C79" i="25"/>
  <c r="E80" i="13"/>
  <c r="F80" i="13" s="1"/>
  <c r="C75" i="25"/>
  <c r="E76" i="13"/>
  <c r="F76" i="13" s="1"/>
  <c r="C71" i="25"/>
  <c r="E72" i="13"/>
  <c r="F72" i="13" s="1"/>
  <c r="C67" i="25"/>
  <c r="E68" i="13"/>
  <c r="F68" i="13" s="1"/>
  <c r="C63" i="25"/>
  <c r="E64" i="13"/>
  <c r="F64" i="13" s="1"/>
  <c r="C131" i="33"/>
  <c r="C31" i="33"/>
  <c r="E31" i="33" s="1"/>
  <c r="D31" i="37" s="1"/>
  <c r="E27" i="33"/>
  <c r="D27" i="37" s="1"/>
  <c r="C11" i="33"/>
  <c r="E11" i="33" s="1"/>
  <c r="D11" i="37" s="1"/>
  <c r="C302" i="25"/>
  <c r="E303" i="13"/>
  <c r="F303" i="13" s="1"/>
  <c r="C275" i="25"/>
  <c r="E276" i="13"/>
  <c r="F276" i="13" s="1"/>
  <c r="C266" i="25"/>
  <c r="E267" i="13"/>
  <c r="F267" i="13" s="1"/>
  <c r="C262" i="25"/>
  <c r="E263" i="13"/>
  <c r="F263" i="13" s="1"/>
  <c r="C254" i="25"/>
  <c r="E255" i="13"/>
  <c r="F255" i="13" s="1"/>
  <c r="C293" i="25"/>
  <c r="E294" i="13"/>
  <c r="F294" i="13" s="1"/>
  <c r="L293" i="19"/>
  <c r="L290" i="19"/>
  <c r="L286" i="19"/>
  <c r="L285" i="19"/>
  <c r="L278" i="19"/>
  <c r="L277" i="19"/>
  <c r="L273" i="19"/>
  <c r="C301" i="25"/>
  <c r="E302" i="13"/>
  <c r="F302" i="13" s="1"/>
  <c r="C300" i="25"/>
  <c r="E301" i="13"/>
  <c r="F301" i="13" s="1"/>
  <c r="L301" i="19"/>
  <c r="C298" i="25"/>
  <c r="E299" i="13"/>
  <c r="F299" i="13" s="1"/>
  <c r="L299" i="19"/>
  <c r="L292" i="19"/>
  <c r="C290" i="25"/>
  <c r="E291" i="13"/>
  <c r="F291" i="13" s="1"/>
  <c r="L291" i="19"/>
  <c r="L288" i="19"/>
  <c r="C286" i="25"/>
  <c r="E287" i="13"/>
  <c r="F287" i="13" s="1"/>
  <c r="L287" i="19"/>
  <c r="L284" i="19"/>
  <c r="C282" i="25"/>
  <c r="E283" i="13"/>
  <c r="F283" i="13" s="1"/>
  <c r="L283" i="19"/>
  <c r="L280" i="19"/>
  <c r="C278" i="25"/>
  <c r="E279" i="13"/>
  <c r="F279" i="13" s="1"/>
  <c r="L279" i="19"/>
  <c r="L276" i="19"/>
  <c r="C274" i="25"/>
  <c r="E275" i="13"/>
  <c r="F275" i="13" s="1"/>
  <c r="L275" i="19"/>
  <c r="C270" i="25"/>
  <c r="E271" i="13"/>
  <c r="F271" i="13" s="1"/>
  <c r="C269" i="25"/>
  <c r="E270" i="13"/>
  <c r="F270" i="13" s="1"/>
  <c r="C265" i="25"/>
  <c r="E266" i="13"/>
  <c r="F266" i="13" s="1"/>
  <c r="L263" i="19"/>
  <c r="C261" i="25"/>
  <c r="E262" i="13"/>
  <c r="F262" i="13" s="1"/>
  <c r="C257" i="25"/>
  <c r="E258" i="13"/>
  <c r="F258" i="13" s="1"/>
  <c r="L255" i="19"/>
  <c r="C253" i="25"/>
  <c r="E254" i="13"/>
  <c r="F254" i="13" s="1"/>
  <c r="C249" i="25"/>
  <c r="E250" i="13"/>
  <c r="F250" i="13" s="1"/>
  <c r="L250" i="19"/>
  <c r="F250" i="49" s="1"/>
  <c r="G250" i="49" s="1"/>
  <c r="C245" i="25"/>
  <c r="E246" i="13"/>
  <c r="F246" i="13" s="1"/>
  <c r="L246" i="19"/>
  <c r="F246" i="49" s="1"/>
  <c r="G246" i="49" s="1"/>
  <c r="C241" i="25"/>
  <c r="E242" i="13"/>
  <c r="F242" i="13" s="1"/>
  <c r="C237" i="25"/>
  <c r="E238" i="13"/>
  <c r="F238" i="13" s="1"/>
  <c r="L238" i="19"/>
  <c r="F238" i="49" s="1"/>
  <c r="G238" i="49" s="1"/>
  <c r="C233" i="25"/>
  <c r="E234" i="13"/>
  <c r="F234" i="13" s="1"/>
  <c r="L234" i="19"/>
  <c r="F234" i="49" s="1"/>
  <c r="G234" i="49" s="1"/>
  <c r="C229" i="25"/>
  <c r="E230" i="13"/>
  <c r="F230" i="13" s="1"/>
  <c r="L230" i="19"/>
  <c r="F230" i="49" s="1"/>
  <c r="G230" i="49" s="1"/>
  <c r="C225" i="25"/>
  <c r="E226" i="13"/>
  <c r="F226" i="13" s="1"/>
  <c r="L226" i="19"/>
  <c r="F226" i="49" s="1"/>
  <c r="G226" i="49" s="1"/>
  <c r="C221" i="25"/>
  <c r="E222" i="13"/>
  <c r="F222" i="13" s="1"/>
  <c r="C217" i="25"/>
  <c r="E218" i="13"/>
  <c r="F218" i="13" s="1"/>
  <c r="L218" i="19"/>
  <c r="F218" i="49" s="1"/>
  <c r="G218" i="49" s="1"/>
  <c r="C213" i="25"/>
  <c r="E214" i="13"/>
  <c r="F214" i="13" s="1"/>
  <c r="L214" i="19"/>
  <c r="C207" i="25"/>
  <c r="E208" i="13"/>
  <c r="F208" i="13" s="1"/>
  <c r="C205" i="25"/>
  <c r="E206" i="13"/>
  <c r="F206" i="13" s="1"/>
  <c r="C203" i="25"/>
  <c r="E204" i="13"/>
  <c r="F204" i="13" s="1"/>
  <c r="L204" i="19"/>
  <c r="C201" i="25"/>
  <c r="E202" i="13"/>
  <c r="F202" i="13" s="1"/>
  <c r="C199" i="25"/>
  <c r="E200" i="13"/>
  <c r="F200" i="13" s="1"/>
  <c r="L200" i="19"/>
  <c r="F200" i="49" s="1"/>
  <c r="G200" i="49" s="1"/>
  <c r="C197" i="25"/>
  <c r="E198" i="13"/>
  <c r="F198" i="13" s="1"/>
  <c r="C195" i="25"/>
  <c r="E196" i="13"/>
  <c r="F196" i="13" s="1"/>
  <c r="L196" i="19"/>
  <c r="C193" i="25"/>
  <c r="E194" i="13"/>
  <c r="F194" i="13" s="1"/>
  <c r="C191" i="25"/>
  <c r="E192" i="13"/>
  <c r="F192" i="13" s="1"/>
  <c r="L192" i="19"/>
  <c r="F192" i="49" s="1"/>
  <c r="G192" i="49" s="1"/>
  <c r="C189" i="25"/>
  <c r="E190" i="13"/>
  <c r="F190" i="13" s="1"/>
  <c r="C187" i="25"/>
  <c r="E188" i="13"/>
  <c r="F188" i="13" s="1"/>
  <c r="L188" i="19"/>
  <c r="C176" i="25"/>
  <c r="E177" i="13"/>
  <c r="F177" i="13" s="1"/>
  <c r="C174" i="25"/>
  <c r="E175" i="13"/>
  <c r="F175" i="13" s="1"/>
  <c r="C172" i="25"/>
  <c r="E173" i="13"/>
  <c r="F173" i="13" s="1"/>
  <c r="C170" i="25"/>
  <c r="E171" i="13"/>
  <c r="F171" i="13" s="1"/>
  <c r="C168" i="25"/>
  <c r="E169" i="13"/>
  <c r="F169" i="13" s="1"/>
  <c r="C166" i="25"/>
  <c r="E167" i="13"/>
  <c r="F167" i="13" s="1"/>
  <c r="C164" i="25"/>
  <c r="E165" i="13"/>
  <c r="F165" i="13" s="1"/>
  <c r="C162" i="25"/>
  <c r="E163" i="13"/>
  <c r="F163" i="13" s="1"/>
  <c r="C160" i="25"/>
  <c r="E161" i="13"/>
  <c r="F161" i="13" s="1"/>
  <c r="C158" i="25"/>
  <c r="E159" i="13"/>
  <c r="F159" i="13" s="1"/>
  <c r="C156" i="25"/>
  <c r="E157" i="13"/>
  <c r="F157" i="13" s="1"/>
  <c r="C154" i="25"/>
  <c r="E155" i="13"/>
  <c r="F155" i="13" s="1"/>
  <c r="C144" i="25"/>
  <c r="E145" i="13"/>
  <c r="F145" i="13" s="1"/>
  <c r="C142" i="25"/>
  <c r="E143" i="13"/>
  <c r="F143" i="13" s="1"/>
  <c r="C140" i="25"/>
  <c r="E141" i="13"/>
  <c r="F141" i="13" s="1"/>
  <c r="C138" i="25"/>
  <c r="E139" i="13"/>
  <c r="F139" i="13" s="1"/>
  <c r="C136" i="25"/>
  <c r="E137" i="13"/>
  <c r="F137" i="13" s="1"/>
  <c r="C134" i="25"/>
  <c r="E135" i="13"/>
  <c r="F135" i="13" s="1"/>
  <c r="C132" i="25"/>
  <c r="E133" i="13"/>
  <c r="F133" i="13" s="1"/>
  <c r="C130" i="25"/>
  <c r="E131" i="13"/>
  <c r="F131" i="13" s="1"/>
  <c r="C128" i="25"/>
  <c r="E129" i="13"/>
  <c r="F129" i="13" s="1"/>
  <c r="C126" i="25"/>
  <c r="E127" i="13"/>
  <c r="F127" i="13" s="1"/>
  <c r="C124" i="25"/>
  <c r="E125" i="13"/>
  <c r="F125" i="13" s="1"/>
  <c r="C122" i="25"/>
  <c r="E123" i="13"/>
  <c r="F123" i="13" s="1"/>
  <c r="C106" i="25"/>
  <c r="E107" i="13"/>
  <c r="F107" i="13" s="1"/>
  <c r="C102" i="25"/>
  <c r="E103" i="13"/>
  <c r="F103" i="13" s="1"/>
  <c r="C100" i="25"/>
  <c r="E101" i="13"/>
  <c r="F101" i="13" s="1"/>
  <c r="C96" i="25"/>
  <c r="E97" i="13"/>
  <c r="F97" i="13" s="1"/>
  <c r="C92" i="25"/>
  <c r="E93" i="13"/>
  <c r="F93" i="13" s="1"/>
  <c r="C88" i="25"/>
  <c r="E89" i="13"/>
  <c r="F89" i="13" s="1"/>
  <c r="C84" i="25"/>
  <c r="E85" i="13"/>
  <c r="F85" i="13" s="1"/>
  <c r="C80" i="25"/>
  <c r="E81" i="13"/>
  <c r="F81" i="13" s="1"/>
  <c r="C76" i="25"/>
  <c r="E77" i="13"/>
  <c r="F77" i="13" s="1"/>
  <c r="C72" i="25"/>
  <c r="E73" i="13"/>
  <c r="F73" i="13" s="1"/>
  <c r="C68" i="25"/>
  <c r="E69" i="13"/>
  <c r="F69" i="13" s="1"/>
  <c r="C64" i="25"/>
  <c r="E65" i="13"/>
  <c r="F65" i="13" s="1"/>
  <c r="C62" i="25"/>
  <c r="E63" i="13"/>
  <c r="F63" i="13" s="1"/>
  <c r="C60" i="25"/>
  <c r="E61" i="13"/>
  <c r="F61" i="13" s="1"/>
  <c r="C58" i="25"/>
  <c r="E59" i="13"/>
  <c r="C56" i="25"/>
  <c r="E57" i="13"/>
  <c r="C54" i="25"/>
  <c r="E55" i="13"/>
  <c r="F55" i="13" s="1"/>
  <c r="E53" i="13"/>
  <c r="F53" i="13" s="1"/>
  <c r="C52" i="25"/>
  <c r="C50" i="25"/>
  <c r="E51" i="13"/>
  <c r="C48" i="25"/>
  <c r="E49" i="13"/>
  <c r="C46" i="25"/>
  <c r="E47" i="13"/>
  <c r="F47" i="13" s="1"/>
  <c r="C44" i="25"/>
  <c r="E45" i="13"/>
  <c r="F45" i="13" s="1"/>
  <c r="C42" i="25"/>
  <c r="E43" i="13"/>
  <c r="C40" i="25"/>
  <c r="E41" i="13"/>
  <c r="C38" i="25"/>
  <c r="E39" i="13"/>
  <c r="F39" i="13" s="1"/>
  <c r="C36" i="25"/>
  <c r="E37" i="13"/>
  <c r="F37" i="13" s="1"/>
  <c r="C34" i="25"/>
  <c r="E35" i="13"/>
  <c r="F35" i="13" s="1"/>
  <c r="C32" i="25"/>
  <c r="E33" i="13"/>
  <c r="F33" i="13" s="1"/>
  <c r="C30" i="25"/>
  <c r="E31" i="13"/>
  <c r="C28" i="25"/>
  <c r="E29" i="13"/>
  <c r="F29" i="13" s="1"/>
  <c r="C26" i="25"/>
  <c r="E27" i="13"/>
  <c r="F27" i="13" s="1"/>
  <c r="C24" i="25"/>
  <c r="E25" i="13"/>
  <c r="F25" i="13" s="1"/>
  <c r="C22" i="25"/>
  <c r="E23" i="13"/>
  <c r="F23" i="13" s="1"/>
  <c r="C20" i="25"/>
  <c r="E21" i="13"/>
  <c r="F21" i="13" s="1"/>
  <c r="C18" i="25"/>
  <c r="E19" i="13"/>
  <c r="F19" i="13" s="1"/>
  <c r="C16" i="25"/>
  <c r="E17" i="13"/>
  <c r="F17" i="13" s="1"/>
  <c r="C14" i="25"/>
  <c r="E15" i="13"/>
  <c r="F15" i="13" s="1"/>
  <c r="C12" i="25"/>
  <c r="E13" i="13"/>
  <c r="F13" i="13" s="1"/>
  <c r="C10" i="25"/>
  <c r="E11" i="13"/>
  <c r="F11" i="13" s="1"/>
  <c r="C8" i="25"/>
  <c r="E9" i="13"/>
  <c r="F9" i="13" s="1"/>
  <c r="C6" i="25"/>
  <c r="E7" i="13"/>
  <c r="F7" i="13" s="1"/>
  <c r="C177" i="9"/>
  <c r="C61" i="9"/>
  <c r="C33" i="9"/>
  <c r="C291" i="25"/>
  <c r="E292" i="13"/>
  <c r="F292" i="13" s="1"/>
  <c r="C283" i="25"/>
  <c r="E284" i="13"/>
  <c r="F284" i="13" s="1"/>
  <c r="C271" i="25"/>
  <c r="E272" i="13"/>
  <c r="F272" i="13" s="1"/>
  <c r="C246" i="25"/>
  <c r="E247" i="13"/>
  <c r="F247" i="13" s="1"/>
  <c r="C242" i="25"/>
  <c r="E243" i="13"/>
  <c r="F243" i="13" s="1"/>
  <c r="C238" i="25"/>
  <c r="E239" i="13"/>
  <c r="F239" i="13" s="1"/>
  <c r="C234" i="25"/>
  <c r="E235" i="13"/>
  <c r="F235" i="13" s="1"/>
  <c r="C230" i="25"/>
  <c r="E231" i="13"/>
  <c r="F231" i="13" s="1"/>
  <c r="C226" i="25"/>
  <c r="E227" i="13"/>
  <c r="F227" i="13" s="1"/>
  <c r="C222" i="25"/>
  <c r="E223" i="13"/>
  <c r="F223" i="13" s="1"/>
  <c r="C218" i="25"/>
  <c r="E219" i="13"/>
  <c r="F219" i="13" s="1"/>
  <c r="C214" i="25"/>
  <c r="E215" i="13"/>
  <c r="F215" i="13" s="1"/>
  <c r="L213" i="19"/>
  <c r="C210" i="25"/>
  <c r="E211" i="13"/>
  <c r="F211" i="13" s="1"/>
  <c r="C208" i="25"/>
  <c r="E209" i="13"/>
  <c r="F209" i="13" s="1"/>
  <c r="C184" i="25"/>
  <c r="E185" i="13"/>
  <c r="F185" i="13" s="1"/>
  <c r="C182" i="25"/>
  <c r="E183" i="13"/>
  <c r="F183" i="13" s="1"/>
  <c r="C180" i="25"/>
  <c r="E181" i="13"/>
  <c r="F181" i="13" s="1"/>
  <c r="C178" i="25"/>
  <c r="E179" i="13"/>
  <c r="F179" i="13" s="1"/>
  <c r="P179" i="19"/>
  <c r="R179" i="19" s="1"/>
  <c r="F179" i="49"/>
  <c r="G179" i="49" s="1"/>
  <c r="C177" i="25"/>
  <c r="E178" i="13"/>
  <c r="F178" i="13" s="1"/>
  <c r="C177" i="39"/>
  <c r="C175" i="25"/>
  <c r="E176" i="13"/>
  <c r="F176" i="13" s="1"/>
  <c r="L176" i="19"/>
  <c r="F176" i="49" s="1"/>
  <c r="G176" i="49" s="1"/>
  <c r="C173" i="25"/>
  <c r="E174" i="13"/>
  <c r="F174" i="13" s="1"/>
  <c r="C171" i="25"/>
  <c r="E172" i="13"/>
  <c r="F172" i="13" s="1"/>
  <c r="L172" i="19"/>
  <c r="E170" i="25"/>
  <c r="J171" i="49"/>
  <c r="C171" i="13"/>
  <c r="C171" i="39"/>
  <c r="C171" i="12"/>
  <c r="C169" i="25"/>
  <c r="E170" i="13"/>
  <c r="F170" i="13" s="1"/>
  <c r="C167" i="25"/>
  <c r="E168" i="13"/>
  <c r="F168" i="13" s="1"/>
  <c r="L168" i="19"/>
  <c r="F168" i="49" s="1"/>
  <c r="G168" i="49" s="1"/>
  <c r="C165" i="25"/>
  <c r="E166" i="13"/>
  <c r="F166" i="13" s="1"/>
  <c r="E164" i="25"/>
  <c r="J165" i="49"/>
  <c r="C165" i="13"/>
  <c r="C165" i="39"/>
  <c r="C165" i="12"/>
  <c r="C163" i="25"/>
  <c r="E164" i="13"/>
  <c r="F164" i="13" s="1"/>
  <c r="L164" i="19"/>
  <c r="E162" i="25"/>
  <c r="C163" i="13"/>
  <c r="C161" i="25"/>
  <c r="E162" i="13"/>
  <c r="F162" i="13" s="1"/>
  <c r="E160" i="25"/>
  <c r="J161" i="49"/>
  <c r="C161" i="13"/>
  <c r="C161" i="39"/>
  <c r="C161" i="12"/>
  <c r="C159" i="25"/>
  <c r="E160" i="13"/>
  <c r="F160" i="13" s="1"/>
  <c r="L160" i="19"/>
  <c r="F160" i="49" s="1"/>
  <c r="G160" i="49" s="1"/>
  <c r="J159" i="49"/>
  <c r="C157" i="25"/>
  <c r="E158" i="13"/>
  <c r="F158" i="13" s="1"/>
  <c r="C157" i="13"/>
  <c r="C157" i="12"/>
  <c r="C155" i="25"/>
  <c r="E156" i="13"/>
  <c r="F156" i="13" s="1"/>
  <c r="L156" i="19"/>
  <c r="L147" i="19"/>
  <c r="C145" i="25"/>
  <c r="E146" i="13"/>
  <c r="F146" i="13" s="1"/>
  <c r="E144" i="25"/>
  <c r="J145" i="49"/>
  <c r="C145" i="13"/>
  <c r="C145" i="39"/>
  <c r="C145" i="12"/>
  <c r="C143" i="25"/>
  <c r="E144" i="13"/>
  <c r="L144" i="19"/>
  <c r="F144" i="49" s="1"/>
  <c r="G144" i="49" s="1"/>
  <c r="C141" i="25"/>
  <c r="E142" i="13"/>
  <c r="F142" i="13" s="1"/>
  <c r="C139" i="25"/>
  <c r="E140" i="13"/>
  <c r="L140" i="19"/>
  <c r="E138" i="25"/>
  <c r="J139" i="49"/>
  <c r="C139" i="13"/>
  <c r="C139" i="39"/>
  <c r="C139" i="12"/>
  <c r="C137" i="25"/>
  <c r="E138" i="13"/>
  <c r="F138" i="13" s="1"/>
  <c r="C135" i="25"/>
  <c r="E136" i="13"/>
  <c r="F136" i="13" s="1"/>
  <c r="L136" i="19"/>
  <c r="F136" i="49" s="1"/>
  <c r="G136" i="49" s="1"/>
  <c r="C133" i="25"/>
  <c r="E134" i="13"/>
  <c r="F134" i="13" s="1"/>
  <c r="E132" i="25"/>
  <c r="J133" i="49"/>
  <c r="C133" i="13"/>
  <c r="C133" i="39"/>
  <c r="C133" i="12"/>
  <c r="C131" i="25"/>
  <c r="E132" i="13"/>
  <c r="L132" i="19"/>
  <c r="E130" i="25"/>
  <c r="J131" i="49"/>
  <c r="C131" i="13"/>
  <c r="C131" i="39"/>
  <c r="C131" i="12"/>
  <c r="C129" i="25"/>
  <c r="E130" i="13"/>
  <c r="F130" i="13" s="1"/>
  <c r="C127" i="25"/>
  <c r="E128" i="13"/>
  <c r="L128" i="19"/>
  <c r="F128" i="49" s="1"/>
  <c r="G128" i="49" s="1"/>
  <c r="C125" i="25"/>
  <c r="E126" i="13"/>
  <c r="F126" i="13" s="1"/>
  <c r="C125" i="13"/>
  <c r="C123" i="25"/>
  <c r="E124" i="13"/>
  <c r="L124" i="19"/>
  <c r="C109" i="25"/>
  <c r="E110" i="13"/>
  <c r="F110" i="13" s="1"/>
  <c r="C107" i="25"/>
  <c r="E108" i="13"/>
  <c r="L108" i="19"/>
  <c r="C103" i="25"/>
  <c r="E104" i="13"/>
  <c r="F104" i="13" s="1"/>
  <c r="C97" i="25"/>
  <c r="E98" i="13"/>
  <c r="F98" i="13" s="1"/>
  <c r="C93" i="25"/>
  <c r="E94" i="13"/>
  <c r="F94" i="13" s="1"/>
  <c r="C89" i="25"/>
  <c r="E90" i="13"/>
  <c r="F90" i="13" s="1"/>
  <c r="C85" i="25"/>
  <c r="E86" i="13"/>
  <c r="F86" i="13" s="1"/>
  <c r="C81" i="25"/>
  <c r="E82" i="13"/>
  <c r="F82" i="13" s="1"/>
  <c r="C77" i="25"/>
  <c r="E78" i="13"/>
  <c r="F78" i="13" s="1"/>
  <c r="C73" i="25"/>
  <c r="E74" i="13"/>
  <c r="F74" i="13" s="1"/>
  <c r="C69" i="25"/>
  <c r="E70" i="13"/>
  <c r="F70" i="13" s="1"/>
  <c r="C65" i="25"/>
  <c r="E66" i="13"/>
  <c r="F66" i="13" s="1"/>
  <c r="C61" i="25"/>
  <c r="E62" i="13"/>
  <c r="F62" i="13" s="1"/>
  <c r="C59" i="25"/>
  <c r="E60" i="13"/>
  <c r="F60" i="13" s="1"/>
  <c r="C57" i="25"/>
  <c r="E58" i="13"/>
  <c r="F58" i="13" s="1"/>
  <c r="C55" i="25"/>
  <c r="E56" i="13"/>
  <c r="F56" i="13" s="1"/>
  <c r="E54" i="25"/>
  <c r="J55" i="49"/>
  <c r="C55" i="13"/>
  <c r="C55" i="39"/>
  <c r="C55" i="12"/>
  <c r="C53" i="25"/>
  <c r="E54" i="13"/>
  <c r="F54" i="13" s="1"/>
  <c r="C51" i="25"/>
  <c r="E52" i="13"/>
  <c r="F52" i="13" s="1"/>
  <c r="C49" i="25"/>
  <c r="E50" i="13"/>
  <c r="F50" i="13" s="1"/>
  <c r="C47" i="25"/>
  <c r="E48" i="13"/>
  <c r="F48" i="13" s="1"/>
  <c r="C45" i="25"/>
  <c r="E46" i="13"/>
  <c r="F46" i="13" s="1"/>
  <c r="C43" i="25"/>
  <c r="E44" i="13"/>
  <c r="F44" i="13" s="1"/>
  <c r="C41" i="25"/>
  <c r="E42" i="13"/>
  <c r="F42" i="13" s="1"/>
  <c r="C39" i="25"/>
  <c r="E40" i="13"/>
  <c r="F40" i="13" s="1"/>
  <c r="J39" i="49"/>
  <c r="E38" i="25"/>
  <c r="C39" i="13"/>
  <c r="C39" i="39"/>
  <c r="C39" i="12"/>
  <c r="C37" i="25"/>
  <c r="E38" i="13"/>
  <c r="F38" i="13" s="1"/>
  <c r="C35" i="25"/>
  <c r="E36" i="13"/>
  <c r="F36" i="13" s="1"/>
  <c r="C33" i="25"/>
  <c r="E34" i="13"/>
  <c r="F34" i="13" s="1"/>
  <c r="J33" i="49"/>
  <c r="C31" i="25"/>
  <c r="E32" i="13"/>
  <c r="F32" i="13" s="1"/>
  <c r="J31" i="49"/>
  <c r="E30" i="25"/>
  <c r="C31" i="13"/>
  <c r="C31" i="39"/>
  <c r="C31" i="12"/>
  <c r="C29" i="25"/>
  <c r="E30" i="13"/>
  <c r="F30" i="13" s="1"/>
  <c r="E28" i="25"/>
  <c r="C29" i="13"/>
  <c r="J29" i="49"/>
  <c r="C29" i="39"/>
  <c r="C29" i="12"/>
  <c r="C27" i="25"/>
  <c r="E28" i="13"/>
  <c r="F28" i="13" s="1"/>
  <c r="E26" i="25"/>
  <c r="J27" i="49"/>
  <c r="C27" i="13"/>
  <c r="C27" i="39"/>
  <c r="C27" i="12"/>
  <c r="C25" i="25"/>
  <c r="E26" i="13"/>
  <c r="F26" i="13" s="1"/>
  <c r="C23" i="25"/>
  <c r="E24" i="13"/>
  <c r="F24" i="13" s="1"/>
  <c r="J23" i="49"/>
  <c r="E22" i="25"/>
  <c r="C23" i="13"/>
  <c r="C23" i="39"/>
  <c r="C23" i="12"/>
  <c r="C21" i="25"/>
  <c r="E22" i="13"/>
  <c r="F22" i="13" s="1"/>
  <c r="C19" i="25"/>
  <c r="E20" i="13"/>
  <c r="F20" i="13" s="1"/>
  <c r="E18" i="25"/>
  <c r="J19" i="49"/>
  <c r="C19" i="13"/>
  <c r="C19" i="39"/>
  <c r="C19" i="12"/>
  <c r="C17" i="25"/>
  <c r="E18" i="13"/>
  <c r="F18" i="13" s="1"/>
  <c r="J17" i="49"/>
  <c r="E16" i="25"/>
  <c r="C17" i="13"/>
  <c r="C17" i="39"/>
  <c r="C17" i="12"/>
  <c r="C15" i="25"/>
  <c r="E16" i="13"/>
  <c r="F16" i="13" s="1"/>
  <c r="C13" i="25"/>
  <c r="E14" i="13"/>
  <c r="F14" i="13" s="1"/>
  <c r="E12" i="25"/>
  <c r="C13" i="13"/>
  <c r="J13" i="49"/>
  <c r="C13" i="39"/>
  <c r="C13" i="12"/>
  <c r="C11" i="25"/>
  <c r="E12" i="13"/>
  <c r="F12" i="13" s="1"/>
  <c r="E10" i="25"/>
  <c r="J11" i="49"/>
  <c r="C11" i="13"/>
  <c r="C11" i="39"/>
  <c r="C11" i="12"/>
  <c r="C9" i="25"/>
  <c r="E10" i="13"/>
  <c r="F10" i="13" s="1"/>
  <c r="C7" i="25"/>
  <c r="E8" i="13"/>
  <c r="F8" i="13" s="1"/>
  <c r="C139" i="33"/>
  <c r="E139" i="33" s="1"/>
  <c r="D139" i="37" s="1"/>
  <c r="C39" i="33"/>
  <c r="C23" i="33"/>
  <c r="E19" i="33"/>
  <c r="D19" i="37" s="1"/>
  <c r="G125" i="49"/>
  <c r="G121" i="49"/>
  <c r="G112" i="49"/>
  <c r="G29" i="49"/>
  <c r="F297" i="13"/>
  <c r="F289" i="13"/>
  <c r="F273" i="13"/>
  <c r="F257" i="13"/>
  <c r="F259" i="13"/>
  <c r="F140" i="13"/>
  <c r="F132" i="13"/>
  <c r="F124" i="13"/>
  <c r="F116" i="13"/>
  <c r="F108" i="13"/>
  <c r="F92" i="13"/>
  <c r="F152" i="13"/>
  <c r="F144" i="13"/>
  <c r="F128" i="13"/>
  <c r="F96" i="13"/>
  <c r="F59" i="13"/>
  <c r="F51" i="13"/>
  <c r="F43" i="13"/>
  <c r="F41" i="13"/>
  <c r="F57" i="13"/>
  <c r="F49" i="13"/>
  <c r="F31" i="13"/>
  <c r="E161" i="33"/>
  <c r="D161" i="37" s="1"/>
  <c r="E145" i="33"/>
  <c r="D145" i="37" s="1"/>
  <c r="E29" i="33"/>
  <c r="D29" i="37" s="1"/>
  <c r="E13" i="33"/>
  <c r="D13" i="37" s="1"/>
  <c r="L272" i="19"/>
  <c r="L249" i="19"/>
  <c r="L245" i="19"/>
  <c r="L237" i="19"/>
  <c r="L233" i="19"/>
  <c r="L270" i="19"/>
  <c r="L242" i="19"/>
  <c r="P226" i="19"/>
  <c r="R226" i="19" s="1"/>
  <c r="L50" i="19"/>
  <c r="L222" i="19"/>
  <c r="P218" i="19"/>
  <c r="R218" i="19" s="1"/>
  <c r="L268" i="19"/>
  <c r="L260" i="19"/>
  <c r="L252" i="19"/>
  <c r="L251" i="19"/>
  <c r="L247" i="19"/>
  <c r="L243" i="19"/>
  <c r="L239" i="19"/>
  <c r="L235" i="19"/>
  <c r="L231" i="19"/>
  <c r="L227" i="19"/>
  <c r="L223" i="19"/>
  <c r="L219" i="19"/>
  <c r="L217" i="19"/>
  <c r="L264" i="19"/>
  <c r="L241" i="19"/>
  <c r="L262" i="19"/>
  <c r="L254" i="19"/>
  <c r="L274" i="19"/>
  <c r="L266" i="19"/>
  <c r="L258" i="19"/>
  <c r="L248" i="19"/>
  <c r="L244" i="19"/>
  <c r="L240" i="19"/>
  <c r="L236" i="19"/>
  <c r="L232" i="19"/>
  <c r="L224" i="19"/>
  <c r="L220" i="19"/>
  <c r="L212" i="19"/>
  <c r="L210" i="19"/>
  <c r="L202" i="19"/>
  <c r="L194" i="19"/>
  <c r="L186" i="19"/>
  <c r="L178" i="19"/>
  <c r="L170" i="19"/>
  <c r="L162" i="19"/>
  <c r="L154" i="19"/>
  <c r="L146" i="19"/>
  <c r="L138" i="19"/>
  <c r="L130" i="19"/>
  <c r="L122" i="19"/>
  <c r="L114" i="19"/>
  <c r="L18" i="19"/>
  <c r="L208" i="19"/>
  <c r="P160" i="19"/>
  <c r="R160" i="19" s="1"/>
  <c r="P152" i="19"/>
  <c r="R152" i="19" s="1"/>
  <c r="P144" i="19"/>
  <c r="R144" i="19" s="1"/>
  <c r="P112" i="19"/>
  <c r="R112" i="19" s="1"/>
  <c r="L104" i="19"/>
  <c r="L99" i="19"/>
  <c r="L95" i="19"/>
  <c r="L91" i="19"/>
  <c r="L87" i="19"/>
  <c r="L83" i="19"/>
  <c r="L79" i="19"/>
  <c r="L75" i="19"/>
  <c r="L71" i="19"/>
  <c r="L67" i="19"/>
  <c r="L206" i="19"/>
  <c r="L198" i="19"/>
  <c r="L190" i="19"/>
  <c r="L182" i="19"/>
  <c r="L174" i="19"/>
  <c r="L166" i="19"/>
  <c r="L158" i="19"/>
  <c r="L150" i="19"/>
  <c r="L142" i="19"/>
  <c r="L134" i="19"/>
  <c r="L126" i="19"/>
  <c r="L118" i="19"/>
  <c r="L107" i="19"/>
  <c r="L105" i="19"/>
  <c r="L98" i="19"/>
  <c r="L94" i="19"/>
  <c r="L90" i="19"/>
  <c r="L86" i="19"/>
  <c r="L82" i="19"/>
  <c r="L78" i="19"/>
  <c r="L74" i="19"/>
  <c r="L70" i="19"/>
  <c r="L66" i="19"/>
  <c r="L42" i="19"/>
  <c r="L10" i="19"/>
  <c r="L111" i="19"/>
  <c r="L103" i="19"/>
  <c r="L97" i="19"/>
  <c r="L93" i="19"/>
  <c r="L89" i="19"/>
  <c r="L85" i="19"/>
  <c r="L81" i="19"/>
  <c r="L77" i="19"/>
  <c r="L73" i="19"/>
  <c r="L69" i="19"/>
  <c r="L65" i="19"/>
  <c r="L34" i="19"/>
  <c r="L109" i="19"/>
  <c r="L101" i="19"/>
  <c r="L96" i="19"/>
  <c r="L92" i="19"/>
  <c r="L88" i="19"/>
  <c r="L84" i="19"/>
  <c r="L80" i="19"/>
  <c r="L76" i="19"/>
  <c r="L72" i="19"/>
  <c r="L68" i="19"/>
  <c r="L58" i="19"/>
  <c r="L26" i="19"/>
  <c r="L56" i="19"/>
  <c r="L48" i="19"/>
  <c r="L40" i="19"/>
  <c r="L32" i="19"/>
  <c r="L24" i="19"/>
  <c r="L16" i="19"/>
  <c r="L8" i="19"/>
  <c r="L62" i="19"/>
  <c r="L54" i="19"/>
  <c r="L46" i="19"/>
  <c r="L38" i="19"/>
  <c r="L30" i="19"/>
  <c r="L22" i="19"/>
  <c r="L14" i="19"/>
  <c r="L60" i="19"/>
  <c r="L52" i="19"/>
  <c r="L44" i="19"/>
  <c r="L36" i="19"/>
  <c r="L28" i="19"/>
  <c r="L20" i="19"/>
  <c r="L12" i="19"/>
  <c r="E158" i="25" l="1"/>
  <c r="E159" i="33"/>
  <c r="D159" i="37" s="1"/>
  <c r="C165" i="34"/>
  <c r="C169" i="12"/>
  <c r="C165" i="9"/>
  <c r="F304" i="49"/>
  <c r="G304" i="49" s="1"/>
  <c r="C175" i="9"/>
  <c r="C169" i="39"/>
  <c r="C159" i="12"/>
  <c r="C169" i="13"/>
  <c r="C159" i="39"/>
  <c r="J169" i="49"/>
  <c r="C159" i="13"/>
  <c r="E168" i="25"/>
  <c r="P141" i="19"/>
  <c r="R141" i="19" s="1"/>
  <c r="C147" i="9" s="1"/>
  <c r="P234" i="19"/>
  <c r="R234" i="19" s="1"/>
  <c r="E233" i="25" s="1"/>
  <c r="P246" i="19"/>
  <c r="R246" i="19" s="1"/>
  <c r="P153" i="19"/>
  <c r="R153" i="19" s="1"/>
  <c r="F7" i="49"/>
  <c r="G7" i="49" s="1"/>
  <c r="F115" i="49"/>
  <c r="G115" i="49" s="1"/>
  <c r="C33" i="11"/>
  <c r="P192" i="19"/>
  <c r="R192" i="19" s="1"/>
  <c r="J177" i="49"/>
  <c r="P49" i="19"/>
  <c r="R49" i="19" s="1"/>
  <c r="C49" i="33" s="1"/>
  <c r="C49" i="11" s="1"/>
  <c r="C177" i="13"/>
  <c r="E33" i="33"/>
  <c r="D33" i="37" s="1"/>
  <c r="P230" i="19"/>
  <c r="R230" i="19" s="1"/>
  <c r="C61" i="12"/>
  <c r="E176" i="25"/>
  <c r="P181" i="19"/>
  <c r="R181" i="19" s="1"/>
  <c r="C173" i="12"/>
  <c r="C177" i="33"/>
  <c r="C177" i="11" s="1"/>
  <c r="C33" i="12"/>
  <c r="C61" i="39"/>
  <c r="F119" i="49"/>
  <c r="G119" i="49" s="1"/>
  <c r="C61" i="34"/>
  <c r="P57" i="19"/>
  <c r="R57" i="19" s="1"/>
  <c r="P135" i="19"/>
  <c r="R135" i="19" s="1"/>
  <c r="C141" i="9" s="1"/>
  <c r="C33" i="39"/>
  <c r="C37" i="39"/>
  <c r="J61" i="49"/>
  <c r="F117" i="49"/>
  <c r="G117" i="49" s="1"/>
  <c r="F298" i="49"/>
  <c r="G298" i="49" s="1"/>
  <c r="E61" i="33"/>
  <c r="D61" i="37" s="1"/>
  <c r="P128" i="19"/>
  <c r="R128" i="19" s="1"/>
  <c r="J128" i="49" s="1"/>
  <c r="C33" i="13"/>
  <c r="C51" i="12"/>
  <c r="C61" i="13"/>
  <c r="C39" i="9"/>
  <c r="C175" i="34"/>
  <c r="P195" i="19"/>
  <c r="R195" i="19" s="1"/>
  <c r="C67" i="34"/>
  <c r="P129" i="19"/>
  <c r="R129" i="19" s="1"/>
  <c r="P15" i="19"/>
  <c r="R15" i="19" s="1"/>
  <c r="P45" i="19"/>
  <c r="R45" i="19" s="1"/>
  <c r="C51" i="9" s="1"/>
  <c r="E32" i="25"/>
  <c r="E60" i="25"/>
  <c r="C177" i="12"/>
  <c r="C67" i="9"/>
  <c r="C169" i="11"/>
  <c r="C125" i="33"/>
  <c r="C9" i="33"/>
  <c r="J37" i="49"/>
  <c r="C51" i="39"/>
  <c r="J125" i="49"/>
  <c r="C167" i="12"/>
  <c r="C173" i="39"/>
  <c r="P294" i="19"/>
  <c r="R294" i="19" s="1"/>
  <c r="P201" i="19"/>
  <c r="R201" i="19" s="1"/>
  <c r="E200" i="25" s="1"/>
  <c r="C37" i="13"/>
  <c r="C51" i="13"/>
  <c r="E124" i="25"/>
  <c r="C167" i="39"/>
  <c r="C173" i="13"/>
  <c r="F267" i="49"/>
  <c r="G267" i="49" s="1"/>
  <c r="C179" i="9"/>
  <c r="C179" i="34"/>
  <c r="P64" i="19"/>
  <c r="R64" i="19" s="1"/>
  <c r="J64" i="49" s="1"/>
  <c r="P211" i="19"/>
  <c r="R211" i="19" s="1"/>
  <c r="C37" i="33"/>
  <c r="E37" i="33" s="1"/>
  <c r="D37" i="37" s="1"/>
  <c r="C9" i="39"/>
  <c r="E36" i="25"/>
  <c r="C47" i="39"/>
  <c r="J51" i="49"/>
  <c r="C167" i="13"/>
  <c r="J173" i="49"/>
  <c r="C173" i="11"/>
  <c r="P183" i="19"/>
  <c r="R183" i="19" s="1"/>
  <c r="P200" i="19"/>
  <c r="R200" i="19" s="1"/>
  <c r="J200" i="49" s="1"/>
  <c r="C141" i="33"/>
  <c r="C9" i="13"/>
  <c r="C47" i="13"/>
  <c r="E50" i="25"/>
  <c r="C135" i="39"/>
  <c r="E166" i="25"/>
  <c r="E172" i="25"/>
  <c r="C47" i="33"/>
  <c r="E47" i="33" s="1"/>
  <c r="D47" i="37" s="1"/>
  <c r="P189" i="19"/>
  <c r="R189" i="19" s="1"/>
  <c r="E188" i="25" s="1"/>
  <c r="P25" i="19"/>
  <c r="R25" i="19" s="1"/>
  <c r="P63" i="19"/>
  <c r="R63" i="19" s="1"/>
  <c r="P53" i="19"/>
  <c r="R53" i="19" s="1"/>
  <c r="C47" i="12"/>
  <c r="C167" i="33"/>
  <c r="J9" i="49"/>
  <c r="E46" i="25"/>
  <c r="J167" i="49"/>
  <c r="F259" i="49"/>
  <c r="G259" i="49" s="1"/>
  <c r="C51" i="33"/>
  <c r="E51" i="33" s="1"/>
  <c r="D51" i="37" s="1"/>
  <c r="E8" i="25"/>
  <c r="J47" i="49"/>
  <c r="C125" i="12"/>
  <c r="P41" i="19"/>
  <c r="R41" i="19" s="1"/>
  <c r="P35" i="19"/>
  <c r="R35" i="19" s="1"/>
  <c r="P127" i="19"/>
  <c r="R127" i="19" s="1"/>
  <c r="P43" i="19"/>
  <c r="R43" i="19" s="1"/>
  <c r="C9" i="12"/>
  <c r="P136" i="19"/>
  <c r="R136" i="19" s="1"/>
  <c r="C136" i="13" s="1"/>
  <c r="C37" i="12"/>
  <c r="C125" i="39"/>
  <c r="J135" i="49"/>
  <c r="C141" i="13"/>
  <c r="C135" i="33"/>
  <c r="E17" i="33"/>
  <c r="D17" i="37" s="1"/>
  <c r="C157" i="39"/>
  <c r="J163" i="49"/>
  <c r="C23" i="9"/>
  <c r="C139" i="9"/>
  <c r="C59" i="12"/>
  <c r="J157" i="49"/>
  <c r="F303" i="49"/>
  <c r="G303" i="49" s="1"/>
  <c r="P191" i="19"/>
  <c r="R191" i="19" s="1"/>
  <c r="C191" i="39" s="1"/>
  <c r="P207" i="19"/>
  <c r="R207" i="19" s="1"/>
  <c r="C207" i="33" s="1"/>
  <c r="P149" i="19"/>
  <c r="R149" i="19" s="1"/>
  <c r="C23" i="34"/>
  <c r="C139" i="34"/>
  <c r="P168" i="19"/>
  <c r="R168" i="19" s="1"/>
  <c r="E167" i="25" s="1"/>
  <c r="P176" i="19"/>
  <c r="R176" i="19" s="1"/>
  <c r="E175" i="25" s="1"/>
  <c r="P238" i="19"/>
  <c r="R238" i="19" s="1"/>
  <c r="C238" i="39" s="1"/>
  <c r="C59" i="39"/>
  <c r="E156" i="25"/>
  <c r="C163" i="9"/>
  <c r="C163" i="34"/>
  <c r="E55" i="33"/>
  <c r="D55" i="37" s="1"/>
  <c r="P205" i="19"/>
  <c r="R205" i="19" s="1"/>
  <c r="C205" i="33" s="1"/>
  <c r="P184" i="19"/>
  <c r="R184" i="19" s="1"/>
  <c r="E183" i="25" s="1"/>
  <c r="C59" i="13"/>
  <c r="C157" i="11"/>
  <c r="P250" i="19"/>
  <c r="R250" i="19" s="1"/>
  <c r="J59" i="49"/>
  <c r="C163" i="12"/>
  <c r="C59" i="33"/>
  <c r="E59" i="33" s="1"/>
  <c r="D59" i="37" s="1"/>
  <c r="P296" i="19"/>
  <c r="R296" i="19" s="1"/>
  <c r="C302" i="9" s="1"/>
  <c r="E58" i="25"/>
  <c r="C163" i="39"/>
  <c r="C163" i="33"/>
  <c r="E163" i="33" s="1"/>
  <c r="D163" i="37" s="1"/>
  <c r="P54" i="19"/>
  <c r="R54" i="19" s="1"/>
  <c r="F54" i="49"/>
  <c r="G54" i="49" s="1"/>
  <c r="P88" i="19"/>
  <c r="R88" i="19" s="1"/>
  <c r="F88" i="49"/>
  <c r="G88" i="49" s="1"/>
  <c r="P70" i="19"/>
  <c r="R70" i="19" s="1"/>
  <c r="F70" i="49"/>
  <c r="G70" i="49" s="1"/>
  <c r="P91" i="19"/>
  <c r="R91" i="19" s="1"/>
  <c r="F91" i="49"/>
  <c r="G91" i="49" s="1"/>
  <c r="P52" i="19"/>
  <c r="R52" i="19" s="1"/>
  <c r="F52" i="49"/>
  <c r="G52" i="49" s="1"/>
  <c r="P60" i="19"/>
  <c r="R60" i="19" s="1"/>
  <c r="F60" i="49"/>
  <c r="G60" i="49" s="1"/>
  <c r="P8" i="19"/>
  <c r="R8" i="19" s="1"/>
  <c r="F8" i="49"/>
  <c r="G8" i="49" s="1"/>
  <c r="P58" i="19"/>
  <c r="R58" i="19" s="1"/>
  <c r="F58" i="49"/>
  <c r="G58" i="49" s="1"/>
  <c r="P36" i="19"/>
  <c r="R36" i="19" s="1"/>
  <c r="F36" i="49"/>
  <c r="G36" i="49" s="1"/>
  <c r="P14" i="19"/>
  <c r="R14" i="19" s="1"/>
  <c r="F14" i="49"/>
  <c r="G14" i="49" s="1"/>
  <c r="P46" i="19"/>
  <c r="R46" i="19" s="1"/>
  <c r="F46" i="49"/>
  <c r="G46" i="49" s="1"/>
  <c r="P16" i="19"/>
  <c r="R16" i="19" s="1"/>
  <c r="F16" i="49"/>
  <c r="G16" i="49" s="1"/>
  <c r="P48" i="19"/>
  <c r="R48" i="19" s="1"/>
  <c r="F48" i="49"/>
  <c r="G48" i="49" s="1"/>
  <c r="P68" i="19"/>
  <c r="R68" i="19" s="1"/>
  <c r="F68" i="49"/>
  <c r="G68" i="49" s="1"/>
  <c r="P84" i="19"/>
  <c r="R84" i="19" s="1"/>
  <c r="F84" i="49"/>
  <c r="G84" i="49" s="1"/>
  <c r="P101" i="19"/>
  <c r="R101" i="19" s="1"/>
  <c r="F101" i="49"/>
  <c r="G101" i="49" s="1"/>
  <c r="P69" i="19"/>
  <c r="R69" i="19" s="1"/>
  <c r="F69" i="49"/>
  <c r="G69" i="49" s="1"/>
  <c r="P85" i="19"/>
  <c r="R85" i="19" s="1"/>
  <c r="F85" i="49"/>
  <c r="G85" i="49" s="1"/>
  <c r="P103" i="19"/>
  <c r="R103" i="19" s="1"/>
  <c r="F103" i="49"/>
  <c r="G103" i="49" s="1"/>
  <c r="P66" i="19"/>
  <c r="R66" i="19" s="1"/>
  <c r="F66" i="49"/>
  <c r="G66" i="49" s="1"/>
  <c r="P82" i="19"/>
  <c r="R82" i="19" s="1"/>
  <c r="F82" i="49"/>
  <c r="G82" i="49" s="1"/>
  <c r="P98" i="19"/>
  <c r="R98" i="19" s="1"/>
  <c r="F98" i="49"/>
  <c r="G98" i="49" s="1"/>
  <c r="P126" i="19"/>
  <c r="R126" i="19" s="1"/>
  <c r="F126" i="49"/>
  <c r="G126" i="49" s="1"/>
  <c r="P158" i="19"/>
  <c r="R158" i="19" s="1"/>
  <c r="F158" i="49"/>
  <c r="G158" i="49" s="1"/>
  <c r="P190" i="19"/>
  <c r="R190" i="19" s="1"/>
  <c r="F190" i="49"/>
  <c r="G190" i="49" s="1"/>
  <c r="P71" i="19"/>
  <c r="R71" i="19" s="1"/>
  <c r="F71" i="49"/>
  <c r="G71" i="49" s="1"/>
  <c r="P87" i="19"/>
  <c r="R87" i="19" s="1"/>
  <c r="F87" i="49"/>
  <c r="G87" i="49" s="1"/>
  <c r="P104" i="19"/>
  <c r="R104" i="19" s="1"/>
  <c r="F104" i="49"/>
  <c r="G104" i="49" s="1"/>
  <c r="C168" i="12"/>
  <c r="C174" i="9"/>
  <c r="E199" i="25"/>
  <c r="C200" i="39"/>
  <c r="P122" i="19"/>
  <c r="R122" i="19" s="1"/>
  <c r="F122" i="49"/>
  <c r="G122" i="49" s="1"/>
  <c r="P154" i="19"/>
  <c r="R154" i="19" s="1"/>
  <c r="F154" i="49"/>
  <c r="G154" i="49" s="1"/>
  <c r="P186" i="19"/>
  <c r="R186" i="19" s="1"/>
  <c r="F186" i="49"/>
  <c r="G186" i="49" s="1"/>
  <c r="P212" i="19"/>
  <c r="R212" i="19" s="1"/>
  <c r="F212" i="49"/>
  <c r="G212" i="49" s="1"/>
  <c r="P232" i="19"/>
  <c r="R232" i="19" s="1"/>
  <c r="F232" i="49"/>
  <c r="G232" i="49" s="1"/>
  <c r="P248" i="19"/>
  <c r="R248" i="19" s="1"/>
  <c r="F248" i="49"/>
  <c r="G248" i="49" s="1"/>
  <c r="C234" i="33"/>
  <c r="P254" i="19"/>
  <c r="R254" i="19" s="1"/>
  <c r="F254" i="49"/>
  <c r="G254" i="49" s="1"/>
  <c r="P217" i="19"/>
  <c r="R217" i="19" s="1"/>
  <c r="F217" i="49"/>
  <c r="G217" i="49" s="1"/>
  <c r="P231" i="19"/>
  <c r="R231" i="19" s="1"/>
  <c r="F231" i="49"/>
  <c r="G231" i="49" s="1"/>
  <c r="P247" i="19"/>
  <c r="R247" i="19" s="1"/>
  <c r="F247" i="49"/>
  <c r="G247" i="49" s="1"/>
  <c r="P268" i="19"/>
  <c r="R268" i="19" s="1"/>
  <c r="F268" i="49"/>
  <c r="G268" i="49" s="1"/>
  <c r="P50" i="19"/>
  <c r="R50" i="19" s="1"/>
  <c r="F50" i="49"/>
  <c r="G50" i="49" s="1"/>
  <c r="P233" i="19"/>
  <c r="R233" i="19" s="1"/>
  <c r="F233" i="49"/>
  <c r="G233" i="49" s="1"/>
  <c r="P272" i="19"/>
  <c r="R272" i="19" s="1"/>
  <c r="F272" i="49"/>
  <c r="G272" i="49" s="1"/>
  <c r="C23" i="11"/>
  <c r="C29" i="34"/>
  <c r="C39" i="11"/>
  <c r="C45" i="34"/>
  <c r="C125" i="11"/>
  <c r="C131" i="34"/>
  <c r="C9" i="11"/>
  <c r="C15" i="34"/>
  <c r="E9" i="33"/>
  <c r="D9" i="37" s="1"/>
  <c r="P124" i="19"/>
  <c r="R124" i="19" s="1"/>
  <c r="F124" i="49"/>
  <c r="G124" i="49" s="1"/>
  <c r="P140" i="19"/>
  <c r="R140" i="19" s="1"/>
  <c r="F140" i="49"/>
  <c r="G140" i="49" s="1"/>
  <c r="P164" i="19"/>
  <c r="R164" i="19" s="1"/>
  <c r="F164" i="49"/>
  <c r="G164" i="49" s="1"/>
  <c r="E178" i="25"/>
  <c r="J179" i="49"/>
  <c r="C179" i="13"/>
  <c r="C179" i="39"/>
  <c r="C179" i="12"/>
  <c r="C179" i="33"/>
  <c r="C185" i="9"/>
  <c r="E125" i="33"/>
  <c r="D125" i="37" s="1"/>
  <c r="P255" i="19"/>
  <c r="R255" i="19" s="1"/>
  <c r="F255" i="49"/>
  <c r="G255" i="49" s="1"/>
  <c r="P275" i="19"/>
  <c r="R275" i="19" s="1"/>
  <c r="F275" i="49"/>
  <c r="G275" i="49" s="1"/>
  <c r="P279" i="19"/>
  <c r="R279" i="19" s="1"/>
  <c r="F279" i="49"/>
  <c r="G279" i="49" s="1"/>
  <c r="P283" i="19"/>
  <c r="R283" i="19" s="1"/>
  <c r="F283" i="49"/>
  <c r="G283" i="49" s="1"/>
  <c r="P287" i="19"/>
  <c r="R287" i="19" s="1"/>
  <c r="F287" i="49"/>
  <c r="G287" i="49" s="1"/>
  <c r="P291" i="19"/>
  <c r="R291" i="19" s="1"/>
  <c r="F291" i="49"/>
  <c r="G291" i="49" s="1"/>
  <c r="P299" i="19"/>
  <c r="R299" i="19" s="1"/>
  <c r="F299" i="49"/>
  <c r="G299" i="49" s="1"/>
  <c r="P273" i="19"/>
  <c r="R273" i="19" s="1"/>
  <c r="F273" i="49"/>
  <c r="G273" i="49" s="1"/>
  <c r="P286" i="19"/>
  <c r="R286" i="19" s="1"/>
  <c r="F286" i="49"/>
  <c r="G286" i="49" s="1"/>
  <c r="E258" i="25"/>
  <c r="J259" i="49"/>
  <c r="C259" i="13"/>
  <c r="C259" i="39"/>
  <c r="C259" i="12"/>
  <c r="C265" i="9"/>
  <c r="C259" i="33"/>
  <c r="C11" i="11"/>
  <c r="C17" i="34"/>
  <c r="P155" i="19"/>
  <c r="R155" i="19" s="1"/>
  <c r="F155" i="49"/>
  <c r="G155" i="49" s="1"/>
  <c r="P225" i="19"/>
  <c r="R225" i="19" s="1"/>
  <c r="F225" i="49"/>
  <c r="G225" i="49" s="1"/>
  <c r="P305" i="19"/>
  <c r="R305" i="19" s="1"/>
  <c r="F305" i="49"/>
  <c r="G305" i="49" s="1"/>
  <c r="P281" i="19"/>
  <c r="R281" i="19" s="1"/>
  <c r="F281" i="49"/>
  <c r="G281" i="49" s="1"/>
  <c r="P256" i="19"/>
  <c r="R256" i="19" s="1"/>
  <c r="F256" i="49"/>
  <c r="G256" i="49" s="1"/>
  <c r="E116" i="25"/>
  <c r="J117" i="49"/>
  <c r="C117" i="13"/>
  <c r="C117" i="39"/>
  <c r="C117" i="12"/>
  <c r="C117" i="33"/>
  <c r="C123" i="9"/>
  <c r="J151" i="49"/>
  <c r="E150" i="25"/>
  <c r="C151" i="13"/>
  <c r="C151" i="39"/>
  <c r="C151" i="12"/>
  <c r="C157" i="9"/>
  <c r="C151" i="33"/>
  <c r="E299" i="25"/>
  <c r="J300" i="49"/>
  <c r="C300" i="12"/>
  <c r="C300" i="13"/>
  <c r="C300" i="39"/>
  <c r="C306" i="9"/>
  <c r="C300" i="33"/>
  <c r="E301" i="25"/>
  <c r="J302" i="49"/>
  <c r="C302" i="39"/>
  <c r="C302" i="13"/>
  <c r="C302" i="12"/>
  <c r="C308" i="9"/>
  <c r="C302" i="33"/>
  <c r="E196" i="25"/>
  <c r="J197" i="49"/>
  <c r="C197" i="13"/>
  <c r="C197" i="39"/>
  <c r="C197" i="12"/>
  <c r="C197" i="33"/>
  <c r="C203" i="9"/>
  <c r="E204" i="25"/>
  <c r="C205" i="39"/>
  <c r="C205" i="12"/>
  <c r="P22" i="19"/>
  <c r="R22" i="19" s="1"/>
  <c r="F22" i="49"/>
  <c r="G22" i="49" s="1"/>
  <c r="P72" i="19"/>
  <c r="R72" i="19" s="1"/>
  <c r="F72" i="49"/>
  <c r="G72" i="49" s="1"/>
  <c r="P111" i="19"/>
  <c r="R111" i="19" s="1"/>
  <c r="F111" i="49"/>
  <c r="G111" i="49" s="1"/>
  <c r="P166" i="19"/>
  <c r="R166" i="19" s="1"/>
  <c r="F166" i="49"/>
  <c r="G166" i="49" s="1"/>
  <c r="E111" i="25"/>
  <c r="J112" i="49"/>
  <c r="C112" i="13"/>
  <c r="C112" i="12"/>
  <c r="C112" i="39"/>
  <c r="C112" i="33"/>
  <c r="C118" i="9"/>
  <c r="E143" i="25"/>
  <c r="J144" i="49"/>
  <c r="C144" i="13"/>
  <c r="C144" i="12"/>
  <c r="C144" i="39"/>
  <c r="C144" i="33"/>
  <c r="C150" i="9"/>
  <c r="C176" i="12"/>
  <c r="C176" i="33"/>
  <c r="P208" i="19"/>
  <c r="R208" i="19" s="1"/>
  <c r="F208" i="49"/>
  <c r="G208" i="49" s="1"/>
  <c r="P130" i="19"/>
  <c r="R130" i="19" s="1"/>
  <c r="F130" i="49"/>
  <c r="G130" i="49" s="1"/>
  <c r="P162" i="19"/>
  <c r="R162" i="19" s="1"/>
  <c r="F162" i="49"/>
  <c r="G162" i="49" s="1"/>
  <c r="P194" i="19"/>
  <c r="R194" i="19" s="1"/>
  <c r="F194" i="49"/>
  <c r="G194" i="49" s="1"/>
  <c r="P220" i="19"/>
  <c r="R220" i="19" s="1"/>
  <c r="F220" i="49"/>
  <c r="G220" i="49" s="1"/>
  <c r="P236" i="19"/>
  <c r="R236" i="19" s="1"/>
  <c r="F236" i="49"/>
  <c r="G236" i="49" s="1"/>
  <c r="P258" i="19"/>
  <c r="R258" i="19" s="1"/>
  <c r="F258" i="49"/>
  <c r="G258" i="49" s="1"/>
  <c r="C238" i="13"/>
  <c r="P262" i="19"/>
  <c r="R262" i="19" s="1"/>
  <c r="F262" i="49"/>
  <c r="G262" i="49" s="1"/>
  <c r="P219" i="19"/>
  <c r="R219" i="19" s="1"/>
  <c r="F219" i="49"/>
  <c r="G219" i="49" s="1"/>
  <c r="P235" i="19"/>
  <c r="R235" i="19" s="1"/>
  <c r="F235" i="49"/>
  <c r="G235" i="49" s="1"/>
  <c r="P251" i="19"/>
  <c r="R251" i="19" s="1"/>
  <c r="F251" i="49"/>
  <c r="G251" i="49" s="1"/>
  <c r="E217" i="25"/>
  <c r="J218" i="49"/>
  <c r="C218" i="13"/>
  <c r="C218" i="39"/>
  <c r="C218" i="12"/>
  <c r="C224" i="9"/>
  <c r="C218" i="33"/>
  <c r="E225" i="25"/>
  <c r="J226" i="49"/>
  <c r="C226" i="13"/>
  <c r="C226" i="39"/>
  <c r="C226" i="12"/>
  <c r="C226" i="33"/>
  <c r="C232" i="9"/>
  <c r="P237" i="19"/>
  <c r="R237" i="19" s="1"/>
  <c r="F237" i="49"/>
  <c r="G237" i="49" s="1"/>
  <c r="P147" i="19"/>
  <c r="R147" i="19" s="1"/>
  <c r="F147" i="49"/>
  <c r="G147" i="49" s="1"/>
  <c r="P213" i="19"/>
  <c r="R213" i="19" s="1"/>
  <c r="F213" i="49"/>
  <c r="G213" i="49" s="1"/>
  <c r="E266" i="25"/>
  <c r="J267" i="49"/>
  <c r="C267" i="39"/>
  <c r="C267" i="13"/>
  <c r="C267" i="12"/>
  <c r="C273" i="9"/>
  <c r="C267" i="33"/>
  <c r="E302" i="25"/>
  <c r="J303" i="49"/>
  <c r="C303" i="13"/>
  <c r="C303" i="39"/>
  <c r="C303" i="12"/>
  <c r="C303" i="33"/>
  <c r="C309" i="9"/>
  <c r="P196" i="19"/>
  <c r="R196" i="19" s="1"/>
  <c r="F196" i="49"/>
  <c r="G196" i="49" s="1"/>
  <c r="P263" i="19"/>
  <c r="R263" i="19" s="1"/>
  <c r="F263" i="49"/>
  <c r="G263" i="49" s="1"/>
  <c r="P277" i="19"/>
  <c r="R277" i="19" s="1"/>
  <c r="F277" i="49"/>
  <c r="G277" i="49" s="1"/>
  <c r="P290" i="19"/>
  <c r="R290" i="19" s="1"/>
  <c r="F290" i="49"/>
  <c r="G290" i="49" s="1"/>
  <c r="C47" i="11"/>
  <c r="C53" i="34"/>
  <c r="P123" i="19"/>
  <c r="R123" i="19" s="1"/>
  <c r="F123" i="49"/>
  <c r="G123" i="49" s="1"/>
  <c r="P221" i="19"/>
  <c r="R221" i="19" s="1"/>
  <c r="F221" i="49"/>
  <c r="G221" i="49" s="1"/>
  <c r="P297" i="19"/>
  <c r="R297" i="19" s="1"/>
  <c r="F297" i="49"/>
  <c r="G297" i="49" s="1"/>
  <c r="P282" i="19"/>
  <c r="R282" i="19" s="1"/>
  <c r="F282" i="49"/>
  <c r="G282" i="49" s="1"/>
  <c r="P187" i="19"/>
  <c r="R187" i="19" s="1"/>
  <c r="F187" i="49"/>
  <c r="G187" i="49" s="1"/>
  <c r="J7" i="49"/>
  <c r="E6" i="25"/>
  <c r="C7" i="13"/>
  <c r="C7" i="39"/>
  <c r="C7" i="12"/>
  <c r="C7" i="33"/>
  <c r="C13" i="9"/>
  <c r="E293" i="25"/>
  <c r="J294" i="49"/>
  <c r="C294" i="13"/>
  <c r="C294" i="39"/>
  <c r="C294" i="12"/>
  <c r="C300" i="9"/>
  <c r="C294" i="33"/>
  <c r="E184" i="25"/>
  <c r="J185" i="49"/>
  <c r="C185" i="13"/>
  <c r="C185" i="39"/>
  <c r="C185" i="12"/>
  <c r="C185" i="33"/>
  <c r="C191" i="9"/>
  <c r="E194" i="25"/>
  <c r="J195" i="49"/>
  <c r="C195" i="13"/>
  <c r="C195" i="39"/>
  <c r="C195" i="12"/>
  <c r="C195" i="33"/>
  <c r="C201" i="9"/>
  <c r="E202" i="25"/>
  <c r="J203" i="49"/>
  <c r="C203" i="13"/>
  <c r="C203" i="39"/>
  <c r="C203" i="12"/>
  <c r="C209" i="9"/>
  <c r="C203" i="33"/>
  <c r="E118" i="25"/>
  <c r="J119" i="49"/>
  <c r="C119" i="13"/>
  <c r="C119" i="39"/>
  <c r="C119" i="12"/>
  <c r="C125" i="9"/>
  <c r="C119" i="33"/>
  <c r="E63" i="25"/>
  <c r="C64" i="13"/>
  <c r="C64" i="33"/>
  <c r="P44" i="19"/>
  <c r="R44" i="19" s="1"/>
  <c r="F44" i="49"/>
  <c r="G44" i="49" s="1"/>
  <c r="P56" i="19"/>
  <c r="R56" i="19" s="1"/>
  <c r="F56" i="49"/>
  <c r="G56" i="49" s="1"/>
  <c r="P109" i="19"/>
  <c r="R109" i="19" s="1"/>
  <c r="F109" i="49"/>
  <c r="G109" i="49" s="1"/>
  <c r="P89" i="19"/>
  <c r="R89" i="19" s="1"/>
  <c r="F89" i="49"/>
  <c r="G89" i="49" s="1"/>
  <c r="P105" i="19"/>
  <c r="R105" i="19" s="1"/>
  <c r="F105" i="49"/>
  <c r="G105" i="49" s="1"/>
  <c r="P198" i="19"/>
  <c r="R198" i="19" s="1"/>
  <c r="F198" i="49"/>
  <c r="G198" i="49" s="1"/>
  <c r="P20" i="19"/>
  <c r="R20" i="19" s="1"/>
  <c r="F20" i="49"/>
  <c r="G20" i="49" s="1"/>
  <c r="P30" i="19"/>
  <c r="R30" i="19" s="1"/>
  <c r="F30" i="49"/>
  <c r="G30" i="49" s="1"/>
  <c r="P62" i="19"/>
  <c r="R62" i="19" s="1"/>
  <c r="F62" i="49"/>
  <c r="G62" i="49" s="1"/>
  <c r="P32" i="19"/>
  <c r="R32" i="19" s="1"/>
  <c r="F32" i="49"/>
  <c r="G32" i="49" s="1"/>
  <c r="P26" i="19"/>
  <c r="R26" i="19" s="1"/>
  <c r="F26" i="49"/>
  <c r="G26" i="49" s="1"/>
  <c r="P76" i="19"/>
  <c r="R76" i="19" s="1"/>
  <c r="F76" i="49"/>
  <c r="G76" i="49" s="1"/>
  <c r="P92" i="19"/>
  <c r="R92" i="19" s="1"/>
  <c r="F92" i="49"/>
  <c r="G92" i="49" s="1"/>
  <c r="P34" i="19"/>
  <c r="R34" i="19" s="1"/>
  <c r="F34" i="49"/>
  <c r="G34" i="49" s="1"/>
  <c r="P77" i="19"/>
  <c r="R77" i="19" s="1"/>
  <c r="F77" i="49"/>
  <c r="G77" i="49" s="1"/>
  <c r="P93" i="19"/>
  <c r="R93" i="19" s="1"/>
  <c r="F93" i="49"/>
  <c r="G93" i="49" s="1"/>
  <c r="P10" i="19"/>
  <c r="R10" i="19" s="1"/>
  <c r="F10" i="49"/>
  <c r="G10" i="49" s="1"/>
  <c r="P74" i="19"/>
  <c r="R74" i="19" s="1"/>
  <c r="F74" i="49"/>
  <c r="G74" i="49" s="1"/>
  <c r="P90" i="19"/>
  <c r="R90" i="19" s="1"/>
  <c r="F90" i="49"/>
  <c r="G90" i="49" s="1"/>
  <c r="P107" i="19"/>
  <c r="R107" i="19" s="1"/>
  <c r="F107" i="49"/>
  <c r="G107" i="49" s="1"/>
  <c r="P142" i="19"/>
  <c r="R142" i="19" s="1"/>
  <c r="F142" i="49"/>
  <c r="G142" i="49" s="1"/>
  <c r="P174" i="19"/>
  <c r="R174" i="19" s="1"/>
  <c r="F174" i="49"/>
  <c r="G174" i="49" s="1"/>
  <c r="P206" i="19"/>
  <c r="R206" i="19" s="1"/>
  <c r="F206" i="49"/>
  <c r="G206" i="49" s="1"/>
  <c r="P79" i="19"/>
  <c r="R79" i="19" s="1"/>
  <c r="F79" i="49"/>
  <c r="G79" i="49" s="1"/>
  <c r="P95" i="19"/>
  <c r="R95" i="19" s="1"/>
  <c r="F95" i="49"/>
  <c r="G95" i="49" s="1"/>
  <c r="E151" i="25"/>
  <c r="J152" i="49"/>
  <c r="C152" i="13"/>
  <c r="C152" i="12"/>
  <c r="C152" i="39"/>
  <c r="C152" i="33"/>
  <c r="C158" i="9"/>
  <c r="P18" i="19"/>
  <c r="R18" i="19" s="1"/>
  <c r="F18" i="49"/>
  <c r="G18" i="49" s="1"/>
  <c r="P138" i="19"/>
  <c r="R138" i="19" s="1"/>
  <c r="F138" i="49"/>
  <c r="G138" i="49" s="1"/>
  <c r="P170" i="19"/>
  <c r="R170" i="19" s="1"/>
  <c r="F170" i="49"/>
  <c r="G170" i="49" s="1"/>
  <c r="P202" i="19"/>
  <c r="R202" i="19" s="1"/>
  <c r="F202" i="49"/>
  <c r="G202" i="49" s="1"/>
  <c r="P224" i="19"/>
  <c r="R224" i="19" s="1"/>
  <c r="F224" i="49"/>
  <c r="G224" i="49" s="1"/>
  <c r="P240" i="19"/>
  <c r="R240" i="19" s="1"/>
  <c r="F240" i="49"/>
  <c r="G240" i="49" s="1"/>
  <c r="P266" i="19"/>
  <c r="R266" i="19" s="1"/>
  <c r="F266" i="49"/>
  <c r="G266" i="49" s="1"/>
  <c r="E245" i="25"/>
  <c r="C246" i="13"/>
  <c r="J246" i="49"/>
  <c r="C246" i="39"/>
  <c r="C246" i="12"/>
  <c r="C252" i="9"/>
  <c r="C246" i="33"/>
  <c r="P241" i="19"/>
  <c r="R241" i="19" s="1"/>
  <c r="F241" i="49"/>
  <c r="G241" i="49" s="1"/>
  <c r="P223" i="19"/>
  <c r="R223" i="19" s="1"/>
  <c r="F223" i="49"/>
  <c r="G223" i="49" s="1"/>
  <c r="P239" i="19"/>
  <c r="R239" i="19" s="1"/>
  <c r="F239" i="49"/>
  <c r="G239" i="49" s="1"/>
  <c r="P252" i="19"/>
  <c r="R252" i="19" s="1"/>
  <c r="F252" i="49"/>
  <c r="G252" i="49" s="1"/>
  <c r="P222" i="19"/>
  <c r="R222" i="19" s="1"/>
  <c r="F222" i="49"/>
  <c r="G222" i="49" s="1"/>
  <c r="P242" i="19"/>
  <c r="R242" i="19" s="1"/>
  <c r="F242" i="49"/>
  <c r="G242" i="49" s="1"/>
  <c r="P245" i="19"/>
  <c r="R245" i="19" s="1"/>
  <c r="F245" i="49"/>
  <c r="G245" i="49" s="1"/>
  <c r="C57" i="34"/>
  <c r="C139" i="11"/>
  <c r="C145" i="34"/>
  <c r="E167" i="33"/>
  <c r="D167" i="37" s="1"/>
  <c r="C167" i="11"/>
  <c r="C173" i="34"/>
  <c r="P132" i="19"/>
  <c r="R132" i="19" s="1"/>
  <c r="F132" i="49"/>
  <c r="G132" i="49" s="1"/>
  <c r="P156" i="19"/>
  <c r="R156" i="19" s="1"/>
  <c r="F156" i="49"/>
  <c r="G156" i="49" s="1"/>
  <c r="P172" i="19"/>
  <c r="R172" i="19" s="1"/>
  <c r="F172" i="49"/>
  <c r="G172" i="49" s="1"/>
  <c r="E23" i="33"/>
  <c r="D23" i="37" s="1"/>
  <c r="P214" i="19"/>
  <c r="R214" i="19" s="1"/>
  <c r="F214" i="49"/>
  <c r="G214" i="49" s="1"/>
  <c r="P278" i="19"/>
  <c r="R278" i="19" s="1"/>
  <c r="F278" i="49"/>
  <c r="G278" i="49" s="1"/>
  <c r="P293" i="19"/>
  <c r="R293" i="19" s="1"/>
  <c r="F293" i="49"/>
  <c r="G293" i="49" s="1"/>
  <c r="C131" i="11"/>
  <c r="C137" i="34"/>
  <c r="P100" i="19"/>
  <c r="R100" i="19" s="1"/>
  <c r="F100" i="49"/>
  <c r="G100" i="49" s="1"/>
  <c r="P148" i="19"/>
  <c r="R148" i="19" s="1"/>
  <c r="F148" i="49"/>
  <c r="G148" i="49" s="1"/>
  <c r="P215" i="19"/>
  <c r="R215" i="19" s="1"/>
  <c r="F215" i="49"/>
  <c r="G215" i="49" s="1"/>
  <c r="P257" i="19"/>
  <c r="R257" i="19" s="1"/>
  <c r="F257" i="49"/>
  <c r="G257" i="49" s="1"/>
  <c r="P295" i="19"/>
  <c r="R295" i="19" s="1"/>
  <c r="F295" i="49"/>
  <c r="G295" i="49" s="1"/>
  <c r="P289" i="19"/>
  <c r="R289" i="19" s="1"/>
  <c r="F289" i="49"/>
  <c r="G289" i="49" s="1"/>
  <c r="E303" i="25"/>
  <c r="J304" i="49"/>
  <c r="C304" i="12"/>
  <c r="C304" i="13"/>
  <c r="C304" i="39"/>
  <c r="C304" i="33"/>
  <c r="C310" i="9"/>
  <c r="C59" i="11"/>
  <c r="E131" i="33"/>
  <c r="D131" i="37" s="1"/>
  <c r="P216" i="19"/>
  <c r="R216" i="19" s="1"/>
  <c r="F216" i="49"/>
  <c r="G216" i="49" s="1"/>
  <c r="E120" i="25"/>
  <c r="J121" i="49"/>
  <c r="C121" i="13"/>
  <c r="C121" i="39"/>
  <c r="C121" i="12"/>
  <c r="C121" i="33"/>
  <c r="C127" i="9"/>
  <c r="E152" i="25"/>
  <c r="J153" i="49"/>
  <c r="C153" i="13"/>
  <c r="C153" i="39"/>
  <c r="C153" i="12"/>
  <c r="C153" i="33"/>
  <c r="C159" i="9"/>
  <c r="C296" i="33"/>
  <c r="E101" i="25"/>
  <c r="J102" i="49"/>
  <c r="C102" i="13"/>
  <c r="C102" i="39"/>
  <c r="C102" i="12"/>
  <c r="C108" i="9"/>
  <c r="C102" i="33"/>
  <c r="E297" i="25"/>
  <c r="J298" i="49"/>
  <c r="C298" i="13"/>
  <c r="C298" i="39"/>
  <c r="C298" i="12"/>
  <c r="C304" i="9"/>
  <c r="C298" i="33"/>
  <c r="J183" i="49"/>
  <c r="E182" i="25"/>
  <c r="C183" i="13"/>
  <c r="C183" i="39"/>
  <c r="C183" i="12"/>
  <c r="C183" i="33"/>
  <c r="C189" i="9"/>
  <c r="E192" i="25"/>
  <c r="J193" i="49"/>
  <c r="C193" i="13"/>
  <c r="C193" i="39"/>
  <c r="C193" i="12"/>
  <c r="C193" i="33"/>
  <c r="C199" i="9"/>
  <c r="C207" i="9"/>
  <c r="E210" i="25"/>
  <c r="J211" i="49"/>
  <c r="C211" i="13"/>
  <c r="C211" i="39"/>
  <c r="C211" i="12"/>
  <c r="C211" i="33"/>
  <c r="C217" i="9"/>
  <c r="P12" i="19"/>
  <c r="R12" i="19" s="1"/>
  <c r="F12" i="49"/>
  <c r="G12" i="49" s="1"/>
  <c r="P24" i="19"/>
  <c r="R24" i="19" s="1"/>
  <c r="F24" i="49"/>
  <c r="G24" i="49" s="1"/>
  <c r="P73" i="19"/>
  <c r="R73" i="19" s="1"/>
  <c r="F73" i="49"/>
  <c r="G73" i="49" s="1"/>
  <c r="P86" i="19"/>
  <c r="R86" i="19" s="1"/>
  <c r="F86" i="49"/>
  <c r="G86" i="49" s="1"/>
  <c r="P134" i="19"/>
  <c r="R134" i="19" s="1"/>
  <c r="F134" i="49"/>
  <c r="G134" i="49" s="1"/>
  <c r="P75" i="19"/>
  <c r="R75" i="19" s="1"/>
  <c r="F75" i="49"/>
  <c r="G75" i="49" s="1"/>
  <c r="P28" i="19"/>
  <c r="R28" i="19" s="1"/>
  <c r="F28" i="49"/>
  <c r="G28" i="49" s="1"/>
  <c r="P38" i="19"/>
  <c r="R38" i="19" s="1"/>
  <c r="F38" i="49"/>
  <c r="G38" i="49" s="1"/>
  <c r="P40" i="19"/>
  <c r="R40" i="19" s="1"/>
  <c r="F40" i="49"/>
  <c r="G40" i="49" s="1"/>
  <c r="P80" i="19"/>
  <c r="R80" i="19" s="1"/>
  <c r="F80" i="49"/>
  <c r="G80" i="49" s="1"/>
  <c r="P96" i="19"/>
  <c r="R96" i="19" s="1"/>
  <c r="F96" i="49"/>
  <c r="G96" i="49" s="1"/>
  <c r="P65" i="19"/>
  <c r="R65" i="19" s="1"/>
  <c r="F65" i="49"/>
  <c r="G65" i="49" s="1"/>
  <c r="P81" i="19"/>
  <c r="R81" i="19" s="1"/>
  <c r="F81" i="49"/>
  <c r="G81" i="49" s="1"/>
  <c r="P97" i="19"/>
  <c r="R97" i="19" s="1"/>
  <c r="F97" i="49"/>
  <c r="G97" i="49" s="1"/>
  <c r="P42" i="19"/>
  <c r="R42" i="19" s="1"/>
  <c r="F42" i="49"/>
  <c r="G42" i="49" s="1"/>
  <c r="P78" i="19"/>
  <c r="R78" i="19" s="1"/>
  <c r="F78" i="49"/>
  <c r="G78" i="49" s="1"/>
  <c r="P94" i="19"/>
  <c r="R94" i="19" s="1"/>
  <c r="F94" i="49"/>
  <c r="G94" i="49" s="1"/>
  <c r="P118" i="19"/>
  <c r="R118" i="19" s="1"/>
  <c r="F118" i="49"/>
  <c r="G118" i="49" s="1"/>
  <c r="P150" i="19"/>
  <c r="R150" i="19" s="1"/>
  <c r="F150" i="49"/>
  <c r="G150" i="49" s="1"/>
  <c r="P182" i="19"/>
  <c r="R182" i="19" s="1"/>
  <c r="F182" i="49"/>
  <c r="G182" i="49" s="1"/>
  <c r="P67" i="19"/>
  <c r="R67" i="19" s="1"/>
  <c r="F67" i="49"/>
  <c r="G67" i="49" s="1"/>
  <c r="P83" i="19"/>
  <c r="R83" i="19" s="1"/>
  <c r="F83" i="49"/>
  <c r="G83" i="49" s="1"/>
  <c r="P99" i="19"/>
  <c r="R99" i="19" s="1"/>
  <c r="F99" i="49"/>
  <c r="G99" i="49" s="1"/>
  <c r="E127" i="25"/>
  <c r="E159" i="25"/>
  <c r="J160" i="49"/>
  <c r="C160" i="13"/>
  <c r="C160" i="12"/>
  <c r="C160" i="39"/>
  <c r="C160" i="33"/>
  <c r="C166" i="9"/>
  <c r="E191" i="25"/>
  <c r="J192" i="49"/>
  <c r="C192" i="13"/>
  <c r="C192" i="12"/>
  <c r="C192" i="39"/>
  <c r="C192" i="33"/>
  <c r="C198" i="9"/>
  <c r="P114" i="19"/>
  <c r="R114" i="19" s="1"/>
  <c r="F114" i="49"/>
  <c r="G114" i="49" s="1"/>
  <c r="P146" i="19"/>
  <c r="R146" i="19" s="1"/>
  <c r="F146" i="49"/>
  <c r="G146" i="49" s="1"/>
  <c r="P178" i="19"/>
  <c r="R178" i="19" s="1"/>
  <c r="F178" i="49"/>
  <c r="G178" i="49" s="1"/>
  <c r="P210" i="19"/>
  <c r="R210" i="19" s="1"/>
  <c r="F210" i="49"/>
  <c r="G210" i="49" s="1"/>
  <c r="P244" i="19"/>
  <c r="R244" i="19" s="1"/>
  <c r="F244" i="49"/>
  <c r="G244" i="49" s="1"/>
  <c r="P274" i="19"/>
  <c r="R274" i="19" s="1"/>
  <c r="F274" i="49"/>
  <c r="G274" i="49" s="1"/>
  <c r="E249" i="25"/>
  <c r="J250" i="49"/>
  <c r="C250" i="13"/>
  <c r="C250" i="39"/>
  <c r="C250" i="12"/>
  <c r="C256" i="9"/>
  <c r="C250" i="33"/>
  <c r="P264" i="19"/>
  <c r="R264" i="19" s="1"/>
  <c r="F264" i="49"/>
  <c r="G264" i="49" s="1"/>
  <c r="P227" i="19"/>
  <c r="R227" i="19" s="1"/>
  <c r="F227" i="49"/>
  <c r="G227" i="49" s="1"/>
  <c r="P243" i="19"/>
  <c r="R243" i="19" s="1"/>
  <c r="F243" i="49"/>
  <c r="G243" i="49" s="1"/>
  <c r="P260" i="19"/>
  <c r="R260" i="19" s="1"/>
  <c r="F260" i="49"/>
  <c r="G260" i="49" s="1"/>
  <c r="E229" i="25"/>
  <c r="J230" i="49"/>
  <c r="C230" i="13"/>
  <c r="C230" i="39"/>
  <c r="C230" i="12"/>
  <c r="C236" i="9"/>
  <c r="C230" i="33"/>
  <c r="P270" i="19"/>
  <c r="R270" i="19" s="1"/>
  <c r="F270" i="49"/>
  <c r="G270" i="49" s="1"/>
  <c r="P249" i="19"/>
  <c r="R249" i="19" s="1"/>
  <c r="F249" i="49"/>
  <c r="G249" i="49" s="1"/>
  <c r="C37" i="11"/>
  <c r="C43" i="34"/>
  <c r="E141" i="33"/>
  <c r="D141" i="37" s="1"/>
  <c r="C141" i="11"/>
  <c r="C147" i="34"/>
  <c r="E177" i="33"/>
  <c r="D177" i="37" s="1"/>
  <c r="P108" i="19"/>
  <c r="R108" i="19" s="1"/>
  <c r="F108" i="49"/>
  <c r="G108" i="49" s="1"/>
  <c r="E39" i="33"/>
  <c r="D39" i="37" s="1"/>
  <c r="P188" i="19"/>
  <c r="R188" i="19" s="1"/>
  <c r="F188" i="49"/>
  <c r="G188" i="49" s="1"/>
  <c r="P204" i="19"/>
  <c r="R204" i="19" s="1"/>
  <c r="F204" i="49"/>
  <c r="G204" i="49" s="1"/>
  <c r="P276" i="19"/>
  <c r="R276" i="19" s="1"/>
  <c r="F276" i="49"/>
  <c r="G276" i="49" s="1"/>
  <c r="P280" i="19"/>
  <c r="R280" i="19" s="1"/>
  <c r="F280" i="49"/>
  <c r="G280" i="49" s="1"/>
  <c r="P284" i="19"/>
  <c r="R284" i="19" s="1"/>
  <c r="F284" i="49"/>
  <c r="G284" i="49" s="1"/>
  <c r="P288" i="19"/>
  <c r="R288" i="19" s="1"/>
  <c r="F288" i="49"/>
  <c r="G288" i="49" s="1"/>
  <c r="P292" i="19"/>
  <c r="R292" i="19" s="1"/>
  <c r="F292" i="49"/>
  <c r="G292" i="49" s="1"/>
  <c r="P301" i="19"/>
  <c r="R301" i="19" s="1"/>
  <c r="F301" i="49"/>
  <c r="G301" i="49" s="1"/>
  <c r="P285" i="19"/>
  <c r="R285" i="19" s="1"/>
  <c r="F285" i="49"/>
  <c r="G285" i="49" s="1"/>
  <c r="C31" i="11"/>
  <c r="C37" i="34"/>
  <c r="C135" i="11"/>
  <c r="C141" i="34"/>
  <c r="P106" i="19"/>
  <c r="R106" i="19" s="1"/>
  <c r="F106" i="49"/>
  <c r="G106" i="49" s="1"/>
  <c r="P116" i="19"/>
  <c r="R116" i="19" s="1"/>
  <c r="F116" i="49"/>
  <c r="G116" i="49" s="1"/>
  <c r="P209" i="19"/>
  <c r="R209" i="19" s="1"/>
  <c r="F209" i="49"/>
  <c r="G209" i="49" s="1"/>
  <c r="P229" i="19"/>
  <c r="R229" i="19" s="1"/>
  <c r="F229" i="49"/>
  <c r="G229" i="49" s="1"/>
  <c r="P265" i="19"/>
  <c r="R265" i="19" s="1"/>
  <c r="F265" i="49"/>
  <c r="G265" i="49" s="1"/>
  <c r="P269" i="19"/>
  <c r="R269" i="19" s="1"/>
  <c r="F269" i="49"/>
  <c r="G269" i="49" s="1"/>
  <c r="C19" i="11"/>
  <c r="C25" i="34"/>
  <c r="E135" i="33"/>
  <c r="D135" i="37" s="1"/>
  <c r="P180" i="19"/>
  <c r="R180" i="19" s="1"/>
  <c r="F180" i="49"/>
  <c r="G180" i="49" s="1"/>
  <c r="P253" i="19"/>
  <c r="R253" i="19" s="1"/>
  <c r="F253" i="49"/>
  <c r="G253" i="49" s="1"/>
  <c r="E180" i="25"/>
  <c r="J181" i="49"/>
  <c r="C181" i="13"/>
  <c r="C181" i="39"/>
  <c r="C181" i="12"/>
  <c r="C181" i="33"/>
  <c r="C187" i="9"/>
  <c r="J191" i="49"/>
  <c r="C191" i="13"/>
  <c r="C191" i="33"/>
  <c r="E198" i="25"/>
  <c r="J199" i="49"/>
  <c r="C199" i="13"/>
  <c r="C199" i="39"/>
  <c r="C199" i="12"/>
  <c r="C205" i="9"/>
  <c r="C199" i="33"/>
  <c r="C207" i="12"/>
  <c r="E114" i="25"/>
  <c r="J115" i="49"/>
  <c r="C115" i="13"/>
  <c r="C115" i="39"/>
  <c r="C115" i="12"/>
  <c r="C121" i="9"/>
  <c r="C115" i="33"/>
  <c r="E148" i="25"/>
  <c r="J149" i="49"/>
  <c r="C149" i="13"/>
  <c r="C149" i="39"/>
  <c r="C149" i="12"/>
  <c r="C149" i="33"/>
  <c r="C155" i="9"/>
  <c r="E109" i="25"/>
  <c r="J110" i="49"/>
  <c r="C110" i="13"/>
  <c r="C110" i="39"/>
  <c r="C110" i="12"/>
  <c r="C110" i="33"/>
  <c r="C116" i="9"/>
  <c r="E48" i="25" l="1"/>
  <c r="C201" i="33"/>
  <c r="C169" i="34"/>
  <c r="C195" i="9"/>
  <c r="C240" i="9"/>
  <c r="C201" i="12"/>
  <c r="C163" i="11"/>
  <c r="C189" i="33"/>
  <c r="E189" i="33" s="1"/>
  <c r="D189" i="37" s="1"/>
  <c r="C234" i="12"/>
  <c r="C201" i="39"/>
  <c r="C189" i="12"/>
  <c r="C234" i="39"/>
  <c r="C49" i="39"/>
  <c r="C201" i="13"/>
  <c r="C189" i="39"/>
  <c r="C234" i="13"/>
  <c r="E140" i="25"/>
  <c r="J201" i="49"/>
  <c r="C189" i="13"/>
  <c r="J234" i="49"/>
  <c r="E49" i="33"/>
  <c r="D49" i="37" s="1"/>
  <c r="C183" i="34"/>
  <c r="J189" i="49"/>
  <c r="C141" i="39"/>
  <c r="C141" i="12"/>
  <c r="J49" i="49"/>
  <c r="C55" i="9"/>
  <c r="J141" i="49"/>
  <c r="C142" i="9"/>
  <c r="E134" i="25"/>
  <c r="C135" i="13"/>
  <c r="C49" i="12"/>
  <c r="C135" i="12"/>
  <c r="C57" i="33"/>
  <c r="E56" i="25"/>
  <c r="J57" i="49"/>
  <c r="C57" i="13"/>
  <c r="C57" i="39"/>
  <c r="C57" i="12"/>
  <c r="C207" i="39"/>
  <c r="C136" i="33"/>
  <c r="C136" i="11" s="1"/>
  <c r="C207" i="13"/>
  <c r="E190" i="25"/>
  <c r="C134" i="9"/>
  <c r="C206" i="9"/>
  <c r="C168" i="33"/>
  <c r="C136" i="39"/>
  <c r="E206" i="25"/>
  <c r="C128" i="33"/>
  <c r="C128" i="11" s="1"/>
  <c r="C65" i="34"/>
  <c r="C70" i="9"/>
  <c r="C200" i="33"/>
  <c r="C168" i="39"/>
  <c r="C136" i="12"/>
  <c r="C63" i="9"/>
  <c r="C128" i="39"/>
  <c r="C128" i="12"/>
  <c r="C51" i="11"/>
  <c r="C64" i="39"/>
  <c r="C200" i="12"/>
  <c r="C168" i="13"/>
  <c r="J136" i="49"/>
  <c r="C129" i="33"/>
  <c r="J129" i="49"/>
  <c r="E128" i="25"/>
  <c r="C129" i="13"/>
  <c r="C129" i="39"/>
  <c r="C129" i="12"/>
  <c r="C135" i="9"/>
  <c r="C197" i="9"/>
  <c r="C191" i="12"/>
  <c r="C128" i="13"/>
  <c r="C64" i="12"/>
  <c r="C200" i="13"/>
  <c r="J168" i="49"/>
  <c r="E135" i="25"/>
  <c r="C49" i="13"/>
  <c r="C45" i="33"/>
  <c r="E44" i="25"/>
  <c r="C45" i="13"/>
  <c r="J45" i="49"/>
  <c r="C45" i="39"/>
  <c r="C45" i="12"/>
  <c r="J207" i="49"/>
  <c r="C213" i="9"/>
  <c r="C55" i="34"/>
  <c r="C21" i="9"/>
  <c r="C15" i="12"/>
  <c r="C15" i="13"/>
  <c r="C15" i="39"/>
  <c r="C15" i="33"/>
  <c r="J15" i="49"/>
  <c r="E14" i="25"/>
  <c r="C69" i="9"/>
  <c r="C63" i="13"/>
  <c r="E62" i="25"/>
  <c r="C63" i="39"/>
  <c r="C63" i="12"/>
  <c r="C63" i="33"/>
  <c r="J63" i="49"/>
  <c r="C31" i="9"/>
  <c r="C25" i="13"/>
  <c r="C25" i="39"/>
  <c r="C25" i="12"/>
  <c r="E24" i="25"/>
  <c r="C25" i="33"/>
  <c r="J25" i="49"/>
  <c r="C43" i="33"/>
  <c r="J43" i="49"/>
  <c r="C43" i="13"/>
  <c r="C43" i="39"/>
  <c r="C43" i="12"/>
  <c r="C49" i="9"/>
  <c r="E42" i="25"/>
  <c r="C133" i="9"/>
  <c r="C127" i="13"/>
  <c r="C127" i="39"/>
  <c r="C127" i="12"/>
  <c r="E126" i="25"/>
  <c r="C127" i="33"/>
  <c r="J127" i="49"/>
  <c r="C41" i="9"/>
  <c r="C35" i="33"/>
  <c r="C35" i="12"/>
  <c r="E34" i="25"/>
  <c r="J35" i="49"/>
  <c r="C35" i="13"/>
  <c r="C35" i="39"/>
  <c r="C47" i="9"/>
  <c r="C41" i="13"/>
  <c r="C41" i="39"/>
  <c r="C41" i="12"/>
  <c r="C41" i="33"/>
  <c r="J41" i="49"/>
  <c r="E40" i="25"/>
  <c r="C59" i="9"/>
  <c r="C53" i="12"/>
  <c r="C53" i="33"/>
  <c r="C53" i="39"/>
  <c r="E52" i="25"/>
  <c r="J53" i="49"/>
  <c r="C53" i="13"/>
  <c r="C296" i="39"/>
  <c r="C296" i="13"/>
  <c r="C184" i="33"/>
  <c r="E184" i="33" s="1"/>
  <c r="D184" i="37" s="1"/>
  <c r="E237" i="25"/>
  <c r="C182" i="9"/>
  <c r="C205" i="13"/>
  <c r="C190" i="9"/>
  <c r="J238" i="49"/>
  <c r="C296" i="12"/>
  <c r="C184" i="39"/>
  <c r="C176" i="39"/>
  <c r="J205" i="49"/>
  <c r="C238" i="33"/>
  <c r="E295" i="25"/>
  <c r="C184" i="13"/>
  <c r="C244" i="9"/>
  <c r="C176" i="13"/>
  <c r="J296" i="49"/>
  <c r="J184" i="49"/>
  <c r="C238" i="12"/>
  <c r="J176" i="49"/>
  <c r="C211" i="9"/>
  <c r="C184" i="12"/>
  <c r="C271" i="19"/>
  <c r="L271" i="19" s="1"/>
  <c r="E110" i="33"/>
  <c r="D110" i="37" s="1"/>
  <c r="C110" i="11"/>
  <c r="C116" i="34"/>
  <c r="E105" i="25"/>
  <c r="J106" i="49"/>
  <c r="C106" i="13"/>
  <c r="C106" i="39"/>
  <c r="C106" i="12"/>
  <c r="C112" i="9"/>
  <c r="C106" i="33"/>
  <c r="E279" i="25"/>
  <c r="J280" i="49"/>
  <c r="C280" i="12"/>
  <c r="C280" i="13"/>
  <c r="C280" i="39"/>
  <c r="C280" i="33"/>
  <c r="C286" i="9"/>
  <c r="E145" i="25"/>
  <c r="J146" i="49"/>
  <c r="C146" i="13"/>
  <c r="C146" i="39"/>
  <c r="C146" i="12"/>
  <c r="C152" i="9"/>
  <c r="C146" i="33"/>
  <c r="E115" i="33"/>
  <c r="D115" i="37" s="1"/>
  <c r="C115" i="11"/>
  <c r="C121" i="34"/>
  <c r="C207" i="11"/>
  <c r="C213" i="34"/>
  <c r="E207" i="33"/>
  <c r="D207" i="37" s="1"/>
  <c r="E252" i="25"/>
  <c r="J253" i="49"/>
  <c r="C253" i="13"/>
  <c r="C253" i="39"/>
  <c r="C253" i="12"/>
  <c r="C253" i="33"/>
  <c r="C259" i="9"/>
  <c r="C230" i="11"/>
  <c r="C236" i="34"/>
  <c r="E230" i="33"/>
  <c r="D230" i="37" s="1"/>
  <c r="E259" i="25"/>
  <c r="J260" i="49"/>
  <c r="C260" i="13"/>
  <c r="C260" i="12"/>
  <c r="C260" i="39"/>
  <c r="C266" i="9"/>
  <c r="C260" i="33"/>
  <c r="E226" i="25"/>
  <c r="J227" i="49"/>
  <c r="C227" i="13"/>
  <c r="C227" i="39"/>
  <c r="C227" i="12"/>
  <c r="C227" i="33"/>
  <c r="C233" i="9"/>
  <c r="C160" i="11"/>
  <c r="C166" i="34"/>
  <c r="E160" i="33"/>
  <c r="D160" i="37" s="1"/>
  <c r="E82" i="25"/>
  <c r="J83" i="49"/>
  <c r="C83" i="13"/>
  <c r="C83" i="39"/>
  <c r="C83" i="12"/>
  <c r="C83" i="33"/>
  <c r="C89" i="9"/>
  <c r="E181" i="25"/>
  <c r="J182" i="49"/>
  <c r="C182" i="13"/>
  <c r="C182" i="39"/>
  <c r="C182" i="12"/>
  <c r="C188" i="9"/>
  <c r="C182" i="33"/>
  <c r="E117" i="25"/>
  <c r="J118" i="49"/>
  <c r="C118" i="13"/>
  <c r="C118" i="39"/>
  <c r="C118" i="12"/>
  <c r="C124" i="9"/>
  <c r="C118" i="33"/>
  <c r="E77" i="25"/>
  <c r="J78" i="49"/>
  <c r="C78" i="13"/>
  <c r="C78" i="39"/>
  <c r="C78" i="12"/>
  <c r="C84" i="9"/>
  <c r="C78" i="33"/>
  <c r="E96" i="25"/>
  <c r="J97" i="49"/>
  <c r="C97" i="13"/>
  <c r="C97" i="39"/>
  <c r="C97" i="12"/>
  <c r="C97" i="33"/>
  <c r="C103" i="9"/>
  <c r="E64" i="25"/>
  <c r="J65" i="49"/>
  <c r="C65" i="13"/>
  <c r="C65" i="39"/>
  <c r="C65" i="12"/>
  <c r="C65" i="33"/>
  <c r="C71" i="9"/>
  <c r="E79" i="25"/>
  <c r="J80" i="49"/>
  <c r="C80" i="13"/>
  <c r="C80" i="12"/>
  <c r="C80" i="39"/>
  <c r="C80" i="33"/>
  <c r="C86" i="9"/>
  <c r="E37" i="25"/>
  <c r="J38" i="49"/>
  <c r="C38" i="13"/>
  <c r="C38" i="39"/>
  <c r="C38" i="12"/>
  <c r="C38" i="33"/>
  <c r="C44" i="9"/>
  <c r="E74" i="25"/>
  <c r="J75" i="49"/>
  <c r="C75" i="13"/>
  <c r="C75" i="39"/>
  <c r="C75" i="12"/>
  <c r="C81" i="9"/>
  <c r="C75" i="33"/>
  <c r="E85" i="25"/>
  <c r="J86" i="49"/>
  <c r="C86" i="13"/>
  <c r="C86" i="39"/>
  <c r="C86" i="12"/>
  <c r="C92" i="9"/>
  <c r="C86" i="33"/>
  <c r="E23" i="25"/>
  <c r="J24" i="49"/>
  <c r="C24" i="13"/>
  <c r="C24" i="12"/>
  <c r="C24" i="39"/>
  <c r="C24" i="33"/>
  <c r="C30" i="9"/>
  <c r="E211" i="33"/>
  <c r="D211" i="37" s="1"/>
  <c r="C211" i="11"/>
  <c r="C217" i="34"/>
  <c r="C304" i="11"/>
  <c r="C310" i="34"/>
  <c r="E304" i="33"/>
  <c r="D304" i="37" s="1"/>
  <c r="E239" i="25"/>
  <c r="J240" i="49"/>
  <c r="C240" i="13"/>
  <c r="C240" i="12"/>
  <c r="C240" i="39"/>
  <c r="C240" i="33"/>
  <c r="C246" i="9"/>
  <c r="E201" i="25"/>
  <c r="J202" i="49"/>
  <c r="C202" i="13"/>
  <c r="C202" i="39"/>
  <c r="C202" i="12"/>
  <c r="C208" i="9"/>
  <c r="C202" i="33"/>
  <c r="E137" i="25"/>
  <c r="J138" i="49"/>
  <c r="C138" i="13"/>
  <c r="C138" i="39"/>
  <c r="C138" i="12"/>
  <c r="C144" i="9"/>
  <c r="C138" i="33"/>
  <c r="C184" i="11"/>
  <c r="E203" i="33"/>
  <c r="D203" i="37" s="1"/>
  <c r="C203" i="11"/>
  <c r="C209" i="34"/>
  <c r="E195" i="33"/>
  <c r="D195" i="37" s="1"/>
  <c r="C195" i="11"/>
  <c r="C201" i="34"/>
  <c r="E186" i="25"/>
  <c r="J187" i="49"/>
  <c r="C187" i="13"/>
  <c r="C187" i="39"/>
  <c r="C187" i="12"/>
  <c r="C193" i="9"/>
  <c r="C187" i="33"/>
  <c r="E236" i="25"/>
  <c r="J237" i="49"/>
  <c r="C237" i="13"/>
  <c r="C237" i="39"/>
  <c r="C237" i="12"/>
  <c r="C237" i="33"/>
  <c r="C243" i="9"/>
  <c r="E218" i="33"/>
  <c r="D218" i="37" s="1"/>
  <c r="C218" i="11"/>
  <c r="C224" i="34"/>
  <c r="E250" i="25"/>
  <c r="J251" i="49"/>
  <c r="C251" i="13"/>
  <c r="C251" i="39"/>
  <c r="C251" i="12"/>
  <c r="C257" i="9"/>
  <c r="C251" i="33"/>
  <c r="E218" i="25"/>
  <c r="J219" i="49"/>
  <c r="C219" i="13"/>
  <c r="C219" i="39"/>
  <c r="C219" i="12"/>
  <c r="C225" i="9"/>
  <c r="C219" i="33"/>
  <c r="C176" i="11"/>
  <c r="C182" i="34"/>
  <c r="E176" i="33"/>
  <c r="D176" i="37" s="1"/>
  <c r="C144" i="11"/>
  <c r="C150" i="34"/>
  <c r="E144" i="33"/>
  <c r="D144" i="37" s="1"/>
  <c r="J111" i="49"/>
  <c r="E110" i="25"/>
  <c r="C111" i="13"/>
  <c r="C111" i="39"/>
  <c r="C111" i="12"/>
  <c r="C111" i="33"/>
  <c r="C117" i="9"/>
  <c r="E21" i="25"/>
  <c r="J22" i="49"/>
  <c r="C22" i="13"/>
  <c r="C22" i="39"/>
  <c r="C22" i="12"/>
  <c r="C22" i="33"/>
  <c r="C28" i="9"/>
  <c r="E255" i="25"/>
  <c r="J256" i="49"/>
  <c r="C256" i="13"/>
  <c r="C256" i="12"/>
  <c r="C256" i="39"/>
  <c r="C256" i="33"/>
  <c r="C262" i="9"/>
  <c r="E304" i="25"/>
  <c r="J305" i="49"/>
  <c r="C305" i="39"/>
  <c r="C305" i="13"/>
  <c r="C305" i="12"/>
  <c r="C305" i="33"/>
  <c r="C311" i="9"/>
  <c r="E154" i="25"/>
  <c r="J155" i="49"/>
  <c r="C155" i="13"/>
  <c r="C155" i="39"/>
  <c r="C155" i="12"/>
  <c r="C155" i="33"/>
  <c r="C161" i="9"/>
  <c r="C259" i="11"/>
  <c r="C265" i="34"/>
  <c r="E259" i="33"/>
  <c r="D259" i="37" s="1"/>
  <c r="E285" i="25"/>
  <c r="J286" i="49"/>
  <c r="C286" i="39"/>
  <c r="C286" i="13"/>
  <c r="C286" i="12"/>
  <c r="C292" i="9"/>
  <c r="C286" i="33"/>
  <c r="E298" i="25"/>
  <c r="J299" i="49"/>
  <c r="C299" i="39"/>
  <c r="C299" i="12"/>
  <c r="C299" i="13"/>
  <c r="C305" i="9"/>
  <c r="C299" i="33"/>
  <c r="E286" i="25"/>
  <c r="J287" i="49"/>
  <c r="C287" i="13"/>
  <c r="C287" i="39"/>
  <c r="C287" i="12"/>
  <c r="C287" i="33"/>
  <c r="C293" i="9"/>
  <c r="E278" i="25"/>
  <c r="J279" i="49"/>
  <c r="C279" i="13"/>
  <c r="C279" i="39"/>
  <c r="C279" i="12"/>
  <c r="C279" i="33"/>
  <c r="C285" i="9"/>
  <c r="J255" i="49"/>
  <c r="E254" i="25"/>
  <c r="C255" i="13"/>
  <c r="C255" i="39"/>
  <c r="C255" i="12"/>
  <c r="C255" i="33"/>
  <c r="C261" i="9"/>
  <c r="E139" i="25"/>
  <c r="J140" i="49"/>
  <c r="C140" i="13"/>
  <c r="C140" i="12"/>
  <c r="C140" i="39"/>
  <c r="C140" i="33"/>
  <c r="C146" i="9"/>
  <c r="E271" i="25"/>
  <c r="J272" i="49"/>
  <c r="C272" i="12"/>
  <c r="C272" i="13"/>
  <c r="C272" i="39"/>
  <c r="C272" i="33"/>
  <c r="C278" i="9"/>
  <c r="E49" i="25"/>
  <c r="J50" i="49"/>
  <c r="C50" i="13"/>
  <c r="C50" i="39"/>
  <c r="C50" i="12"/>
  <c r="C56" i="9"/>
  <c r="C50" i="33"/>
  <c r="E246" i="25"/>
  <c r="J247" i="49"/>
  <c r="C247" i="13"/>
  <c r="C247" i="39"/>
  <c r="C247" i="12"/>
  <c r="C247" i="33"/>
  <c r="C253" i="9"/>
  <c r="E216" i="25"/>
  <c r="J217" i="49"/>
  <c r="C217" i="13"/>
  <c r="C217" i="39"/>
  <c r="C217" i="12"/>
  <c r="C217" i="33"/>
  <c r="C223" i="9"/>
  <c r="E103" i="25"/>
  <c r="J104" i="49"/>
  <c r="C104" i="13"/>
  <c r="C104" i="12"/>
  <c r="C104" i="39"/>
  <c r="C104" i="33"/>
  <c r="C110" i="9"/>
  <c r="E70" i="25"/>
  <c r="J71" i="49"/>
  <c r="C71" i="13"/>
  <c r="C71" i="39"/>
  <c r="C71" i="12"/>
  <c r="C77" i="9"/>
  <c r="C71" i="33"/>
  <c r="E157" i="25"/>
  <c r="J158" i="49"/>
  <c r="C158" i="13"/>
  <c r="C158" i="39"/>
  <c r="C158" i="12"/>
  <c r="C164" i="9"/>
  <c r="C158" i="33"/>
  <c r="E97" i="25"/>
  <c r="J98" i="49"/>
  <c r="C98" i="13"/>
  <c r="C98" i="39"/>
  <c r="C98" i="12"/>
  <c r="C104" i="9"/>
  <c r="C98" i="33"/>
  <c r="E65" i="25"/>
  <c r="J66" i="49"/>
  <c r="C66" i="13"/>
  <c r="C66" i="39"/>
  <c r="C66" i="12"/>
  <c r="C66" i="33"/>
  <c r="C72" i="9"/>
  <c r="E84" i="25"/>
  <c r="J85" i="49"/>
  <c r="C85" i="13"/>
  <c r="C85" i="39"/>
  <c r="C85" i="12"/>
  <c r="C85" i="33"/>
  <c r="C91" i="9"/>
  <c r="E100" i="25"/>
  <c r="J101" i="49"/>
  <c r="C101" i="13"/>
  <c r="C101" i="39"/>
  <c r="C101" i="12"/>
  <c r="C101" i="33"/>
  <c r="C107" i="9"/>
  <c r="E67" i="25"/>
  <c r="J68" i="49"/>
  <c r="C68" i="13"/>
  <c r="C68" i="12"/>
  <c r="C68" i="39"/>
  <c r="C68" i="33"/>
  <c r="C74" i="9"/>
  <c r="E15" i="25"/>
  <c r="J16" i="49"/>
  <c r="C16" i="13"/>
  <c r="C16" i="12"/>
  <c r="C16" i="39"/>
  <c r="C16" i="33"/>
  <c r="C22" i="9"/>
  <c r="E13" i="25"/>
  <c r="J14" i="49"/>
  <c r="C14" i="13"/>
  <c r="C14" i="39"/>
  <c r="C14" i="12"/>
  <c r="C20" i="9"/>
  <c r="C14" i="33"/>
  <c r="E57" i="25"/>
  <c r="C58" i="13"/>
  <c r="J58" i="49"/>
  <c r="C58" i="39"/>
  <c r="C58" i="12"/>
  <c r="C64" i="9"/>
  <c r="C58" i="33"/>
  <c r="E59" i="25"/>
  <c r="C60" i="13"/>
  <c r="J60" i="49"/>
  <c r="C60" i="12"/>
  <c r="C60" i="39"/>
  <c r="C66" i="9"/>
  <c r="C60" i="33"/>
  <c r="E90" i="25"/>
  <c r="J91" i="49"/>
  <c r="C91" i="13"/>
  <c r="C91" i="39"/>
  <c r="C91" i="12"/>
  <c r="C91" i="33"/>
  <c r="C97" i="9"/>
  <c r="E87" i="25"/>
  <c r="J88" i="49"/>
  <c r="C88" i="13"/>
  <c r="C88" i="12"/>
  <c r="C88" i="39"/>
  <c r="C88" i="33"/>
  <c r="C94" i="9"/>
  <c r="C181" i="11"/>
  <c r="C187" i="34"/>
  <c r="E181" i="33"/>
  <c r="D181" i="37" s="1"/>
  <c r="E208" i="25"/>
  <c r="J209" i="49"/>
  <c r="C209" i="13"/>
  <c r="C209" i="39"/>
  <c r="C209" i="12"/>
  <c r="C209" i="33"/>
  <c r="C215" i="9"/>
  <c r="E287" i="25"/>
  <c r="J288" i="49"/>
  <c r="C288" i="12"/>
  <c r="C288" i="13"/>
  <c r="C288" i="39"/>
  <c r="C288" i="33"/>
  <c r="C294" i="9"/>
  <c r="C192" i="11"/>
  <c r="C198" i="34"/>
  <c r="E192" i="33"/>
  <c r="D192" i="37" s="1"/>
  <c r="C121" i="11"/>
  <c r="C127" i="34"/>
  <c r="E121" i="33"/>
  <c r="D121" i="37" s="1"/>
  <c r="E99" i="25"/>
  <c r="J100" i="49"/>
  <c r="C100" i="13"/>
  <c r="C100" i="12"/>
  <c r="C100" i="39"/>
  <c r="C100" i="33"/>
  <c r="C106" i="9"/>
  <c r="E131" i="25"/>
  <c r="J132" i="49"/>
  <c r="C132" i="13"/>
  <c r="C132" i="12"/>
  <c r="C132" i="39"/>
  <c r="C132" i="33"/>
  <c r="C138" i="9"/>
  <c r="E221" i="25"/>
  <c r="J222" i="49"/>
  <c r="C222" i="13"/>
  <c r="C222" i="39"/>
  <c r="C222" i="12"/>
  <c r="C228" i="9"/>
  <c r="C222" i="33"/>
  <c r="E141" i="25"/>
  <c r="J142" i="49"/>
  <c r="C142" i="13"/>
  <c r="C142" i="39"/>
  <c r="C142" i="12"/>
  <c r="C142" i="33"/>
  <c r="C148" i="9"/>
  <c r="E91" i="25"/>
  <c r="J92" i="49"/>
  <c r="C92" i="13"/>
  <c r="C92" i="12"/>
  <c r="C92" i="39"/>
  <c r="C92" i="33"/>
  <c r="C98" i="9"/>
  <c r="E104" i="25"/>
  <c r="J105" i="49"/>
  <c r="C105" i="13"/>
  <c r="C105" i="39"/>
  <c r="C105" i="12"/>
  <c r="C105" i="33"/>
  <c r="C111" i="9"/>
  <c r="E64" i="33"/>
  <c r="D64" i="37" s="1"/>
  <c r="C64" i="11"/>
  <c r="C70" i="34"/>
  <c r="E212" i="25"/>
  <c r="J213" i="49"/>
  <c r="C213" i="13"/>
  <c r="C213" i="39"/>
  <c r="C213" i="12"/>
  <c r="C213" i="33"/>
  <c r="C219" i="9"/>
  <c r="E193" i="25"/>
  <c r="J194" i="49"/>
  <c r="C194" i="13"/>
  <c r="C194" i="39"/>
  <c r="C194" i="12"/>
  <c r="C200" i="9"/>
  <c r="C194" i="33"/>
  <c r="C197" i="11"/>
  <c r="C203" i="34"/>
  <c r="E197" i="33"/>
  <c r="D197" i="37" s="1"/>
  <c r="C302" i="11"/>
  <c r="C308" i="34"/>
  <c r="E302" i="33"/>
  <c r="D302" i="37" s="1"/>
  <c r="C151" i="11"/>
  <c r="C157" i="34"/>
  <c r="E151" i="33"/>
  <c r="D151" i="37" s="1"/>
  <c r="C117" i="11"/>
  <c r="C123" i="34"/>
  <c r="E117" i="33"/>
  <c r="D117" i="37" s="1"/>
  <c r="E231" i="25"/>
  <c r="J232" i="49"/>
  <c r="C232" i="13"/>
  <c r="C232" i="12"/>
  <c r="C232" i="39"/>
  <c r="C232" i="33"/>
  <c r="C238" i="9"/>
  <c r="E185" i="25"/>
  <c r="J186" i="49"/>
  <c r="C186" i="13"/>
  <c r="C186" i="39"/>
  <c r="C186" i="12"/>
  <c r="C192" i="9"/>
  <c r="C186" i="33"/>
  <c r="E121" i="25"/>
  <c r="J122" i="49"/>
  <c r="C122" i="13"/>
  <c r="C122" i="39"/>
  <c r="C122" i="12"/>
  <c r="C128" i="9"/>
  <c r="C122" i="33"/>
  <c r="E264" i="25"/>
  <c r="C265" i="13"/>
  <c r="J265" i="49"/>
  <c r="C265" i="39"/>
  <c r="C265" i="12"/>
  <c r="C265" i="33"/>
  <c r="C271" i="9"/>
  <c r="E203" i="25"/>
  <c r="J204" i="49"/>
  <c r="C204" i="13"/>
  <c r="C204" i="12"/>
  <c r="C204" i="39"/>
  <c r="C210" i="9"/>
  <c r="C204" i="33"/>
  <c r="E248" i="25"/>
  <c r="C249" i="13"/>
  <c r="J249" i="49"/>
  <c r="C249" i="39"/>
  <c r="C249" i="12"/>
  <c r="C249" i="33"/>
  <c r="C255" i="9"/>
  <c r="E243" i="25"/>
  <c r="J244" i="49"/>
  <c r="C244" i="13"/>
  <c r="C244" i="12"/>
  <c r="C244" i="39"/>
  <c r="C244" i="33"/>
  <c r="C250" i="9"/>
  <c r="E183" i="33"/>
  <c r="D183" i="37" s="1"/>
  <c r="C183" i="11"/>
  <c r="C189" i="34"/>
  <c r="E294" i="25"/>
  <c r="J295" i="49"/>
  <c r="C295" i="13"/>
  <c r="C295" i="39"/>
  <c r="C295" i="12"/>
  <c r="C295" i="33"/>
  <c r="C301" i="9"/>
  <c r="E292" i="25"/>
  <c r="J293" i="49"/>
  <c r="C293" i="13"/>
  <c r="C293" i="39"/>
  <c r="C293" i="12"/>
  <c r="C293" i="33"/>
  <c r="C299" i="9"/>
  <c r="E171" i="25"/>
  <c r="J172" i="49"/>
  <c r="C172" i="13"/>
  <c r="C172" i="12"/>
  <c r="C172" i="39"/>
  <c r="C172" i="33"/>
  <c r="C178" i="9"/>
  <c r="E244" i="25"/>
  <c r="J245" i="49"/>
  <c r="C245" i="13"/>
  <c r="C245" i="39"/>
  <c r="C245" i="12"/>
  <c r="C245" i="33"/>
  <c r="C251" i="9"/>
  <c r="E205" i="25"/>
  <c r="J206" i="49"/>
  <c r="C206" i="13"/>
  <c r="C206" i="39"/>
  <c r="C206" i="12"/>
  <c r="C212" i="9"/>
  <c r="C206" i="33"/>
  <c r="J10" i="49"/>
  <c r="E9" i="25"/>
  <c r="C10" i="13"/>
  <c r="C10" i="39"/>
  <c r="C10" i="12"/>
  <c r="C16" i="9"/>
  <c r="C10" i="33"/>
  <c r="E25" i="25"/>
  <c r="J26" i="49"/>
  <c r="C26" i="13"/>
  <c r="C26" i="39"/>
  <c r="C26" i="12"/>
  <c r="C26" i="33"/>
  <c r="C32" i="9"/>
  <c r="E19" i="25"/>
  <c r="J20" i="49"/>
  <c r="C20" i="13"/>
  <c r="C20" i="12"/>
  <c r="C20" i="39"/>
  <c r="C26" i="9"/>
  <c r="C20" i="33"/>
  <c r="E43" i="25"/>
  <c r="C44" i="13"/>
  <c r="J44" i="49"/>
  <c r="C44" i="12"/>
  <c r="C44" i="39"/>
  <c r="C44" i="33"/>
  <c r="C50" i="9"/>
  <c r="C119" i="11"/>
  <c r="C125" i="34"/>
  <c r="E119" i="33"/>
  <c r="D119" i="37" s="1"/>
  <c r="E122" i="25"/>
  <c r="J123" i="49"/>
  <c r="C123" i="13"/>
  <c r="C123" i="39"/>
  <c r="C123" i="12"/>
  <c r="C123" i="33"/>
  <c r="C129" i="9"/>
  <c r="E195" i="25"/>
  <c r="J196" i="49"/>
  <c r="C196" i="13"/>
  <c r="C196" i="12"/>
  <c r="C196" i="39"/>
  <c r="C196" i="33"/>
  <c r="C202" i="9"/>
  <c r="C267" i="11"/>
  <c r="C273" i="34"/>
  <c r="E267" i="33"/>
  <c r="D267" i="37" s="1"/>
  <c r="E129" i="25"/>
  <c r="J130" i="49"/>
  <c r="C130" i="13"/>
  <c r="C130" i="39"/>
  <c r="C130" i="12"/>
  <c r="C136" i="9"/>
  <c r="C130" i="33"/>
  <c r="E149" i="33"/>
  <c r="D149" i="37" s="1"/>
  <c r="C149" i="11"/>
  <c r="C155" i="34"/>
  <c r="C199" i="11"/>
  <c r="C205" i="34"/>
  <c r="E199" i="33"/>
  <c r="D199" i="37" s="1"/>
  <c r="E179" i="25"/>
  <c r="J180" i="49"/>
  <c r="C180" i="13"/>
  <c r="C180" i="12"/>
  <c r="C180" i="39"/>
  <c r="C180" i="33"/>
  <c r="C186" i="9"/>
  <c r="E107" i="25"/>
  <c r="J108" i="49"/>
  <c r="C108" i="13"/>
  <c r="C108" i="12"/>
  <c r="C108" i="39"/>
  <c r="C108" i="33"/>
  <c r="C114" i="9"/>
  <c r="E242" i="25"/>
  <c r="J243" i="49"/>
  <c r="C243" i="13"/>
  <c r="C243" i="39"/>
  <c r="C243" i="12"/>
  <c r="C243" i="33"/>
  <c r="C249" i="9"/>
  <c r="E263" i="25"/>
  <c r="J264" i="49"/>
  <c r="C264" i="13"/>
  <c r="C264" i="12"/>
  <c r="C264" i="39"/>
  <c r="C264" i="33"/>
  <c r="C270" i="9"/>
  <c r="E98" i="25"/>
  <c r="J99" i="49"/>
  <c r="C99" i="13"/>
  <c r="C99" i="39"/>
  <c r="C99" i="12"/>
  <c r="C99" i="33"/>
  <c r="C105" i="9"/>
  <c r="E66" i="25"/>
  <c r="C67" i="13"/>
  <c r="J67" i="49"/>
  <c r="C67" i="39"/>
  <c r="C67" i="12"/>
  <c r="C67" i="33"/>
  <c r="C73" i="9"/>
  <c r="E149" i="25"/>
  <c r="J150" i="49"/>
  <c r="C150" i="13"/>
  <c r="C150" i="39"/>
  <c r="C150" i="12"/>
  <c r="C156" i="9"/>
  <c r="C150" i="33"/>
  <c r="E93" i="25"/>
  <c r="J94" i="49"/>
  <c r="C94" i="13"/>
  <c r="C94" i="39"/>
  <c r="C94" i="12"/>
  <c r="C100" i="9"/>
  <c r="C94" i="33"/>
  <c r="E41" i="25"/>
  <c r="J42" i="49"/>
  <c r="C42" i="13"/>
  <c r="C42" i="39"/>
  <c r="C42" i="12"/>
  <c r="C42" i="33"/>
  <c r="C48" i="9"/>
  <c r="E80" i="25"/>
  <c r="J81" i="49"/>
  <c r="C81" i="13"/>
  <c r="C81" i="39"/>
  <c r="C81" i="12"/>
  <c r="C81" i="33"/>
  <c r="C87" i="9"/>
  <c r="E95" i="25"/>
  <c r="J96" i="49"/>
  <c r="C96" i="13"/>
  <c r="C96" i="12"/>
  <c r="C96" i="39"/>
  <c r="C96" i="33"/>
  <c r="C102" i="9"/>
  <c r="E39" i="25"/>
  <c r="J40" i="49"/>
  <c r="C40" i="13"/>
  <c r="C40" i="12"/>
  <c r="C40" i="39"/>
  <c r="C40" i="33"/>
  <c r="C46" i="9"/>
  <c r="E27" i="25"/>
  <c r="C28" i="13"/>
  <c r="J28" i="49"/>
  <c r="C28" i="12"/>
  <c r="C28" i="39"/>
  <c r="C28" i="33"/>
  <c r="C34" i="9"/>
  <c r="E133" i="25"/>
  <c r="J134" i="49"/>
  <c r="C134" i="13"/>
  <c r="C134" i="39"/>
  <c r="C134" i="12"/>
  <c r="C140" i="9"/>
  <c r="C134" i="33"/>
  <c r="E72" i="25"/>
  <c r="J73" i="49"/>
  <c r="C73" i="13"/>
  <c r="C73" i="39"/>
  <c r="C73" i="12"/>
  <c r="C73" i="33"/>
  <c r="C79" i="9"/>
  <c r="E11" i="25"/>
  <c r="J12" i="49"/>
  <c r="C12" i="13"/>
  <c r="C12" i="12"/>
  <c r="C12" i="39"/>
  <c r="C12" i="33"/>
  <c r="C18" i="9"/>
  <c r="C193" i="11"/>
  <c r="C199" i="34"/>
  <c r="E193" i="33"/>
  <c r="D193" i="37" s="1"/>
  <c r="C153" i="11"/>
  <c r="C159" i="34"/>
  <c r="E153" i="33"/>
  <c r="D153" i="37" s="1"/>
  <c r="C246" i="11"/>
  <c r="C252" i="34"/>
  <c r="E246" i="33"/>
  <c r="D246" i="37" s="1"/>
  <c r="E265" i="25"/>
  <c r="J266" i="49"/>
  <c r="C266" i="13"/>
  <c r="C266" i="39"/>
  <c r="C266" i="12"/>
  <c r="C272" i="9"/>
  <c r="C266" i="33"/>
  <c r="E223" i="25"/>
  <c r="J224" i="49"/>
  <c r="C224" i="13"/>
  <c r="C224" i="12"/>
  <c r="C224" i="39"/>
  <c r="C224" i="33"/>
  <c r="C230" i="9"/>
  <c r="E169" i="25"/>
  <c r="J170" i="49"/>
  <c r="C170" i="13"/>
  <c r="C170" i="39"/>
  <c r="C170" i="12"/>
  <c r="C176" i="9"/>
  <c r="C170" i="33"/>
  <c r="J18" i="49"/>
  <c r="E17" i="25"/>
  <c r="C18" i="13"/>
  <c r="C18" i="39"/>
  <c r="C18" i="12"/>
  <c r="C24" i="9"/>
  <c r="C18" i="33"/>
  <c r="C226" i="11"/>
  <c r="C232" i="34"/>
  <c r="E226" i="33"/>
  <c r="D226" i="37" s="1"/>
  <c r="E234" i="25"/>
  <c r="J235" i="49"/>
  <c r="C235" i="13"/>
  <c r="C235" i="39"/>
  <c r="C235" i="12"/>
  <c r="C241" i="9"/>
  <c r="C235" i="33"/>
  <c r="E261" i="25"/>
  <c r="J262" i="49"/>
  <c r="C262" i="13"/>
  <c r="C262" i="39"/>
  <c r="C262" i="12"/>
  <c r="C268" i="9"/>
  <c r="C262" i="33"/>
  <c r="E165" i="25"/>
  <c r="J166" i="49"/>
  <c r="C166" i="13"/>
  <c r="C166" i="39"/>
  <c r="C166" i="12"/>
  <c r="C166" i="33"/>
  <c r="C172" i="9"/>
  <c r="E71" i="25"/>
  <c r="J72" i="49"/>
  <c r="C72" i="13"/>
  <c r="C72" i="12"/>
  <c r="C72" i="39"/>
  <c r="C72" i="33"/>
  <c r="C78" i="9"/>
  <c r="C205" i="11"/>
  <c r="C211" i="34"/>
  <c r="E205" i="33"/>
  <c r="D205" i="37" s="1"/>
  <c r="C300" i="11"/>
  <c r="C306" i="34"/>
  <c r="E300" i="33"/>
  <c r="D300" i="37" s="1"/>
  <c r="E280" i="25"/>
  <c r="J281" i="49"/>
  <c r="C281" i="13"/>
  <c r="C281" i="39"/>
  <c r="C281" i="12"/>
  <c r="C281" i="33"/>
  <c r="C287" i="9"/>
  <c r="E224" i="25"/>
  <c r="J225" i="49"/>
  <c r="C225" i="13"/>
  <c r="C225" i="39"/>
  <c r="C225" i="12"/>
  <c r="C225" i="33"/>
  <c r="C231" i="9"/>
  <c r="E272" i="25"/>
  <c r="J273" i="49"/>
  <c r="C273" i="13"/>
  <c r="C273" i="39"/>
  <c r="C273" i="12"/>
  <c r="C273" i="33"/>
  <c r="C279" i="9"/>
  <c r="E290" i="25"/>
  <c r="J291" i="49"/>
  <c r="C291" i="39"/>
  <c r="C291" i="12"/>
  <c r="C291" i="13"/>
  <c r="C297" i="9"/>
  <c r="C291" i="33"/>
  <c r="E282" i="25"/>
  <c r="J283" i="49"/>
  <c r="C283" i="39"/>
  <c r="C283" i="13"/>
  <c r="C283" i="12"/>
  <c r="C289" i="9"/>
  <c r="C283" i="33"/>
  <c r="E274" i="25"/>
  <c r="J275" i="49"/>
  <c r="C275" i="39"/>
  <c r="C275" i="12"/>
  <c r="C275" i="13"/>
  <c r="C281" i="9"/>
  <c r="C275" i="33"/>
  <c r="E163" i="25"/>
  <c r="J164" i="49"/>
  <c r="C164" i="13"/>
  <c r="C164" i="12"/>
  <c r="C164" i="39"/>
  <c r="C170" i="9"/>
  <c r="C164" i="33"/>
  <c r="E123" i="25"/>
  <c r="J124" i="49"/>
  <c r="C124" i="13"/>
  <c r="C124" i="12"/>
  <c r="C124" i="39"/>
  <c r="C124" i="33"/>
  <c r="C130" i="9"/>
  <c r="E232" i="25"/>
  <c r="J233" i="49"/>
  <c r="C233" i="13"/>
  <c r="C233" i="39"/>
  <c r="C233" i="12"/>
  <c r="C233" i="33"/>
  <c r="C239" i="9"/>
  <c r="E267" i="25"/>
  <c r="J268" i="49"/>
  <c r="C268" i="13"/>
  <c r="C268" i="12"/>
  <c r="C268" i="39"/>
  <c r="C274" i="9"/>
  <c r="C268" i="33"/>
  <c r="E230" i="25"/>
  <c r="J231" i="49"/>
  <c r="C231" i="13"/>
  <c r="C231" i="39"/>
  <c r="C231" i="12"/>
  <c r="C231" i="33"/>
  <c r="C237" i="9"/>
  <c r="E253" i="25"/>
  <c r="J254" i="49"/>
  <c r="C254" i="13"/>
  <c r="C254" i="39"/>
  <c r="C254" i="12"/>
  <c r="C260" i="9"/>
  <c r="C254" i="33"/>
  <c r="C168" i="11"/>
  <c r="C174" i="34"/>
  <c r="E168" i="33"/>
  <c r="D168" i="37" s="1"/>
  <c r="E86" i="25"/>
  <c r="J87" i="49"/>
  <c r="C87" i="13"/>
  <c r="C87" i="39"/>
  <c r="C87" i="12"/>
  <c r="C93" i="9"/>
  <c r="C87" i="33"/>
  <c r="E189" i="25"/>
  <c r="J190" i="49"/>
  <c r="C190" i="13"/>
  <c r="C190" i="39"/>
  <c r="C190" i="12"/>
  <c r="C196" i="9"/>
  <c r="C190" i="33"/>
  <c r="E125" i="25"/>
  <c r="J126" i="49"/>
  <c r="C126" i="13"/>
  <c r="C126" i="39"/>
  <c r="C126" i="12"/>
  <c r="C126" i="33"/>
  <c r="C132" i="9"/>
  <c r="E81" i="25"/>
  <c r="J82" i="49"/>
  <c r="C82" i="13"/>
  <c r="C82" i="39"/>
  <c r="C82" i="12"/>
  <c r="C82" i="33"/>
  <c r="C88" i="9"/>
  <c r="E102" i="25"/>
  <c r="J103" i="49"/>
  <c r="C103" i="13"/>
  <c r="C103" i="39"/>
  <c r="C103" i="12"/>
  <c r="C109" i="9"/>
  <c r="C103" i="33"/>
  <c r="E68" i="25"/>
  <c r="J69" i="49"/>
  <c r="C69" i="13"/>
  <c r="C69" i="39"/>
  <c r="C69" i="12"/>
  <c r="C69" i="33"/>
  <c r="C75" i="9"/>
  <c r="E83" i="25"/>
  <c r="J84" i="49"/>
  <c r="C84" i="13"/>
  <c r="C84" i="12"/>
  <c r="C84" i="39"/>
  <c r="C84" i="33"/>
  <c r="C90" i="9"/>
  <c r="E47" i="25"/>
  <c r="J48" i="49"/>
  <c r="C48" i="13"/>
  <c r="C48" i="12"/>
  <c r="C48" i="39"/>
  <c r="C48" i="33"/>
  <c r="C54" i="9"/>
  <c r="E45" i="25"/>
  <c r="J46" i="49"/>
  <c r="C46" i="13"/>
  <c r="C46" i="39"/>
  <c r="C46" i="12"/>
  <c r="C52" i="9"/>
  <c r="C46" i="33"/>
  <c r="E35" i="25"/>
  <c r="J36" i="49"/>
  <c r="C36" i="13"/>
  <c r="C36" i="12"/>
  <c r="C36" i="39"/>
  <c r="C42" i="9"/>
  <c r="C36" i="33"/>
  <c r="E7" i="25"/>
  <c r="C8" i="13"/>
  <c r="J8" i="49"/>
  <c r="C8" i="12"/>
  <c r="C8" i="39"/>
  <c r="C8" i="33"/>
  <c r="C14" i="9"/>
  <c r="E51" i="25"/>
  <c r="C52" i="13"/>
  <c r="J52" i="49"/>
  <c r="C52" i="12"/>
  <c r="C52" i="39"/>
  <c r="C52" i="33"/>
  <c r="C58" i="9"/>
  <c r="E69" i="25"/>
  <c r="J70" i="49"/>
  <c r="C70" i="13"/>
  <c r="C70" i="39"/>
  <c r="C70" i="12"/>
  <c r="C76" i="9"/>
  <c r="C70" i="33"/>
  <c r="E53" i="25"/>
  <c r="J54" i="49"/>
  <c r="C54" i="13"/>
  <c r="C54" i="39"/>
  <c r="C54" i="12"/>
  <c r="C60" i="9"/>
  <c r="C54" i="33"/>
  <c r="C191" i="11"/>
  <c r="C197" i="34"/>
  <c r="E191" i="33"/>
  <c r="D191" i="37" s="1"/>
  <c r="E300" i="25"/>
  <c r="J301" i="49"/>
  <c r="C301" i="13"/>
  <c r="C301" i="39"/>
  <c r="C301" i="12"/>
  <c r="C301" i="33"/>
  <c r="C307" i="9"/>
  <c r="E209" i="25"/>
  <c r="J210" i="49"/>
  <c r="C210" i="13"/>
  <c r="C210" i="39"/>
  <c r="C210" i="12"/>
  <c r="C210" i="33"/>
  <c r="C216" i="9"/>
  <c r="E214" i="25"/>
  <c r="J215" i="49"/>
  <c r="C215" i="13"/>
  <c r="C215" i="39"/>
  <c r="C215" i="12"/>
  <c r="C221" i="9"/>
  <c r="C215" i="33"/>
  <c r="E213" i="25"/>
  <c r="J214" i="49"/>
  <c r="C214" i="13"/>
  <c r="C214" i="39"/>
  <c r="C214" i="12"/>
  <c r="C220" i="9"/>
  <c r="C214" i="33"/>
  <c r="J239" i="49"/>
  <c r="E238" i="25"/>
  <c r="C239" i="13"/>
  <c r="C239" i="39"/>
  <c r="C239" i="12"/>
  <c r="C245" i="9"/>
  <c r="C239" i="33"/>
  <c r="E240" i="25"/>
  <c r="J241" i="49"/>
  <c r="C241" i="13"/>
  <c r="C241" i="39"/>
  <c r="C241" i="12"/>
  <c r="C241" i="33"/>
  <c r="C247" i="9"/>
  <c r="E94" i="25"/>
  <c r="J95" i="49"/>
  <c r="C95" i="13"/>
  <c r="C95" i="39"/>
  <c r="C95" i="12"/>
  <c r="C101" i="9"/>
  <c r="C95" i="33"/>
  <c r="E89" i="25"/>
  <c r="J90" i="49"/>
  <c r="C90" i="13"/>
  <c r="C90" i="39"/>
  <c r="C90" i="12"/>
  <c r="C96" i="9"/>
  <c r="C90" i="33"/>
  <c r="E76" i="25"/>
  <c r="J77" i="49"/>
  <c r="C77" i="13"/>
  <c r="C77" i="39"/>
  <c r="C77" i="12"/>
  <c r="C77" i="33"/>
  <c r="C83" i="9"/>
  <c r="E61" i="25"/>
  <c r="J62" i="49"/>
  <c r="C62" i="13"/>
  <c r="C62" i="39"/>
  <c r="C62" i="12"/>
  <c r="C62" i="33"/>
  <c r="C68" i="9"/>
  <c r="E108" i="25"/>
  <c r="J109" i="49"/>
  <c r="C109" i="13"/>
  <c r="C109" i="39"/>
  <c r="C109" i="12"/>
  <c r="C109" i="33"/>
  <c r="C115" i="9"/>
  <c r="E296" i="25"/>
  <c r="J297" i="49"/>
  <c r="C297" i="39"/>
  <c r="C297" i="13"/>
  <c r="C297" i="12"/>
  <c r="C297" i="33"/>
  <c r="C303" i="9"/>
  <c r="E276" i="25"/>
  <c r="J277" i="49"/>
  <c r="C277" i="13"/>
  <c r="C277" i="39"/>
  <c r="C277" i="12"/>
  <c r="C277" i="33"/>
  <c r="C283" i="9"/>
  <c r="E235" i="25"/>
  <c r="J236" i="49"/>
  <c r="C236" i="13"/>
  <c r="C236" i="12"/>
  <c r="C236" i="39"/>
  <c r="C242" i="9"/>
  <c r="C236" i="33"/>
  <c r="E268" i="25"/>
  <c r="J269" i="49"/>
  <c r="C269" i="13"/>
  <c r="C269" i="39"/>
  <c r="C269" i="12"/>
  <c r="C269" i="33"/>
  <c r="C275" i="9"/>
  <c r="E228" i="25"/>
  <c r="J229" i="49"/>
  <c r="C229" i="13"/>
  <c r="C229" i="39"/>
  <c r="C229" i="12"/>
  <c r="C229" i="33"/>
  <c r="C235" i="9"/>
  <c r="E115" i="25"/>
  <c r="J116" i="49"/>
  <c r="C116" i="13"/>
  <c r="C116" i="12"/>
  <c r="C116" i="39"/>
  <c r="C116" i="33"/>
  <c r="C122" i="9"/>
  <c r="E284" i="25"/>
  <c r="J285" i="49"/>
  <c r="C285" i="13"/>
  <c r="C285" i="39"/>
  <c r="C285" i="12"/>
  <c r="C285" i="33"/>
  <c r="C291" i="9"/>
  <c r="E291" i="25"/>
  <c r="C292" i="13"/>
  <c r="J292" i="49"/>
  <c r="C292" i="12"/>
  <c r="C292" i="39"/>
  <c r="C298" i="9"/>
  <c r="C292" i="33"/>
  <c r="E283" i="25"/>
  <c r="J284" i="49"/>
  <c r="C284" i="13"/>
  <c r="C284" i="12"/>
  <c r="C284" i="39"/>
  <c r="C290" i="9"/>
  <c r="C284" i="33"/>
  <c r="E275" i="25"/>
  <c r="J276" i="49"/>
  <c r="C276" i="13"/>
  <c r="C276" i="12"/>
  <c r="C276" i="39"/>
  <c r="C282" i="9"/>
  <c r="C276" i="33"/>
  <c r="E187" i="25"/>
  <c r="J188" i="49"/>
  <c r="C188" i="13"/>
  <c r="C188" i="12"/>
  <c r="C188" i="39"/>
  <c r="C194" i="9"/>
  <c r="C188" i="33"/>
  <c r="E269" i="25"/>
  <c r="J270" i="49"/>
  <c r="C270" i="39"/>
  <c r="C270" i="13"/>
  <c r="C270" i="12"/>
  <c r="C276" i="9"/>
  <c r="C270" i="33"/>
  <c r="C250" i="11"/>
  <c r="C256" i="34"/>
  <c r="E250" i="33"/>
  <c r="D250" i="37" s="1"/>
  <c r="E273" i="25"/>
  <c r="J274" i="49"/>
  <c r="C274" i="13"/>
  <c r="C274" i="39"/>
  <c r="C274" i="12"/>
  <c r="C280" i="9"/>
  <c r="C274" i="33"/>
  <c r="E177" i="25"/>
  <c r="J178" i="49"/>
  <c r="C178" i="13"/>
  <c r="C178" i="39"/>
  <c r="C178" i="12"/>
  <c r="C178" i="33"/>
  <c r="C184" i="9"/>
  <c r="E113" i="25"/>
  <c r="J114" i="49"/>
  <c r="C114" i="13"/>
  <c r="C114" i="39"/>
  <c r="C114" i="12"/>
  <c r="C120" i="9"/>
  <c r="C114" i="33"/>
  <c r="C201" i="11"/>
  <c r="C207" i="34"/>
  <c r="E201" i="33"/>
  <c r="D201" i="37" s="1"/>
  <c r="C298" i="11"/>
  <c r="C304" i="34"/>
  <c r="E298" i="33"/>
  <c r="D298" i="37" s="1"/>
  <c r="C102" i="11"/>
  <c r="C108" i="34"/>
  <c r="E102" i="33"/>
  <c r="D102" i="37" s="1"/>
  <c r="C296" i="11"/>
  <c r="C302" i="34"/>
  <c r="E296" i="33"/>
  <c r="D296" i="37" s="1"/>
  <c r="E215" i="25"/>
  <c r="J216" i="49"/>
  <c r="C216" i="13"/>
  <c r="C216" i="12"/>
  <c r="C216" i="39"/>
  <c r="C216" i="33"/>
  <c r="C222" i="9"/>
  <c r="E288" i="25"/>
  <c r="J289" i="49"/>
  <c r="C289" i="13"/>
  <c r="C289" i="39"/>
  <c r="C289" i="12"/>
  <c r="C289" i="33"/>
  <c r="C295" i="9"/>
  <c r="E256" i="25"/>
  <c r="J257" i="49"/>
  <c r="C257" i="13"/>
  <c r="C257" i="39"/>
  <c r="C257" i="12"/>
  <c r="C257" i="33"/>
  <c r="C263" i="9"/>
  <c r="E147" i="25"/>
  <c r="J148" i="49"/>
  <c r="C148" i="13"/>
  <c r="C148" i="12"/>
  <c r="C148" i="39"/>
  <c r="C148" i="33"/>
  <c r="C154" i="9"/>
  <c r="E277" i="25"/>
  <c r="J278" i="49"/>
  <c r="C278" i="13"/>
  <c r="C278" i="39"/>
  <c r="C278" i="12"/>
  <c r="C284" i="9"/>
  <c r="C278" i="33"/>
  <c r="E155" i="25"/>
  <c r="J156" i="49"/>
  <c r="C156" i="13"/>
  <c r="C156" i="12"/>
  <c r="C156" i="39"/>
  <c r="C156" i="33"/>
  <c r="C162" i="9"/>
  <c r="E241" i="25"/>
  <c r="J242" i="49"/>
  <c r="C242" i="13"/>
  <c r="C242" i="39"/>
  <c r="C242" i="12"/>
  <c r="C242" i="33"/>
  <c r="C248" i="9"/>
  <c r="E251" i="25"/>
  <c r="J252" i="49"/>
  <c r="C252" i="13"/>
  <c r="C252" i="12"/>
  <c r="C252" i="39"/>
  <c r="C258" i="9"/>
  <c r="C252" i="33"/>
  <c r="J223" i="49"/>
  <c r="E222" i="25"/>
  <c r="C223" i="13"/>
  <c r="C223" i="39"/>
  <c r="C223" i="12"/>
  <c r="C229" i="9"/>
  <c r="C223" i="33"/>
  <c r="E152" i="33"/>
  <c r="D152" i="37" s="1"/>
  <c r="C152" i="11"/>
  <c r="C158" i="34"/>
  <c r="E78" i="25"/>
  <c r="J79" i="49"/>
  <c r="C79" i="13"/>
  <c r="C79" i="39"/>
  <c r="C79" i="12"/>
  <c r="C79" i="33"/>
  <c r="C85" i="9"/>
  <c r="E173" i="25"/>
  <c r="J174" i="49"/>
  <c r="C174" i="13"/>
  <c r="C174" i="39"/>
  <c r="C174" i="12"/>
  <c r="C180" i="9"/>
  <c r="C174" i="33"/>
  <c r="E106" i="25"/>
  <c r="J107" i="49"/>
  <c r="C107" i="13"/>
  <c r="C107" i="39"/>
  <c r="C107" i="12"/>
  <c r="C107" i="33"/>
  <c r="C113" i="9"/>
  <c r="E73" i="25"/>
  <c r="J74" i="49"/>
  <c r="C74" i="13"/>
  <c r="C74" i="39"/>
  <c r="C74" i="12"/>
  <c r="C80" i="9"/>
  <c r="C74" i="33"/>
  <c r="E92" i="25"/>
  <c r="J93" i="49"/>
  <c r="C93" i="13"/>
  <c r="C93" i="39"/>
  <c r="C93" i="12"/>
  <c r="C93" i="33"/>
  <c r="C99" i="9"/>
  <c r="J34" i="49"/>
  <c r="E33" i="25"/>
  <c r="C34" i="13"/>
  <c r="C34" i="39"/>
  <c r="C34" i="12"/>
  <c r="C40" i="9"/>
  <c r="C34" i="33"/>
  <c r="E75" i="25"/>
  <c r="J76" i="49"/>
  <c r="C76" i="13"/>
  <c r="C76" i="12"/>
  <c r="C76" i="39"/>
  <c r="C82" i="9"/>
  <c r="C76" i="33"/>
  <c r="E31" i="25"/>
  <c r="J32" i="49"/>
  <c r="C32" i="13"/>
  <c r="C32" i="12"/>
  <c r="C32" i="39"/>
  <c r="C32" i="33"/>
  <c r="C38" i="9"/>
  <c r="E29" i="25"/>
  <c r="J30" i="49"/>
  <c r="C30" i="13"/>
  <c r="C30" i="39"/>
  <c r="C30" i="12"/>
  <c r="C36" i="9"/>
  <c r="C30" i="33"/>
  <c r="E197" i="25"/>
  <c r="J198" i="49"/>
  <c r="C198" i="13"/>
  <c r="C198" i="39"/>
  <c r="C198" i="12"/>
  <c r="C204" i="9"/>
  <c r="C198" i="33"/>
  <c r="E88" i="25"/>
  <c r="J89" i="49"/>
  <c r="C89" i="13"/>
  <c r="C89" i="39"/>
  <c r="C89" i="12"/>
  <c r="C89" i="33"/>
  <c r="C95" i="9"/>
  <c r="E55" i="25"/>
  <c r="J56" i="49"/>
  <c r="C56" i="13"/>
  <c r="C56" i="12"/>
  <c r="C56" i="39"/>
  <c r="C56" i="33"/>
  <c r="C62" i="9"/>
  <c r="C185" i="11"/>
  <c r="C191" i="34"/>
  <c r="E185" i="33"/>
  <c r="D185" i="37" s="1"/>
  <c r="C294" i="11"/>
  <c r="C300" i="34"/>
  <c r="E294" i="33"/>
  <c r="D294" i="37" s="1"/>
  <c r="C7" i="11"/>
  <c r="C13" i="34"/>
  <c r="E7" i="33"/>
  <c r="D7" i="37" s="1"/>
  <c r="E281" i="25"/>
  <c r="J282" i="49"/>
  <c r="C282" i="13"/>
  <c r="C282" i="39"/>
  <c r="C282" i="12"/>
  <c r="C288" i="9"/>
  <c r="C282" i="33"/>
  <c r="E220" i="25"/>
  <c r="J221" i="49"/>
  <c r="C221" i="13"/>
  <c r="C221" i="39"/>
  <c r="C221" i="12"/>
  <c r="C221" i="33"/>
  <c r="C227" i="9"/>
  <c r="E289" i="25"/>
  <c r="J290" i="49"/>
  <c r="C290" i="13"/>
  <c r="C290" i="39"/>
  <c r="C290" i="12"/>
  <c r="C296" i="9"/>
  <c r="C290" i="33"/>
  <c r="J263" i="49"/>
  <c r="E262" i="25"/>
  <c r="C263" i="13"/>
  <c r="C263" i="39"/>
  <c r="C263" i="12"/>
  <c r="C263" i="33"/>
  <c r="C269" i="9"/>
  <c r="C303" i="11"/>
  <c r="C309" i="34"/>
  <c r="E303" i="33"/>
  <c r="D303" i="37" s="1"/>
  <c r="E146" i="25"/>
  <c r="J147" i="49"/>
  <c r="C147" i="13"/>
  <c r="C147" i="39"/>
  <c r="C147" i="12"/>
  <c r="C153" i="9"/>
  <c r="C147" i="33"/>
  <c r="C238" i="11"/>
  <c r="C244" i="34"/>
  <c r="E238" i="33"/>
  <c r="D238" i="37" s="1"/>
  <c r="E257" i="25"/>
  <c r="J258" i="49"/>
  <c r="C258" i="13"/>
  <c r="C258" i="39"/>
  <c r="C258" i="12"/>
  <c r="C264" i="9"/>
  <c r="C258" i="33"/>
  <c r="E219" i="25"/>
  <c r="J220" i="49"/>
  <c r="C220" i="13"/>
  <c r="C220" i="12"/>
  <c r="C220" i="39"/>
  <c r="C226" i="9"/>
  <c r="C220" i="33"/>
  <c r="E161" i="25"/>
  <c r="J162" i="49"/>
  <c r="C162" i="13"/>
  <c r="C162" i="39"/>
  <c r="C162" i="12"/>
  <c r="C168" i="9"/>
  <c r="C162" i="33"/>
  <c r="E207" i="25"/>
  <c r="J208" i="49"/>
  <c r="C208" i="13"/>
  <c r="C208" i="12"/>
  <c r="C208" i="39"/>
  <c r="C208" i="33"/>
  <c r="C214" i="9"/>
  <c r="C112" i="11"/>
  <c r="C118" i="34"/>
  <c r="E112" i="33"/>
  <c r="D112" i="37" s="1"/>
  <c r="E179" i="33"/>
  <c r="D179" i="37" s="1"/>
  <c r="C179" i="11"/>
  <c r="C185" i="34"/>
  <c r="C234" i="11"/>
  <c r="C240" i="34"/>
  <c r="E234" i="33"/>
  <c r="D234" i="37" s="1"/>
  <c r="E247" i="25"/>
  <c r="J248" i="49"/>
  <c r="C248" i="13"/>
  <c r="C248" i="12"/>
  <c r="C248" i="39"/>
  <c r="C248" i="33"/>
  <c r="C254" i="9"/>
  <c r="E211" i="25"/>
  <c r="J212" i="49"/>
  <c r="C212" i="13"/>
  <c r="C212" i="12"/>
  <c r="C212" i="39"/>
  <c r="C212" i="33"/>
  <c r="C218" i="9"/>
  <c r="E153" i="25"/>
  <c r="J154" i="49"/>
  <c r="C154" i="13"/>
  <c r="C154" i="39"/>
  <c r="C154" i="12"/>
  <c r="C154" i="33"/>
  <c r="C160" i="9"/>
  <c r="E200" i="33"/>
  <c r="D200" i="37" s="1"/>
  <c r="C200" i="11"/>
  <c r="C206" i="34"/>
  <c r="E267" i="9"/>
  <c r="E146" i="9"/>
  <c r="E117" i="9"/>
  <c r="E31" i="9"/>
  <c r="E129" i="9"/>
  <c r="E72" i="9"/>
  <c r="E126" i="9"/>
  <c r="E20" i="9"/>
  <c r="E277" i="9"/>
  <c r="A7" i="54"/>
  <c r="B7" i="54"/>
  <c r="A8" i="54"/>
  <c r="B8" i="54"/>
  <c r="A9" i="54"/>
  <c r="B9" i="54"/>
  <c r="A10" i="54"/>
  <c r="B10" i="54"/>
  <c r="A11" i="54"/>
  <c r="B11" i="54"/>
  <c r="A12" i="54"/>
  <c r="B12" i="54"/>
  <c r="A13" i="54"/>
  <c r="B13" i="54"/>
  <c r="A14" i="54"/>
  <c r="B14" i="54"/>
  <c r="A15" i="54"/>
  <c r="B15" i="54"/>
  <c r="A16" i="54"/>
  <c r="B16" i="54"/>
  <c r="A17" i="54"/>
  <c r="B17" i="54"/>
  <c r="A18" i="54"/>
  <c r="B18" i="54"/>
  <c r="A19" i="54"/>
  <c r="B19" i="54"/>
  <c r="A20" i="54"/>
  <c r="B20" i="54"/>
  <c r="A21" i="54"/>
  <c r="B21" i="54"/>
  <c r="A22" i="54"/>
  <c r="B22" i="54"/>
  <c r="A23" i="54"/>
  <c r="B23" i="54"/>
  <c r="A24" i="54"/>
  <c r="B24" i="54"/>
  <c r="A25" i="54"/>
  <c r="B25" i="54"/>
  <c r="A26" i="54"/>
  <c r="B26" i="54"/>
  <c r="A27" i="54"/>
  <c r="B27" i="54"/>
  <c r="A28" i="54"/>
  <c r="B28" i="54"/>
  <c r="A29" i="54"/>
  <c r="B29" i="54"/>
  <c r="A30" i="54"/>
  <c r="B30" i="54"/>
  <c r="A31" i="54"/>
  <c r="B31" i="54"/>
  <c r="A32" i="54"/>
  <c r="B32" i="54"/>
  <c r="A33" i="54"/>
  <c r="B33" i="54"/>
  <c r="A34" i="54"/>
  <c r="B34" i="54"/>
  <c r="A35" i="54"/>
  <c r="B35" i="54"/>
  <c r="A36" i="54"/>
  <c r="B36" i="54"/>
  <c r="A37" i="54"/>
  <c r="B37" i="54"/>
  <c r="A38" i="54"/>
  <c r="B38" i="54"/>
  <c r="A39" i="54"/>
  <c r="B39" i="54"/>
  <c r="A40" i="54"/>
  <c r="B40" i="54"/>
  <c r="A41" i="54"/>
  <c r="B41" i="54"/>
  <c r="A42" i="54"/>
  <c r="B42" i="54"/>
  <c r="A43" i="54"/>
  <c r="B43" i="54"/>
  <c r="A44" i="54"/>
  <c r="B44" i="54"/>
  <c r="A45" i="54"/>
  <c r="B45" i="54"/>
  <c r="A46" i="54"/>
  <c r="B46" i="54"/>
  <c r="A47" i="54"/>
  <c r="B47" i="54"/>
  <c r="A48" i="54"/>
  <c r="B48" i="54"/>
  <c r="A49" i="54"/>
  <c r="B49" i="54"/>
  <c r="A50" i="54"/>
  <c r="B50" i="54"/>
  <c r="A51" i="54"/>
  <c r="B51" i="54"/>
  <c r="A52" i="54"/>
  <c r="B52" i="54"/>
  <c r="A53" i="54"/>
  <c r="B53" i="54"/>
  <c r="A54" i="54"/>
  <c r="B54" i="54"/>
  <c r="A55" i="54"/>
  <c r="B55" i="54"/>
  <c r="A56" i="54"/>
  <c r="B56" i="54"/>
  <c r="A57" i="54"/>
  <c r="B57" i="54"/>
  <c r="A58" i="54"/>
  <c r="B58" i="54"/>
  <c r="A59" i="54"/>
  <c r="B59" i="54"/>
  <c r="A60" i="54"/>
  <c r="B60" i="54"/>
  <c r="A61" i="54"/>
  <c r="B61" i="54"/>
  <c r="A62" i="54"/>
  <c r="B62" i="54"/>
  <c r="A63" i="54"/>
  <c r="B63" i="54"/>
  <c r="A64" i="54"/>
  <c r="B64" i="54"/>
  <c r="A65" i="54"/>
  <c r="B65" i="54"/>
  <c r="A66" i="54"/>
  <c r="B66" i="54"/>
  <c r="A67" i="54"/>
  <c r="B67" i="54"/>
  <c r="A68" i="54"/>
  <c r="B68" i="54"/>
  <c r="A69" i="54"/>
  <c r="B69" i="54"/>
  <c r="A70" i="54"/>
  <c r="B70" i="54"/>
  <c r="A71" i="54"/>
  <c r="B71" i="54"/>
  <c r="A72" i="54"/>
  <c r="B72" i="54"/>
  <c r="A73" i="54"/>
  <c r="B73" i="54"/>
  <c r="A74" i="54"/>
  <c r="B74" i="54"/>
  <c r="A75" i="54"/>
  <c r="B75" i="54"/>
  <c r="A76" i="54"/>
  <c r="B76" i="54"/>
  <c r="A77" i="54"/>
  <c r="B77" i="54"/>
  <c r="A78" i="54"/>
  <c r="B78" i="54"/>
  <c r="A79" i="54"/>
  <c r="B79" i="54"/>
  <c r="A80" i="54"/>
  <c r="B80" i="54"/>
  <c r="A81" i="54"/>
  <c r="B81" i="54"/>
  <c r="A82" i="54"/>
  <c r="B82" i="54"/>
  <c r="A83" i="54"/>
  <c r="B83" i="54"/>
  <c r="A84" i="54"/>
  <c r="B84" i="54"/>
  <c r="A85" i="54"/>
  <c r="B85" i="54"/>
  <c r="A86" i="54"/>
  <c r="B86" i="54"/>
  <c r="A87" i="54"/>
  <c r="B87" i="54"/>
  <c r="A88" i="54"/>
  <c r="B88" i="54"/>
  <c r="A89" i="54"/>
  <c r="B89" i="54"/>
  <c r="A90" i="54"/>
  <c r="B90" i="54"/>
  <c r="A91" i="54"/>
  <c r="B91" i="54"/>
  <c r="A92" i="54"/>
  <c r="B92" i="54"/>
  <c r="A93" i="54"/>
  <c r="B93" i="54"/>
  <c r="A94" i="54"/>
  <c r="B94" i="54"/>
  <c r="A95" i="54"/>
  <c r="B95" i="54"/>
  <c r="A96" i="54"/>
  <c r="B96" i="54"/>
  <c r="A97" i="54"/>
  <c r="B97" i="54"/>
  <c r="A98" i="54"/>
  <c r="B98" i="54"/>
  <c r="A99" i="54"/>
  <c r="B99" i="54"/>
  <c r="A100" i="54"/>
  <c r="B100" i="54"/>
  <c r="A101" i="54"/>
  <c r="B101" i="54"/>
  <c r="A102" i="54"/>
  <c r="B102" i="54"/>
  <c r="A103" i="54"/>
  <c r="B103" i="54"/>
  <c r="A104" i="54"/>
  <c r="B104" i="54"/>
  <c r="A105" i="54"/>
  <c r="B105" i="54"/>
  <c r="A106" i="54"/>
  <c r="B106" i="54"/>
  <c r="A107" i="54"/>
  <c r="B107" i="54"/>
  <c r="A108" i="54"/>
  <c r="B108" i="54"/>
  <c r="A109" i="54"/>
  <c r="B109" i="54"/>
  <c r="A110" i="54"/>
  <c r="B110" i="54"/>
  <c r="A111" i="54"/>
  <c r="B111" i="54"/>
  <c r="A112" i="54"/>
  <c r="B112" i="54"/>
  <c r="A113" i="54"/>
  <c r="B113" i="54"/>
  <c r="A114" i="54"/>
  <c r="B114" i="54"/>
  <c r="A115" i="54"/>
  <c r="B115" i="54"/>
  <c r="A116" i="54"/>
  <c r="B116" i="54"/>
  <c r="A117" i="54"/>
  <c r="B117" i="54"/>
  <c r="A118" i="54"/>
  <c r="B118" i="54"/>
  <c r="A119" i="54"/>
  <c r="B119" i="54"/>
  <c r="A120" i="54"/>
  <c r="B120" i="54"/>
  <c r="A121" i="54"/>
  <c r="B121" i="54"/>
  <c r="A122" i="54"/>
  <c r="B122" i="54"/>
  <c r="A123" i="54"/>
  <c r="B123" i="54"/>
  <c r="A124" i="54"/>
  <c r="B124" i="54"/>
  <c r="A125" i="54"/>
  <c r="B125" i="54"/>
  <c r="A126" i="54"/>
  <c r="B126" i="54"/>
  <c r="A127" i="54"/>
  <c r="B127" i="54"/>
  <c r="A128" i="54"/>
  <c r="B128" i="54"/>
  <c r="A129" i="54"/>
  <c r="B129" i="54"/>
  <c r="A130" i="54"/>
  <c r="B130" i="54"/>
  <c r="A131" i="54"/>
  <c r="B131" i="54"/>
  <c r="A132" i="54"/>
  <c r="B132" i="54"/>
  <c r="A133" i="54"/>
  <c r="B133" i="54"/>
  <c r="A134" i="54"/>
  <c r="B134" i="54"/>
  <c r="A135" i="54"/>
  <c r="B135" i="54"/>
  <c r="A136" i="54"/>
  <c r="B136" i="54"/>
  <c r="A137" i="54"/>
  <c r="B137" i="54"/>
  <c r="A138" i="54"/>
  <c r="B138" i="54"/>
  <c r="A139" i="54"/>
  <c r="B139" i="54"/>
  <c r="A140" i="54"/>
  <c r="B140" i="54"/>
  <c r="A141" i="54"/>
  <c r="B141" i="54"/>
  <c r="A142" i="54"/>
  <c r="B142" i="54"/>
  <c r="A143" i="54"/>
  <c r="B143" i="54"/>
  <c r="A144" i="54"/>
  <c r="B144" i="54"/>
  <c r="A145" i="54"/>
  <c r="B145" i="54"/>
  <c r="A146" i="54"/>
  <c r="B146" i="54"/>
  <c r="A147" i="54"/>
  <c r="B147" i="54"/>
  <c r="A148" i="54"/>
  <c r="B148" i="54"/>
  <c r="A149" i="54"/>
  <c r="B149" i="54"/>
  <c r="A150" i="54"/>
  <c r="B150" i="54"/>
  <c r="A151" i="54"/>
  <c r="B151" i="54"/>
  <c r="A152" i="54"/>
  <c r="B152" i="54"/>
  <c r="A153" i="54"/>
  <c r="B153" i="54"/>
  <c r="A154" i="54"/>
  <c r="B154" i="54"/>
  <c r="A155" i="54"/>
  <c r="B155" i="54"/>
  <c r="A156" i="54"/>
  <c r="B156" i="54"/>
  <c r="A157" i="54"/>
  <c r="B157" i="54"/>
  <c r="A158" i="54"/>
  <c r="B158" i="54"/>
  <c r="A159" i="54"/>
  <c r="B159" i="54"/>
  <c r="A160" i="54"/>
  <c r="B160" i="54"/>
  <c r="A161" i="54"/>
  <c r="B161" i="54"/>
  <c r="A162" i="54"/>
  <c r="B162" i="54"/>
  <c r="A163" i="54"/>
  <c r="B163" i="54"/>
  <c r="A164" i="54"/>
  <c r="B164" i="54"/>
  <c r="A165" i="54"/>
  <c r="B165" i="54"/>
  <c r="A166" i="54"/>
  <c r="B166" i="54"/>
  <c r="A167" i="54"/>
  <c r="B167" i="54"/>
  <c r="A168" i="54"/>
  <c r="B168" i="54"/>
  <c r="A169" i="54"/>
  <c r="B169" i="54"/>
  <c r="A170" i="54"/>
  <c r="B170" i="54"/>
  <c r="A171" i="54"/>
  <c r="B171" i="54"/>
  <c r="A172" i="54"/>
  <c r="B172" i="54"/>
  <c r="A173" i="54"/>
  <c r="B173" i="54"/>
  <c r="A174" i="54"/>
  <c r="B174" i="54"/>
  <c r="A175" i="54"/>
  <c r="B175" i="54"/>
  <c r="A176" i="54"/>
  <c r="B176" i="54"/>
  <c r="A177" i="54"/>
  <c r="B177" i="54"/>
  <c r="A178" i="54"/>
  <c r="B178" i="54"/>
  <c r="A179" i="54"/>
  <c r="B179" i="54"/>
  <c r="A180" i="54"/>
  <c r="B180" i="54"/>
  <c r="A181" i="54"/>
  <c r="B181" i="54"/>
  <c r="A182" i="54"/>
  <c r="B182" i="54"/>
  <c r="A183" i="54"/>
  <c r="B183" i="54"/>
  <c r="A184" i="54"/>
  <c r="B184" i="54"/>
  <c r="A185" i="54"/>
  <c r="B185" i="54"/>
  <c r="A186" i="54"/>
  <c r="B186" i="54"/>
  <c r="A187" i="54"/>
  <c r="B187" i="54"/>
  <c r="A188" i="54"/>
  <c r="B188" i="54"/>
  <c r="A189" i="54"/>
  <c r="B189" i="54"/>
  <c r="A190" i="54"/>
  <c r="B190" i="54"/>
  <c r="A191" i="54"/>
  <c r="B191" i="54"/>
  <c r="A192" i="54"/>
  <c r="B192" i="54"/>
  <c r="A193" i="54"/>
  <c r="B193" i="54"/>
  <c r="A194" i="54"/>
  <c r="B194" i="54"/>
  <c r="A195" i="54"/>
  <c r="B195" i="54"/>
  <c r="A196" i="54"/>
  <c r="B196" i="54"/>
  <c r="A197" i="54"/>
  <c r="B197" i="54"/>
  <c r="A198" i="54"/>
  <c r="B198" i="54"/>
  <c r="A199" i="54"/>
  <c r="B199" i="54"/>
  <c r="A200" i="54"/>
  <c r="B200" i="54"/>
  <c r="A201" i="54"/>
  <c r="B201" i="54"/>
  <c r="A202" i="54"/>
  <c r="B202" i="54"/>
  <c r="A203" i="54"/>
  <c r="B203" i="54"/>
  <c r="A204" i="54"/>
  <c r="B204" i="54"/>
  <c r="A205" i="54"/>
  <c r="B205" i="54"/>
  <c r="A206" i="54"/>
  <c r="B206" i="54"/>
  <c r="A207" i="54"/>
  <c r="B207" i="54"/>
  <c r="A208" i="54"/>
  <c r="B208" i="54"/>
  <c r="A209" i="54"/>
  <c r="B209" i="54"/>
  <c r="A210" i="54"/>
  <c r="B210" i="54"/>
  <c r="A211" i="54"/>
  <c r="B211" i="54"/>
  <c r="A212" i="54"/>
  <c r="B212" i="54"/>
  <c r="A213" i="54"/>
  <c r="B213" i="54"/>
  <c r="A214" i="54"/>
  <c r="B214" i="54"/>
  <c r="A215" i="54"/>
  <c r="B215" i="54"/>
  <c r="A216" i="54"/>
  <c r="B216" i="54"/>
  <c r="A217" i="54"/>
  <c r="B217" i="54"/>
  <c r="A218" i="54"/>
  <c r="B218" i="54"/>
  <c r="A219" i="54"/>
  <c r="B219" i="54"/>
  <c r="A220" i="54"/>
  <c r="B220" i="54"/>
  <c r="A221" i="54"/>
  <c r="B221" i="54"/>
  <c r="A222" i="54"/>
  <c r="B222" i="54"/>
  <c r="A223" i="54"/>
  <c r="B223" i="54"/>
  <c r="A224" i="54"/>
  <c r="B224" i="54"/>
  <c r="A225" i="54"/>
  <c r="B225" i="54"/>
  <c r="A226" i="54"/>
  <c r="B226" i="54"/>
  <c r="A227" i="54"/>
  <c r="B227" i="54"/>
  <c r="A228" i="54"/>
  <c r="B228" i="54"/>
  <c r="A229" i="54"/>
  <c r="B229" i="54"/>
  <c r="A230" i="54"/>
  <c r="B230" i="54"/>
  <c r="A231" i="54"/>
  <c r="B231" i="54"/>
  <c r="A232" i="54"/>
  <c r="B232" i="54"/>
  <c r="A233" i="54"/>
  <c r="B233" i="54"/>
  <c r="A234" i="54"/>
  <c r="B234" i="54"/>
  <c r="A235" i="54"/>
  <c r="B235" i="54"/>
  <c r="A236" i="54"/>
  <c r="B236" i="54"/>
  <c r="A237" i="54"/>
  <c r="B237" i="54"/>
  <c r="A238" i="54"/>
  <c r="B238" i="54"/>
  <c r="A239" i="54"/>
  <c r="B239" i="54"/>
  <c r="A240" i="54"/>
  <c r="B240" i="54"/>
  <c r="A241" i="54"/>
  <c r="B241" i="54"/>
  <c r="A242" i="54"/>
  <c r="B242" i="54"/>
  <c r="A243" i="54"/>
  <c r="B243" i="54"/>
  <c r="A244" i="54"/>
  <c r="B244" i="54"/>
  <c r="A245" i="54"/>
  <c r="B245" i="54"/>
  <c r="A246" i="54"/>
  <c r="B246" i="54"/>
  <c r="A247" i="54"/>
  <c r="B247" i="54"/>
  <c r="A248" i="54"/>
  <c r="B248" i="54"/>
  <c r="A249" i="54"/>
  <c r="B249" i="54"/>
  <c r="A250" i="54"/>
  <c r="B250" i="54"/>
  <c r="A251" i="54"/>
  <c r="B251" i="54"/>
  <c r="A252" i="54"/>
  <c r="B252" i="54"/>
  <c r="A253" i="54"/>
  <c r="B253" i="54"/>
  <c r="A254" i="54"/>
  <c r="B254" i="54"/>
  <c r="A255" i="54"/>
  <c r="B255" i="54"/>
  <c r="A256" i="54"/>
  <c r="B256" i="54"/>
  <c r="A257" i="54"/>
  <c r="B257" i="54"/>
  <c r="A258" i="54"/>
  <c r="B258" i="54"/>
  <c r="A259" i="54"/>
  <c r="B259" i="54"/>
  <c r="A260" i="54"/>
  <c r="B260" i="54"/>
  <c r="A261" i="54"/>
  <c r="B261" i="54"/>
  <c r="A262" i="54"/>
  <c r="B262" i="54"/>
  <c r="A263" i="54"/>
  <c r="B263" i="54"/>
  <c r="A264" i="54"/>
  <c r="B264" i="54"/>
  <c r="A265" i="54"/>
  <c r="B265" i="54"/>
  <c r="A266" i="54"/>
  <c r="B266" i="54"/>
  <c r="A267" i="54"/>
  <c r="B267" i="54"/>
  <c r="A268" i="54"/>
  <c r="B268" i="54"/>
  <c r="A269" i="54"/>
  <c r="B269" i="54"/>
  <c r="A270" i="54"/>
  <c r="B270" i="54"/>
  <c r="A271" i="54"/>
  <c r="B271" i="54"/>
  <c r="A272" i="54"/>
  <c r="B272" i="54"/>
  <c r="A273" i="54"/>
  <c r="B273" i="54"/>
  <c r="A274" i="54"/>
  <c r="B274" i="54"/>
  <c r="A275" i="54"/>
  <c r="B275" i="54"/>
  <c r="A276" i="54"/>
  <c r="B276" i="54"/>
  <c r="A277" i="54"/>
  <c r="B277" i="54"/>
  <c r="A278" i="54"/>
  <c r="B278" i="54"/>
  <c r="A279" i="54"/>
  <c r="B279" i="54"/>
  <c r="A280" i="54"/>
  <c r="B280" i="54"/>
  <c r="A281" i="54"/>
  <c r="B281" i="54"/>
  <c r="A282" i="54"/>
  <c r="B282" i="54"/>
  <c r="A283" i="54"/>
  <c r="B283" i="54"/>
  <c r="A284" i="54"/>
  <c r="B284" i="54"/>
  <c r="A285" i="54"/>
  <c r="B285" i="54"/>
  <c r="A286" i="54"/>
  <c r="B286" i="54"/>
  <c r="A287" i="54"/>
  <c r="B287" i="54"/>
  <c r="A288" i="54"/>
  <c r="B288" i="54"/>
  <c r="A289" i="54"/>
  <c r="B289" i="54"/>
  <c r="A290" i="54"/>
  <c r="B290" i="54"/>
  <c r="A291" i="54"/>
  <c r="B291" i="54"/>
  <c r="A292" i="54"/>
  <c r="B292" i="54"/>
  <c r="A293" i="54"/>
  <c r="B293" i="54"/>
  <c r="A294" i="54"/>
  <c r="B294" i="54"/>
  <c r="A295" i="54"/>
  <c r="B295" i="54"/>
  <c r="A296" i="54"/>
  <c r="B296" i="54"/>
  <c r="A297" i="54"/>
  <c r="B297" i="54"/>
  <c r="A298" i="54"/>
  <c r="B298" i="54"/>
  <c r="A299" i="54"/>
  <c r="B299" i="54"/>
  <c r="A300" i="54"/>
  <c r="B300" i="54"/>
  <c r="A301" i="54"/>
  <c r="B301" i="54"/>
  <c r="A302" i="54"/>
  <c r="B302" i="54"/>
  <c r="A303" i="54"/>
  <c r="B303" i="54"/>
  <c r="A304" i="54"/>
  <c r="B304" i="54"/>
  <c r="A305" i="54"/>
  <c r="B305" i="54"/>
  <c r="AL7" i="42"/>
  <c r="AL8" i="42"/>
  <c r="AL9" i="42"/>
  <c r="AL10" i="42"/>
  <c r="AL11" i="42"/>
  <c r="AL12" i="42"/>
  <c r="AL13" i="42"/>
  <c r="AL14" i="42"/>
  <c r="AL15" i="42"/>
  <c r="AL16" i="42"/>
  <c r="AL17" i="42"/>
  <c r="AL18" i="42"/>
  <c r="AL19" i="42"/>
  <c r="AL20" i="42"/>
  <c r="AL21" i="42"/>
  <c r="AL22" i="42"/>
  <c r="AL23" i="42"/>
  <c r="AL24" i="42"/>
  <c r="AL25" i="42"/>
  <c r="AL26" i="42"/>
  <c r="AL27" i="42"/>
  <c r="AL28" i="42"/>
  <c r="AL29" i="42"/>
  <c r="AL30" i="42"/>
  <c r="AL31" i="42"/>
  <c r="AL32" i="42"/>
  <c r="AL33" i="42"/>
  <c r="AL34" i="42"/>
  <c r="AL35" i="42"/>
  <c r="AL36" i="42"/>
  <c r="AL37" i="42"/>
  <c r="AL38" i="42"/>
  <c r="AL39" i="42"/>
  <c r="AL40" i="42"/>
  <c r="AL41" i="42"/>
  <c r="AL42" i="42"/>
  <c r="AL43" i="42"/>
  <c r="AL44" i="42"/>
  <c r="AL45" i="42"/>
  <c r="AL46" i="42"/>
  <c r="AL47" i="42"/>
  <c r="AL48" i="42"/>
  <c r="AL49" i="42"/>
  <c r="AL50" i="42"/>
  <c r="AL51" i="42"/>
  <c r="AL52" i="42"/>
  <c r="AL53" i="42"/>
  <c r="AL54" i="42"/>
  <c r="AL55" i="42"/>
  <c r="AL56" i="42"/>
  <c r="AL57" i="42"/>
  <c r="AL58" i="42"/>
  <c r="AL59" i="42"/>
  <c r="AL60" i="42"/>
  <c r="AL61" i="42"/>
  <c r="AL62" i="42"/>
  <c r="AL63" i="42"/>
  <c r="AL64" i="42"/>
  <c r="AL65" i="42"/>
  <c r="AL66" i="42"/>
  <c r="AL67" i="42"/>
  <c r="AL69" i="42"/>
  <c r="AL70" i="42"/>
  <c r="AL71" i="42"/>
  <c r="AL72" i="42"/>
  <c r="AL73" i="42"/>
  <c r="AL74" i="42"/>
  <c r="AL75" i="42"/>
  <c r="AL76" i="42"/>
  <c r="AL77" i="42"/>
  <c r="AL78" i="42"/>
  <c r="AL79" i="42"/>
  <c r="AL80" i="42"/>
  <c r="AL81" i="42"/>
  <c r="AL82" i="42"/>
  <c r="AL83" i="42"/>
  <c r="AL84" i="42"/>
  <c r="AL85" i="42"/>
  <c r="AL86" i="42"/>
  <c r="AL87" i="42"/>
  <c r="AL88" i="42"/>
  <c r="AL89" i="42"/>
  <c r="AL90" i="42"/>
  <c r="AL91" i="42"/>
  <c r="AL92" i="42"/>
  <c r="AL93" i="42"/>
  <c r="AL94" i="42"/>
  <c r="AL95" i="42"/>
  <c r="AL96" i="42"/>
  <c r="AL97" i="42"/>
  <c r="AL98" i="42"/>
  <c r="AL99" i="42"/>
  <c r="AL100" i="42"/>
  <c r="AL101" i="42"/>
  <c r="AL102" i="42"/>
  <c r="AL103" i="42"/>
  <c r="AL104" i="42"/>
  <c r="AL105" i="42"/>
  <c r="AL106" i="42"/>
  <c r="AL107" i="42"/>
  <c r="AL108" i="42"/>
  <c r="AL109" i="42"/>
  <c r="AL110" i="42"/>
  <c r="AL111" i="42"/>
  <c r="AL112" i="42"/>
  <c r="AL113" i="42"/>
  <c r="AL114" i="42"/>
  <c r="AL115" i="42"/>
  <c r="AL116" i="42"/>
  <c r="AL117" i="42"/>
  <c r="AL118" i="42"/>
  <c r="AL119" i="42"/>
  <c r="AL120" i="42"/>
  <c r="AL121" i="42"/>
  <c r="AL122" i="42"/>
  <c r="AL123" i="42"/>
  <c r="AL124" i="42"/>
  <c r="AL125" i="42"/>
  <c r="AL126" i="42"/>
  <c r="AL127" i="42"/>
  <c r="AL128" i="42"/>
  <c r="AL129" i="42"/>
  <c r="AL130" i="42"/>
  <c r="AL131" i="42"/>
  <c r="AL132" i="42"/>
  <c r="AL133" i="42"/>
  <c r="AL134" i="42"/>
  <c r="AL135" i="42"/>
  <c r="AL136" i="42"/>
  <c r="AL137" i="42"/>
  <c r="AL138" i="42"/>
  <c r="AL139" i="42"/>
  <c r="AL140" i="42"/>
  <c r="AL141" i="42"/>
  <c r="AL142" i="42"/>
  <c r="AL143" i="42"/>
  <c r="AL144" i="42"/>
  <c r="AL145" i="42"/>
  <c r="AL146" i="42"/>
  <c r="AL147" i="42"/>
  <c r="AL148" i="42"/>
  <c r="AL149" i="42"/>
  <c r="AL150" i="42"/>
  <c r="AL151" i="42"/>
  <c r="AL152" i="42"/>
  <c r="AL153" i="42"/>
  <c r="AL154" i="42"/>
  <c r="AL156" i="42"/>
  <c r="AL157" i="42"/>
  <c r="AL158" i="42"/>
  <c r="AL159" i="42"/>
  <c r="AL160" i="42"/>
  <c r="AL161" i="42"/>
  <c r="AL162" i="42"/>
  <c r="AL163" i="42"/>
  <c r="AL164" i="42"/>
  <c r="AL165" i="42"/>
  <c r="AL166" i="42"/>
  <c r="AL167" i="42"/>
  <c r="AL168" i="42"/>
  <c r="AL169" i="42"/>
  <c r="AL170" i="42"/>
  <c r="AL171" i="42"/>
  <c r="AL172" i="42"/>
  <c r="AL173" i="42"/>
  <c r="AL174" i="42"/>
  <c r="AL175" i="42"/>
  <c r="AL176" i="42"/>
  <c r="AL177" i="42"/>
  <c r="AL178" i="42"/>
  <c r="AL179" i="42"/>
  <c r="AL180" i="42"/>
  <c r="AL181" i="42"/>
  <c r="AL182" i="42"/>
  <c r="AL183" i="42"/>
  <c r="AL184" i="42"/>
  <c r="AL185" i="42"/>
  <c r="AL186" i="42"/>
  <c r="AL187" i="42"/>
  <c r="AL188" i="42"/>
  <c r="AL189" i="42"/>
  <c r="AL190" i="42"/>
  <c r="AL191" i="42"/>
  <c r="AL192" i="42"/>
  <c r="AL193" i="42"/>
  <c r="AL194" i="42"/>
  <c r="AL195" i="42"/>
  <c r="AL196" i="42"/>
  <c r="AL197" i="42"/>
  <c r="AL198" i="42"/>
  <c r="AL199" i="42"/>
  <c r="AL200" i="42"/>
  <c r="AL201" i="42"/>
  <c r="AL202" i="42"/>
  <c r="AL203" i="42"/>
  <c r="AL204" i="42"/>
  <c r="AL205" i="42"/>
  <c r="AL206" i="42"/>
  <c r="AL207" i="42"/>
  <c r="AL208" i="42"/>
  <c r="AL209" i="42"/>
  <c r="AL210" i="42"/>
  <c r="AL211" i="42"/>
  <c r="AL212" i="42"/>
  <c r="AL213" i="42"/>
  <c r="AL214" i="42"/>
  <c r="AL215" i="42"/>
  <c r="AL216" i="42"/>
  <c r="AL217" i="42"/>
  <c r="AL218" i="42"/>
  <c r="AL219" i="42"/>
  <c r="AL220" i="42"/>
  <c r="AL221" i="42"/>
  <c r="AL222" i="42"/>
  <c r="AL223" i="42"/>
  <c r="AL224" i="42"/>
  <c r="AL225" i="42"/>
  <c r="AL226" i="42"/>
  <c r="AL227" i="42"/>
  <c r="AL228" i="42"/>
  <c r="AL229" i="42"/>
  <c r="AL230" i="42"/>
  <c r="AL231" i="42"/>
  <c r="AL232" i="42"/>
  <c r="AL233" i="42"/>
  <c r="AL234" i="42"/>
  <c r="AL236" i="42"/>
  <c r="AL237" i="42"/>
  <c r="AL238" i="42"/>
  <c r="AL239" i="42"/>
  <c r="AL240" i="42"/>
  <c r="AL241" i="42"/>
  <c r="AL242" i="42"/>
  <c r="AL243" i="42"/>
  <c r="AL244" i="42"/>
  <c r="AL245" i="42"/>
  <c r="AL246" i="42"/>
  <c r="AL247" i="42"/>
  <c r="AL248" i="42"/>
  <c r="AL249" i="42"/>
  <c r="AL250" i="42"/>
  <c r="AL251" i="42"/>
  <c r="AL252" i="42"/>
  <c r="AL253" i="42"/>
  <c r="AL254" i="42"/>
  <c r="AL255" i="42"/>
  <c r="AL256" i="42"/>
  <c r="AL257" i="42"/>
  <c r="AL258" i="42"/>
  <c r="AL259" i="42"/>
  <c r="AL260" i="42"/>
  <c r="AL261" i="42"/>
  <c r="AL262" i="42"/>
  <c r="AL263" i="42"/>
  <c r="AL264" i="42"/>
  <c r="AL265" i="42"/>
  <c r="AL266" i="42"/>
  <c r="AL267" i="42"/>
  <c r="AL268" i="42"/>
  <c r="AL269" i="42"/>
  <c r="AL270" i="42"/>
  <c r="AL271" i="42"/>
  <c r="AL272" i="42"/>
  <c r="AL273" i="42"/>
  <c r="AL274" i="42"/>
  <c r="AL276" i="42"/>
  <c r="AL277" i="42"/>
  <c r="AL278" i="42"/>
  <c r="AL279" i="42"/>
  <c r="AL280" i="42"/>
  <c r="AL281" i="42"/>
  <c r="AL282" i="42"/>
  <c r="AL283" i="42"/>
  <c r="AL284" i="42"/>
  <c r="AL285" i="42"/>
  <c r="AL286" i="42"/>
  <c r="AL287" i="42"/>
  <c r="AL288" i="42"/>
  <c r="AL289" i="42"/>
  <c r="AL290" i="42"/>
  <c r="AL291" i="42"/>
  <c r="AL292" i="42"/>
  <c r="AL293" i="42"/>
  <c r="AL294" i="42"/>
  <c r="AL295" i="42"/>
  <c r="AL296" i="42"/>
  <c r="AL297" i="42"/>
  <c r="AL298" i="42"/>
  <c r="AL299" i="42"/>
  <c r="AL300" i="42"/>
  <c r="AL301" i="42"/>
  <c r="AL302" i="42"/>
  <c r="AL303" i="42"/>
  <c r="AL304" i="42"/>
  <c r="AL305" i="42"/>
  <c r="AD7" i="42"/>
  <c r="AD8" i="42"/>
  <c r="AD9" i="42"/>
  <c r="AD10" i="42"/>
  <c r="AD11" i="42"/>
  <c r="AD12" i="42"/>
  <c r="AD13" i="42"/>
  <c r="AD14" i="42"/>
  <c r="AD15" i="42"/>
  <c r="AD16" i="42"/>
  <c r="AD17" i="42"/>
  <c r="AD18" i="42"/>
  <c r="AD19" i="42"/>
  <c r="AD20" i="42"/>
  <c r="AD21" i="42"/>
  <c r="AD22" i="42"/>
  <c r="AD23" i="42"/>
  <c r="AD24" i="42"/>
  <c r="AD25" i="42"/>
  <c r="AD26" i="42"/>
  <c r="AD27" i="42"/>
  <c r="AD28" i="42"/>
  <c r="AD30" i="42"/>
  <c r="AD31" i="42"/>
  <c r="AD32" i="42"/>
  <c r="AD33" i="42"/>
  <c r="AD34" i="42"/>
  <c r="AD35" i="42"/>
  <c r="AD36" i="42"/>
  <c r="AD37" i="42"/>
  <c r="AD38" i="42"/>
  <c r="AD39" i="42"/>
  <c r="AD40" i="42"/>
  <c r="AD41" i="42"/>
  <c r="AD42" i="42"/>
  <c r="AD43" i="42"/>
  <c r="AD44" i="42"/>
  <c r="AD45" i="42"/>
  <c r="AD46" i="42"/>
  <c r="AD47" i="42"/>
  <c r="AD48" i="42"/>
  <c r="AD49" i="42"/>
  <c r="AD50" i="42"/>
  <c r="AD51" i="42"/>
  <c r="AD52" i="42"/>
  <c r="AD53" i="42"/>
  <c r="AD54" i="42"/>
  <c r="AD55" i="42"/>
  <c r="AD56" i="42"/>
  <c r="AD57" i="42"/>
  <c r="AD58" i="42"/>
  <c r="AD59" i="42"/>
  <c r="AD60" i="42"/>
  <c r="AD61" i="42"/>
  <c r="AD62" i="42"/>
  <c r="AD63" i="42"/>
  <c r="AD64" i="42"/>
  <c r="AD65" i="42"/>
  <c r="AD66" i="42"/>
  <c r="AD67" i="42"/>
  <c r="AD69" i="42"/>
  <c r="AD70" i="42"/>
  <c r="AD71" i="42"/>
  <c r="AD72" i="42"/>
  <c r="AD73" i="42"/>
  <c r="AD74" i="42"/>
  <c r="AD75" i="42"/>
  <c r="AD76" i="42"/>
  <c r="AD77" i="42"/>
  <c r="AD78" i="42"/>
  <c r="AD79" i="42"/>
  <c r="AD80" i="42"/>
  <c r="AD81" i="42"/>
  <c r="AD82" i="42"/>
  <c r="AD83" i="42"/>
  <c r="AD84" i="42"/>
  <c r="AD85" i="42"/>
  <c r="AD86" i="42"/>
  <c r="AD87" i="42"/>
  <c r="AD88" i="42"/>
  <c r="AD89" i="42"/>
  <c r="AD90" i="42"/>
  <c r="AD91" i="42"/>
  <c r="AD92" i="42"/>
  <c r="AD93" i="42"/>
  <c r="AD94" i="42"/>
  <c r="AD95" i="42"/>
  <c r="AD96" i="42"/>
  <c r="AD97" i="42"/>
  <c r="AD98" i="42"/>
  <c r="AD99" i="42"/>
  <c r="AD100" i="42"/>
  <c r="AD101" i="42"/>
  <c r="AD102" i="42"/>
  <c r="AD103" i="42"/>
  <c r="AD104" i="42"/>
  <c r="AD105" i="42"/>
  <c r="AD106" i="42"/>
  <c r="AD107" i="42"/>
  <c r="AD108" i="42"/>
  <c r="AD109" i="42"/>
  <c r="AD110" i="42"/>
  <c r="AD111" i="42"/>
  <c r="AD112" i="42"/>
  <c r="AD113" i="42"/>
  <c r="AD114" i="42"/>
  <c r="AD115" i="42"/>
  <c r="AD116" i="42"/>
  <c r="AD117" i="42"/>
  <c r="AD118" i="42"/>
  <c r="AD119" i="42"/>
  <c r="AD120" i="42"/>
  <c r="AD121" i="42"/>
  <c r="AD122" i="42"/>
  <c r="AD123" i="42"/>
  <c r="AD124" i="42"/>
  <c r="AD125" i="42"/>
  <c r="AD126" i="42"/>
  <c r="AD127" i="42"/>
  <c r="AD128" i="42"/>
  <c r="AD129" i="42"/>
  <c r="AD130" i="42"/>
  <c r="AD131" i="42"/>
  <c r="AD132" i="42"/>
  <c r="AD133" i="42"/>
  <c r="AD134" i="42"/>
  <c r="AD135" i="42"/>
  <c r="AD136" i="42"/>
  <c r="AD137" i="42"/>
  <c r="AD138" i="42"/>
  <c r="AD139" i="42"/>
  <c r="AD140" i="42"/>
  <c r="AD141" i="42"/>
  <c r="AD142" i="42"/>
  <c r="AD143" i="42"/>
  <c r="AD144" i="42"/>
  <c r="AD145" i="42"/>
  <c r="AD146" i="42"/>
  <c r="AD147" i="42"/>
  <c r="AD148" i="42"/>
  <c r="AD149" i="42"/>
  <c r="AD150" i="42"/>
  <c r="AD151" i="42"/>
  <c r="AD152" i="42"/>
  <c r="AD153" i="42"/>
  <c r="AD154" i="42"/>
  <c r="AD156" i="42"/>
  <c r="AD157" i="42"/>
  <c r="AD158" i="42"/>
  <c r="AD159" i="42"/>
  <c r="AD160" i="42"/>
  <c r="AD161" i="42"/>
  <c r="AD162" i="42"/>
  <c r="AD163" i="42"/>
  <c r="AD164" i="42"/>
  <c r="AD165" i="42"/>
  <c r="AD166" i="42"/>
  <c r="AD167" i="42"/>
  <c r="AD168" i="42"/>
  <c r="AD169" i="42"/>
  <c r="AD170" i="42"/>
  <c r="AD171" i="42"/>
  <c r="AD172" i="42"/>
  <c r="AD173" i="42"/>
  <c r="AD174" i="42"/>
  <c r="AD175" i="42"/>
  <c r="AD176" i="42"/>
  <c r="AD177" i="42"/>
  <c r="AD178" i="42"/>
  <c r="AD179" i="42"/>
  <c r="AD180" i="42"/>
  <c r="AD181" i="42"/>
  <c r="AD182" i="42"/>
  <c r="AD183" i="42"/>
  <c r="AD184" i="42"/>
  <c r="AD185" i="42"/>
  <c r="AD186" i="42"/>
  <c r="AD187" i="42"/>
  <c r="AD188" i="42"/>
  <c r="AD189" i="42"/>
  <c r="AD190" i="42"/>
  <c r="AD191" i="42"/>
  <c r="AD192" i="42"/>
  <c r="AD193" i="42"/>
  <c r="AD194" i="42"/>
  <c r="AD195" i="42"/>
  <c r="AD196" i="42"/>
  <c r="AD197" i="42"/>
  <c r="AD198" i="42"/>
  <c r="AD199" i="42"/>
  <c r="AD200" i="42"/>
  <c r="AD201" i="42"/>
  <c r="AD202" i="42"/>
  <c r="AD203" i="42"/>
  <c r="AD204" i="42"/>
  <c r="AD205" i="42"/>
  <c r="AD206" i="42"/>
  <c r="AD207" i="42"/>
  <c r="AD208" i="42"/>
  <c r="AD209" i="42"/>
  <c r="AD210" i="42"/>
  <c r="AD211" i="42"/>
  <c r="AD212" i="42"/>
  <c r="AD213" i="42"/>
  <c r="AD214" i="42"/>
  <c r="AD215" i="42"/>
  <c r="AD216" i="42"/>
  <c r="AD217" i="42"/>
  <c r="AD218" i="42"/>
  <c r="AD219" i="42"/>
  <c r="AD220" i="42"/>
  <c r="AD221" i="42"/>
  <c r="AD222" i="42"/>
  <c r="AD223" i="42"/>
  <c r="AD224" i="42"/>
  <c r="AD225" i="42"/>
  <c r="AD226" i="42"/>
  <c r="AD227" i="42"/>
  <c r="AD228" i="42"/>
  <c r="AD229" i="42"/>
  <c r="AD230" i="42"/>
  <c r="AD231" i="42"/>
  <c r="AD232" i="42"/>
  <c r="AD233" i="42"/>
  <c r="AD234" i="42"/>
  <c r="AD236" i="42"/>
  <c r="AD237" i="42"/>
  <c r="AD238" i="42"/>
  <c r="AD239" i="42"/>
  <c r="AD240" i="42"/>
  <c r="AD241" i="42"/>
  <c r="AD242" i="42"/>
  <c r="AD243" i="42"/>
  <c r="AD244" i="42"/>
  <c r="AD245" i="42"/>
  <c r="AD246" i="42"/>
  <c r="AD247" i="42"/>
  <c r="AD248" i="42"/>
  <c r="AD249" i="42"/>
  <c r="AD250" i="42"/>
  <c r="AD251" i="42"/>
  <c r="AD252" i="42"/>
  <c r="AD253" i="42"/>
  <c r="AD254" i="42"/>
  <c r="AD255" i="42"/>
  <c r="AD256" i="42"/>
  <c r="AD257" i="42"/>
  <c r="AD258" i="42"/>
  <c r="AD259" i="42"/>
  <c r="AD260" i="42"/>
  <c r="AD261" i="42"/>
  <c r="AD262" i="42"/>
  <c r="AD263" i="42"/>
  <c r="AD264" i="42"/>
  <c r="AD265" i="42"/>
  <c r="AD266" i="42"/>
  <c r="AD267" i="42"/>
  <c r="AD268" i="42"/>
  <c r="AD269" i="42"/>
  <c r="AD270" i="42"/>
  <c r="AD271" i="42"/>
  <c r="AD272" i="42"/>
  <c r="AD273" i="42"/>
  <c r="AD274" i="42"/>
  <c r="AD276" i="42"/>
  <c r="AD277" i="42"/>
  <c r="AD278" i="42"/>
  <c r="AD279" i="42"/>
  <c r="AD280" i="42"/>
  <c r="AD281" i="42"/>
  <c r="AD283" i="42"/>
  <c r="AD284" i="42"/>
  <c r="AD285" i="42"/>
  <c r="AD286" i="42"/>
  <c r="AD287" i="42"/>
  <c r="AD288" i="42"/>
  <c r="AD289" i="42"/>
  <c r="AD290" i="42"/>
  <c r="AD291" i="42"/>
  <c r="AD292" i="42"/>
  <c r="AD293" i="42"/>
  <c r="AD294" i="42"/>
  <c r="AD295" i="42"/>
  <c r="AD296" i="42"/>
  <c r="AD297" i="42"/>
  <c r="AD298" i="42"/>
  <c r="AD299" i="42"/>
  <c r="AD300" i="42"/>
  <c r="AD301" i="42"/>
  <c r="AD302" i="42"/>
  <c r="AD303" i="42"/>
  <c r="AD304" i="42"/>
  <c r="AD305" i="42"/>
  <c r="C195" i="34" l="1"/>
  <c r="C189" i="11"/>
  <c r="C129" i="11"/>
  <c r="E129" i="33"/>
  <c r="D129" i="37" s="1"/>
  <c r="C135" i="34"/>
  <c r="E45" i="33"/>
  <c r="D45" i="37" s="1"/>
  <c r="C45" i="11"/>
  <c r="C51" i="34"/>
  <c r="E128" i="33"/>
  <c r="D128" i="37" s="1"/>
  <c r="C134" i="34"/>
  <c r="E136" i="33"/>
  <c r="D136" i="37" s="1"/>
  <c r="C142" i="34"/>
  <c r="E15" i="33"/>
  <c r="D15" i="37" s="1"/>
  <c r="C15" i="11"/>
  <c r="C21" i="34"/>
  <c r="C190" i="34"/>
  <c r="E57" i="33"/>
  <c r="D57" i="37" s="1"/>
  <c r="C57" i="11"/>
  <c r="C63" i="34"/>
  <c r="E41" i="33"/>
  <c r="D41" i="37" s="1"/>
  <c r="C41" i="11"/>
  <c r="C47" i="34"/>
  <c r="C49" i="34"/>
  <c r="C43" i="11"/>
  <c r="E43" i="33"/>
  <c r="D43" i="37" s="1"/>
  <c r="E35" i="33"/>
  <c r="D35" i="37" s="1"/>
  <c r="C35" i="11"/>
  <c r="C41" i="34"/>
  <c r="C63" i="11"/>
  <c r="C69" i="34"/>
  <c r="E63" i="33"/>
  <c r="D63" i="37" s="1"/>
  <c r="C53" i="11"/>
  <c r="C59" i="34"/>
  <c r="E53" i="33"/>
  <c r="D53" i="37" s="1"/>
  <c r="E25" i="33"/>
  <c r="D25" i="37" s="1"/>
  <c r="C25" i="11"/>
  <c r="C31" i="34"/>
  <c r="E127" i="33"/>
  <c r="D127" i="37" s="1"/>
  <c r="C127" i="11"/>
  <c r="C133" i="34"/>
  <c r="D21" i="19"/>
  <c r="L21" i="19" s="1"/>
  <c r="C175" i="19"/>
  <c r="L175" i="19" s="1"/>
  <c r="C113" i="19"/>
  <c r="L113" i="19" s="1"/>
  <c r="D120" i="19"/>
  <c r="L120" i="19" s="1"/>
  <c r="D137" i="19"/>
  <c r="L137" i="19" s="1"/>
  <c r="D143" i="19"/>
  <c r="L143" i="19" s="1"/>
  <c r="D261" i="19"/>
  <c r="L261" i="19" s="1"/>
  <c r="P271" i="19"/>
  <c r="R271" i="19" s="1"/>
  <c r="F271" i="49"/>
  <c r="G271" i="49" s="1"/>
  <c r="E212" i="33"/>
  <c r="D212" i="37" s="1"/>
  <c r="C212" i="11"/>
  <c r="C218" i="34"/>
  <c r="E220" i="33"/>
  <c r="D220" i="37" s="1"/>
  <c r="C220" i="11"/>
  <c r="C226" i="34"/>
  <c r="C290" i="11"/>
  <c r="C296" i="34"/>
  <c r="E290" i="33"/>
  <c r="D290" i="37" s="1"/>
  <c r="C282" i="11"/>
  <c r="C288" i="34"/>
  <c r="E282" i="33"/>
  <c r="D282" i="37" s="1"/>
  <c r="C89" i="11"/>
  <c r="C95" i="34"/>
  <c r="E89" i="33"/>
  <c r="D89" i="37" s="1"/>
  <c r="C74" i="11"/>
  <c r="C80" i="34"/>
  <c r="E74" i="33"/>
  <c r="D74" i="37" s="1"/>
  <c r="E107" i="33"/>
  <c r="D107" i="37" s="1"/>
  <c r="C107" i="11"/>
  <c r="C113" i="34"/>
  <c r="E289" i="33"/>
  <c r="D289" i="37" s="1"/>
  <c r="C289" i="11"/>
  <c r="C295" i="34"/>
  <c r="C274" i="11"/>
  <c r="C280" i="34"/>
  <c r="E274" i="33"/>
  <c r="D274" i="37" s="1"/>
  <c r="E292" i="33"/>
  <c r="D292" i="37" s="1"/>
  <c r="C292" i="11"/>
  <c r="C298" i="34"/>
  <c r="E285" i="33"/>
  <c r="D285" i="37" s="1"/>
  <c r="C285" i="11"/>
  <c r="C291" i="34"/>
  <c r="E229" i="33"/>
  <c r="D229" i="37" s="1"/>
  <c r="C229" i="11"/>
  <c r="C235" i="34"/>
  <c r="C62" i="11"/>
  <c r="C68" i="34"/>
  <c r="E62" i="33"/>
  <c r="D62" i="37" s="1"/>
  <c r="C95" i="11"/>
  <c r="C101" i="34"/>
  <c r="E95" i="33"/>
  <c r="D95" i="37" s="1"/>
  <c r="E241" i="33"/>
  <c r="D241" i="37" s="1"/>
  <c r="C241" i="11"/>
  <c r="C247" i="34"/>
  <c r="C69" i="11"/>
  <c r="C75" i="34"/>
  <c r="E69" i="33"/>
  <c r="D69" i="37" s="1"/>
  <c r="C254" i="11"/>
  <c r="C260" i="34"/>
  <c r="E254" i="33"/>
  <c r="D254" i="37" s="1"/>
  <c r="C231" i="11"/>
  <c r="C237" i="34"/>
  <c r="E231" i="33"/>
  <c r="D231" i="37" s="1"/>
  <c r="C275" i="11"/>
  <c r="C281" i="34"/>
  <c r="E275" i="33"/>
  <c r="D275" i="37" s="1"/>
  <c r="E281" i="33"/>
  <c r="D281" i="37" s="1"/>
  <c r="C281" i="11"/>
  <c r="C287" i="34"/>
  <c r="C166" i="11"/>
  <c r="C172" i="34"/>
  <c r="E166" i="33"/>
  <c r="D166" i="37" s="1"/>
  <c r="E170" i="33"/>
  <c r="D170" i="37" s="1"/>
  <c r="C170" i="11"/>
  <c r="C176" i="34"/>
  <c r="E224" i="33"/>
  <c r="D224" i="37" s="1"/>
  <c r="C224" i="11"/>
  <c r="C230" i="34"/>
  <c r="C73" i="11"/>
  <c r="C79" i="34"/>
  <c r="E73" i="33"/>
  <c r="D73" i="37" s="1"/>
  <c r="E96" i="33"/>
  <c r="D96" i="37" s="1"/>
  <c r="C96" i="11"/>
  <c r="C102" i="34"/>
  <c r="C94" i="11"/>
  <c r="C100" i="34"/>
  <c r="E94" i="33"/>
  <c r="D94" i="37" s="1"/>
  <c r="C243" i="11"/>
  <c r="C249" i="34"/>
  <c r="E243" i="33"/>
  <c r="D243" i="37" s="1"/>
  <c r="E293" i="33"/>
  <c r="D293" i="37" s="1"/>
  <c r="C293" i="11"/>
  <c r="C299" i="34"/>
  <c r="E249" i="33"/>
  <c r="D249" i="37" s="1"/>
  <c r="C249" i="11"/>
  <c r="C255" i="34"/>
  <c r="E265" i="33"/>
  <c r="D265" i="37" s="1"/>
  <c r="C265" i="11"/>
  <c r="C271" i="34"/>
  <c r="E186" i="33"/>
  <c r="D186" i="37" s="1"/>
  <c r="C186" i="11"/>
  <c r="C192" i="34"/>
  <c r="E232" i="33"/>
  <c r="D232" i="37" s="1"/>
  <c r="C232" i="11"/>
  <c r="C238" i="34"/>
  <c r="C105" i="11"/>
  <c r="C111" i="34"/>
  <c r="E105" i="33"/>
  <c r="D105" i="37" s="1"/>
  <c r="C222" i="11"/>
  <c r="C228" i="34"/>
  <c r="E222" i="33"/>
  <c r="D222" i="37" s="1"/>
  <c r="E132" i="33"/>
  <c r="D132" i="37" s="1"/>
  <c r="C132" i="11"/>
  <c r="C138" i="34"/>
  <c r="E288" i="33"/>
  <c r="D288" i="37" s="1"/>
  <c r="C288" i="11"/>
  <c r="C294" i="34"/>
  <c r="E91" i="33"/>
  <c r="D91" i="37" s="1"/>
  <c r="C91" i="11"/>
  <c r="C97" i="34"/>
  <c r="E14" i="33"/>
  <c r="D14" i="37" s="1"/>
  <c r="C14" i="11"/>
  <c r="C20" i="34"/>
  <c r="E16" i="33"/>
  <c r="D16" i="37" s="1"/>
  <c r="C16" i="11"/>
  <c r="C22" i="34"/>
  <c r="C66" i="11"/>
  <c r="C72" i="34"/>
  <c r="E66" i="33"/>
  <c r="D66" i="37" s="1"/>
  <c r="E71" i="33"/>
  <c r="D71" i="37" s="1"/>
  <c r="C71" i="11"/>
  <c r="C77" i="34"/>
  <c r="E104" i="33"/>
  <c r="D104" i="37" s="1"/>
  <c r="C104" i="11"/>
  <c r="C110" i="34"/>
  <c r="C50" i="11"/>
  <c r="C56" i="34"/>
  <c r="E50" i="33"/>
  <c r="D50" i="37" s="1"/>
  <c r="E272" i="33"/>
  <c r="D272" i="37" s="1"/>
  <c r="C272" i="11"/>
  <c r="C278" i="34"/>
  <c r="C255" i="11"/>
  <c r="C261" i="34"/>
  <c r="E255" i="33"/>
  <c r="D255" i="37" s="1"/>
  <c r="C299" i="11"/>
  <c r="C305" i="34"/>
  <c r="E299" i="33"/>
  <c r="D299" i="37" s="1"/>
  <c r="E256" i="33"/>
  <c r="D256" i="37" s="1"/>
  <c r="C256" i="11"/>
  <c r="C262" i="34"/>
  <c r="C251" i="11"/>
  <c r="C257" i="34"/>
  <c r="E251" i="33"/>
  <c r="D251" i="37" s="1"/>
  <c r="C86" i="11"/>
  <c r="C92" i="34"/>
  <c r="E86" i="33"/>
  <c r="D86" i="37" s="1"/>
  <c r="C97" i="11"/>
  <c r="C103" i="34"/>
  <c r="E97" i="33"/>
  <c r="D97" i="37" s="1"/>
  <c r="C182" i="11"/>
  <c r="C188" i="34"/>
  <c r="E182" i="33"/>
  <c r="D182" i="37" s="1"/>
  <c r="C83" i="11"/>
  <c r="C89" i="34"/>
  <c r="E83" i="33"/>
  <c r="D83" i="37" s="1"/>
  <c r="E260" i="33"/>
  <c r="D260" i="37" s="1"/>
  <c r="C260" i="11"/>
  <c r="C266" i="34"/>
  <c r="C106" i="11"/>
  <c r="C112" i="34"/>
  <c r="E106" i="33"/>
  <c r="D106" i="37" s="1"/>
  <c r="E154" i="33"/>
  <c r="D154" i="37" s="1"/>
  <c r="C154" i="11"/>
  <c r="C160" i="34"/>
  <c r="E162" i="33"/>
  <c r="D162" i="37" s="1"/>
  <c r="C162" i="11"/>
  <c r="C168" i="34"/>
  <c r="C56" i="11"/>
  <c r="C62" i="34"/>
  <c r="E56" i="33"/>
  <c r="D56" i="37" s="1"/>
  <c r="E30" i="33"/>
  <c r="D30" i="37" s="1"/>
  <c r="C30" i="11"/>
  <c r="C36" i="34"/>
  <c r="E32" i="33"/>
  <c r="D32" i="37" s="1"/>
  <c r="C32" i="11"/>
  <c r="C38" i="34"/>
  <c r="E257" i="33"/>
  <c r="D257" i="37" s="1"/>
  <c r="C257" i="11"/>
  <c r="C263" i="34"/>
  <c r="E284" i="33"/>
  <c r="D284" i="37" s="1"/>
  <c r="C284" i="11"/>
  <c r="C290" i="34"/>
  <c r="E116" i="33"/>
  <c r="D116" i="37" s="1"/>
  <c r="C116" i="11"/>
  <c r="C122" i="34"/>
  <c r="E236" i="33"/>
  <c r="D236" i="37" s="1"/>
  <c r="C236" i="11"/>
  <c r="C242" i="34"/>
  <c r="C109" i="11"/>
  <c r="C115" i="34"/>
  <c r="E109" i="33"/>
  <c r="D109" i="37" s="1"/>
  <c r="C90" i="11"/>
  <c r="C96" i="34"/>
  <c r="E90" i="33"/>
  <c r="D90" i="37" s="1"/>
  <c r="E215" i="33"/>
  <c r="D215" i="37" s="1"/>
  <c r="C215" i="11"/>
  <c r="C221" i="34"/>
  <c r="C210" i="11"/>
  <c r="C216" i="34"/>
  <c r="E210" i="33"/>
  <c r="D210" i="37" s="1"/>
  <c r="E8" i="33"/>
  <c r="D8" i="37" s="1"/>
  <c r="C8" i="11"/>
  <c r="C14" i="34"/>
  <c r="C84" i="11"/>
  <c r="C90" i="34"/>
  <c r="E84" i="33"/>
  <c r="D84" i="37" s="1"/>
  <c r="E126" i="33"/>
  <c r="D126" i="37" s="1"/>
  <c r="C126" i="11"/>
  <c r="C132" i="34"/>
  <c r="C164" i="11"/>
  <c r="C170" i="34"/>
  <c r="E164" i="33"/>
  <c r="D164" i="37" s="1"/>
  <c r="E225" i="33"/>
  <c r="D225" i="37" s="1"/>
  <c r="C225" i="11"/>
  <c r="C231" i="34"/>
  <c r="E72" i="33"/>
  <c r="D72" i="37" s="1"/>
  <c r="C72" i="11"/>
  <c r="C78" i="34"/>
  <c r="C235" i="11"/>
  <c r="C241" i="34"/>
  <c r="E235" i="33"/>
  <c r="D235" i="37" s="1"/>
  <c r="C18" i="11"/>
  <c r="C24" i="34"/>
  <c r="E18" i="33"/>
  <c r="D18" i="37" s="1"/>
  <c r="C12" i="11"/>
  <c r="C18" i="34"/>
  <c r="E12" i="33"/>
  <c r="D12" i="37" s="1"/>
  <c r="E40" i="33"/>
  <c r="D40" i="37" s="1"/>
  <c r="C40" i="11"/>
  <c r="C46" i="34"/>
  <c r="E264" i="33"/>
  <c r="D264" i="37" s="1"/>
  <c r="C264" i="11"/>
  <c r="C270" i="34"/>
  <c r="E123" i="33"/>
  <c r="D123" i="37" s="1"/>
  <c r="C123" i="11"/>
  <c r="C129" i="34"/>
  <c r="C20" i="11"/>
  <c r="C26" i="34"/>
  <c r="E20" i="33"/>
  <c r="D20" i="37" s="1"/>
  <c r="C26" i="11"/>
  <c r="C32" i="34"/>
  <c r="E26" i="33"/>
  <c r="D26" i="37" s="1"/>
  <c r="C172" i="11"/>
  <c r="C178" i="34"/>
  <c r="E172" i="33"/>
  <c r="D172" i="37" s="1"/>
  <c r="C244" i="11"/>
  <c r="C250" i="34"/>
  <c r="E244" i="33"/>
  <c r="D244" i="37" s="1"/>
  <c r="C122" i="11"/>
  <c r="C128" i="34"/>
  <c r="E122" i="33"/>
  <c r="D122" i="37" s="1"/>
  <c r="E88" i="33"/>
  <c r="D88" i="37" s="1"/>
  <c r="C88" i="11"/>
  <c r="C94" i="34"/>
  <c r="C58" i="11"/>
  <c r="C64" i="34"/>
  <c r="E58" i="33"/>
  <c r="D58" i="37" s="1"/>
  <c r="C85" i="11"/>
  <c r="C91" i="34"/>
  <c r="E85" i="33"/>
  <c r="D85" i="37" s="1"/>
  <c r="C158" i="11"/>
  <c r="C164" i="34"/>
  <c r="E158" i="33"/>
  <c r="D158" i="37" s="1"/>
  <c r="E140" i="33"/>
  <c r="D140" i="37" s="1"/>
  <c r="C140" i="11"/>
  <c r="C146" i="34"/>
  <c r="E305" i="33"/>
  <c r="D305" i="37" s="1"/>
  <c r="C305" i="11"/>
  <c r="C311" i="34"/>
  <c r="C111" i="11"/>
  <c r="C117" i="34"/>
  <c r="E111" i="33"/>
  <c r="D111" i="37" s="1"/>
  <c r="E219" i="33"/>
  <c r="D219" i="37" s="1"/>
  <c r="C219" i="11"/>
  <c r="C225" i="34"/>
  <c r="C65" i="11"/>
  <c r="C71" i="34"/>
  <c r="E65" i="33"/>
  <c r="D65" i="37" s="1"/>
  <c r="E118" i="33"/>
  <c r="D118" i="37" s="1"/>
  <c r="C118" i="11"/>
  <c r="C124" i="34"/>
  <c r="C263" i="11"/>
  <c r="C269" i="34"/>
  <c r="E263" i="33"/>
  <c r="D263" i="37" s="1"/>
  <c r="C221" i="11"/>
  <c r="C227" i="34"/>
  <c r="E221" i="33"/>
  <c r="D221" i="37" s="1"/>
  <c r="C198" i="11"/>
  <c r="C204" i="34"/>
  <c r="E198" i="33"/>
  <c r="D198" i="37" s="1"/>
  <c r="C34" i="11"/>
  <c r="C40" i="34"/>
  <c r="E34" i="33"/>
  <c r="D34" i="37" s="1"/>
  <c r="C93" i="11"/>
  <c r="C99" i="34"/>
  <c r="E93" i="33"/>
  <c r="D93" i="37" s="1"/>
  <c r="C174" i="11"/>
  <c r="C180" i="34"/>
  <c r="E174" i="33"/>
  <c r="D174" i="37" s="1"/>
  <c r="C79" i="11"/>
  <c r="C85" i="34"/>
  <c r="E79" i="33"/>
  <c r="D79" i="37" s="1"/>
  <c r="E252" i="33"/>
  <c r="D252" i="37" s="1"/>
  <c r="C252" i="11"/>
  <c r="C258" i="34"/>
  <c r="E242" i="33"/>
  <c r="D242" i="37" s="1"/>
  <c r="C242" i="11"/>
  <c r="C248" i="34"/>
  <c r="C278" i="11"/>
  <c r="C284" i="34"/>
  <c r="E278" i="33"/>
  <c r="D278" i="37" s="1"/>
  <c r="E148" i="33"/>
  <c r="D148" i="37" s="1"/>
  <c r="C148" i="11"/>
  <c r="C154" i="34"/>
  <c r="C270" i="11"/>
  <c r="C276" i="34"/>
  <c r="E270" i="33"/>
  <c r="D270" i="37" s="1"/>
  <c r="E276" i="33"/>
  <c r="D276" i="37" s="1"/>
  <c r="C276" i="11"/>
  <c r="C282" i="34"/>
  <c r="E297" i="33"/>
  <c r="D297" i="37" s="1"/>
  <c r="C297" i="11"/>
  <c r="C303" i="34"/>
  <c r="C239" i="11"/>
  <c r="C245" i="34"/>
  <c r="E239" i="33"/>
  <c r="D239" i="37" s="1"/>
  <c r="C214" i="11"/>
  <c r="C220" i="34"/>
  <c r="E214" i="33"/>
  <c r="D214" i="37" s="1"/>
  <c r="E301" i="33"/>
  <c r="D301" i="37" s="1"/>
  <c r="C301" i="11"/>
  <c r="C307" i="34"/>
  <c r="C70" i="11"/>
  <c r="C76" i="34"/>
  <c r="E70" i="33"/>
  <c r="D70" i="37" s="1"/>
  <c r="E52" i="33"/>
  <c r="D52" i="37" s="1"/>
  <c r="C52" i="11"/>
  <c r="C58" i="34"/>
  <c r="C46" i="11"/>
  <c r="C52" i="34"/>
  <c r="E46" i="33"/>
  <c r="D46" i="37" s="1"/>
  <c r="E48" i="33"/>
  <c r="D48" i="37" s="1"/>
  <c r="C48" i="11"/>
  <c r="C54" i="34"/>
  <c r="C103" i="11"/>
  <c r="C109" i="34"/>
  <c r="E103" i="33"/>
  <c r="D103" i="37" s="1"/>
  <c r="C82" i="11"/>
  <c r="C88" i="34"/>
  <c r="E82" i="33"/>
  <c r="D82" i="37" s="1"/>
  <c r="C87" i="11"/>
  <c r="C93" i="34"/>
  <c r="E87" i="33"/>
  <c r="D87" i="37" s="1"/>
  <c r="E268" i="33"/>
  <c r="D268" i="37" s="1"/>
  <c r="C268" i="11"/>
  <c r="C274" i="34"/>
  <c r="E233" i="33"/>
  <c r="D233" i="37" s="1"/>
  <c r="C233" i="11"/>
  <c r="C239" i="34"/>
  <c r="C291" i="11"/>
  <c r="C297" i="34"/>
  <c r="E291" i="33"/>
  <c r="D291" i="37" s="1"/>
  <c r="E273" i="33"/>
  <c r="D273" i="37" s="1"/>
  <c r="C273" i="11"/>
  <c r="C279" i="34"/>
  <c r="C262" i="11"/>
  <c r="C268" i="34"/>
  <c r="E262" i="33"/>
  <c r="D262" i="37" s="1"/>
  <c r="C266" i="11"/>
  <c r="C272" i="34"/>
  <c r="E266" i="33"/>
  <c r="D266" i="37" s="1"/>
  <c r="E134" i="33"/>
  <c r="D134" i="37" s="1"/>
  <c r="C134" i="11"/>
  <c r="C140" i="34"/>
  <c r="C28" i="11"/>
  <c r="C34" i="34"/>
  <c r="E28" i="33"/>
  <c r="D28" i="37" s="1"/>
  <c r="C42" i="11"/>
  <c r="C48" i="34"/>
  <c r="E42" i="33"/>
  <c r="D42" i="37" s="1"/>
  <c r="E99" i="33"/>
  <c r="D99" i="37" s="1"/>
  <c r="C99" i="11"/>
  <c r="C105" i="34"/>
  <c r="C180" i="11"/>
  <c r="C186" i="34"/>
  <c r="E180" i="33"/>
  <c r="D180" i="37" s="1"/>
  <c r="C130" i="11"/>
  <c r="C136" i="34"/>
  <c r="E130" i="33"/>
  <c r="D130" i="37" s="1"/>
  <c r="E196" i="33"/>
  <c r="D196" i="37" s="1"/>
  <c r="C196" i="11"/>
  <c r="C202" i="34"/>
  <c r="C206" i="11"/>
  <c r="C212" i="34"/>
  <c r="E206" i="33"/>
  <c r="D206" i="37" s="1"/>
  <c r="E245" i="33"/>
  <c r="D245" i="37" s="1"/>
  <c r="C245" i="11"/>
  <c r="C251" i="34"/>
  <c r="E204" i="33"/>
  <c r="D204" i="37" s="1"/>
  <c r="C204" i="11"/>
  <c r="C210" i="34"/>
  <c r="E194" i="33"/>
  <c r="D194" i="37" s="1"/>
  <c r="C194" i="11"/>
  <c r="C200" i="34"/>
  <c r="C213" i="11"/>
  <c r="C219" i="34"/>
  <c r="E213" i="33"/>
  <c r="D213" i="37" s="1"/>
  <c r="E142" i="33"/>
  <c r="D142" i="37" s="1"/>
  <c r="C142" i="11"/>
  <c r="C148" i="34"/>
  <c r="E60" i="33"/>
  <c r="D60" i="37" s="1"/>
  <c r="C60" i="11"/>
  <c r="C66" i="34"/>
  <c r="C101" i="11"/>
  <c r="C107" i="34"/>
  <c r="E101" i="33"/>
  <c r="D101" i="37" s="1"/>
  <c r="C98" i="11"/>
  <c r="C104" i="34"/>
  <c r="E98" i="33"/>
  <c r="D98" i="37" s="1"/>
  <c r="C247" i="11"/>
  <c r="C253" i="34"/>
  <c r="E247" i="33"/>
  <c r="D247" i="37" s="1"/>
  <c r="C287" i="11"/>
  <c r="C293" i="34"/>
  <c r="E287" i="33"/>
  <c r="D287" i="37" s="1"/>
  <c r="C155" i="11"/>
  <c r="C161" i="34"/>
  <c r="E155" i="33"/>
  <c r="D155" i="37" s="1"/>
  <c r="E22" i="33"/>
  <c r="D22" i="37" s="1"/>
  <c r="C22" i="11"/>
  <c r="C28" i="34"/>
  <c r="C202" i="11"/>
  <c r="C208" i="34"/>
  <c r="E202" i="33"/>
  <c r="D202" i="37" s="1"/>
  <c r="C240" i="11"/>
  <c r="C246" i="34"/>
  <c r="E240" i="33"/>
  <c r="D240" i="37" s="1"/>
  <c r="E24" i="33"/>
  <c r="D24" i="37" s="1"/>
  <c r="C24" i="11"/>
  <c r="C30" i="34"/>
  <c r="E80" i="33"/>
  <c r="D80" i="37" s="1"/>
  <c r="C80" i="11"/>
  <c r="C86" i="34"/>
  <c r="C78" i="11"/>
  <c r="C84" i="34"/>
  <c r="E78" i="33"/>
  <c r="D78" i="37" s="1"/>
  <c r="C227" i="11"/>
  <c r="C233" i="34"/>
  <c r="E227" i="33"/>
  <c r="D227" i="37" s="1"/>
  <c r="E253" i="33"/>
  <c r="D253" i="37" s="1"/>
  <c r="C253" i="11"/>
  <c r="C259" i="34"/>
  <c r="C146" i="11"/>
  <c r="C152" i="34"/>
  <c r="E146" i="33"/>
  <c r="D146" i="37" s="1"/>
  <c r="E280" i="33"/>
  <c r="D280" i="37" s="1"/>
  <c r="C280" i="11"/>
  <c r="C286" i="34"/>
  <c r="C248" i="11"/>
  <c r="C254" i="34"/>
  <c r="E248" i="33"/>
  <c r="D248" i="37" s="1"/>
  <c r="E208" i="33"/>
  <c r="D208" i="37" s="1"/>
  <c r="C208" i="11"/>
  <c r="C214" i="34"/>
  <c r="C258" i="11"/>
  <c r="C264" i="34"/>
  <c r="E258" i="33"/>
  <c r="D258" i="37" s="1"/>
  <c r="C147" i="11"/>
  <c r="C153" i="34"/>
  <c r="E147" i="33"/>
  <c r="D147" i="37" s="1"/>
  <c r="E76" i="33"/>
  <c r="D76" i="37" s="1"/>
  <c r="C76" i="11"/>
  <c r="C82" i="34"/>
  <c r="C223" i="11"/>
  <c r="C229" i="34"/>
  <c r="E223" i="33"/>
  <c r="D223" i="37" s="1"/>
  <c r="C156" i="11"/>
  <c r="C162" i="34"/>
  <c r="E156" i="33"/>
  <c r="D156" i="37" s="1"/>
  <c r="C216" i="11"/>
  <c r="C222" i="34"/>
  <c r="E216" i="33"/>
  <c r="D216" i="37" s="1"/>
  <c r="C114" i="11"/>
  <c r="C120" i="34"/>
  <c r="E114" i="33"/>
  <c r="D114" i="37" s="1"/>
  <c r="E178" i="33"/>
  <c r="D178" i="37" s="1"/>
  <c r="C178" i="11"/>
  <c r="C184" i="34"/>
  <c r="C188" i="11"/>
  <c r="C194" i="34"/>
  <c r="E188" i="33"/>
  <c r="D188" i="37" s="1"/>
  <c r="E269" i="33"/>
  <c r="D269" i="37" s="1"/>
  <c r="C269" i="11"/>
  <c r="C275" i="34"/>
  <c r="E277" i="33"/>
  <c r="D277" i="37" s="1"/>
  <c r="C277" i="11"/>
  <c r="C283" i="34"/>
  <c r="C77" i="11"/>
  <c r="C83" i="34"/>
  <c r="E77" i="33"/>
  <c r="D77" i="37" s="1"/>
  <c r="C54" i="11"/>
  <c r="C60" i="34"/>
  <c r="E54" i="33"/>
  <c r="D54" i="37" s="1"/>
  <c r="C36" i="11"/>
  <c r="C42" i="34"/>
  <c r="E36" i="33"/>
  <c r="D36" i="37" s="1"/>
  <c r="C190" i="11"/>
  <c r="C196" i="34"/>
  <c r="E190" i="33"/>
  <c r="D190" i="37" s="1"/>
  <c r="E124" i="33"/>
  <c r="D124" i="37" s="1"/>
  <c r="C124" i="11"/>
  <c r="C130" i="34"/>
  <c r="C283" i="11"/>
  <c r="C289" i="34"/>
  <c r="E283" i="33"/>
  <c r="D283" i="37" s="1"/>
  <c r="C81" i="11"/>
  <c r="C87" i="34"/>
  <c r="E81" i="33"/>
  <c r="D81" i="37" s="1"/>
  <c r="C150" i="11"/>
  <c r="C156" i="34"/>
  <c r="E150" i="33"/>
  <c r="D150" i="37" s="1"/>
  <c r="C67" i="11"/>
  <c r="C73" i="34"/>
  <c r="E67" i="33"/>
  <c r="D67" i="37" s="1"/>
  <c r="E108" i="33"/>
  <c r="D108" i="37" s="1"/>
  <c r="C108" i="11"/>
  <c r="C114" i="34"/>
  <c r="E44" i="33"/>
  <c r="D44" i="37" s="1"/>
  <c r="C44" i="11"/>
  <c r="C50" i="34"/>
  <c r="C10" i="11"/>
  <c r="C16" i="34"/>
  <c r="E10" i="33"/>
  <c r="D10" i="37" s="1"/>
  <c r="C295" i="11"/>
  <c r="C301" i="34"/>
  <c r="E295" i="33"/>
  <c r="D295" i="37" s="1"/>
  <c r="E92" i="33"/>
  <c r="D92" i="37" s="1"/>
  <c r="C92" i="11"/>
  <c r="C98" i="34"/>
  <c r="E100" i="33"/>
  <c r="D100" i="37" s="1"/>
  <c r="C100" i="11"/>
  <c r="C106" i="34"/>
  <c r="C209" i="11"/>
  <c r="C215" i="34"/>
  <c r="E209" i="33"/>
  <c r="D209" i="37" s="1"/>
  <c r="E68" i="33"/>
  <c r="D68" i="37" s="1"/>
  <c r="C68" i="11"/>
  <c r="C74" i="34"/>
  <c r="C217" i="11"/>
  <c r="C223" i="34"/>
  <c r="E217" i="33"/>
  <c r="D217" i="37" s="1"/>
  <c r="C279" i="11"/>
  <c r="C285" i="34"/>
  <c r="E279" i="33"/>
  <c r="D279" i="37" s="1"/>
  <c r="C286" i="11"/>
  <c r="C292" i="34"/>
  <c r="E286" i="33"/>
  <c r="D286" i="37" s="1"/>
  <c r="E237" i="33"/>
  <c r="D237" i="37" s="1"/>
  <c r="C237" i="11"/>
  <c r="C243" i="34"/>
  <c r="C187" i="11"/>
  <c r="C193" i="34"/>
  <c r="E187" i="33"/>
  <c r="D187" i="37" s="1"/>
  <c r="C138" i="11"/>
  <c r="C144" i="34"/>
  <c r="E138" i="33"/>
  <c r="D138" i="37" s="1"/>
  <c r="E75" i="33"/>
  <c r="D75" i="37" s="1"/>
  <c r="C75" i="11"/>
  <c r="C81" i="34"/>
  <c r="E38" i="33"/>
  <c r="D38" i="37" s="1"/>
  <c r="C38" i="11"/>
  <c r="C44" i="34"/>
  <c r="A7" i="49"/>
  <c r="B7" i="49"/>
  <c r="C7" i="49"/>
  <c r="I7" i="49" s="1"/>
  <c r="A8" i="49"/>
  <c r="B8" i="49"/>
  <c r="C8" i="49"/>
  <c r="A9" i="49"/>
  <c r="B9" i="49"/>
  <c r="C9" i="49"/>
  <c r="A10" i="49"/>
  <c r="B10" i="49"/>
  <c r="C10" i="49"/>
  <c r="A11" i="49"/>
  <c r="B11" i="49"/>
  <c r="C11" i="49"/>
  <c r="A12" i="49"/>
  <c r="B12" i="49"/>
  <c r="C12" i="49"/>
  <c r="A13" i="49"/>
  <c r="B13" i="49"/>
  <c r="C13" i="49"/>
  <c r="A14" i="49"/>
  <c r="B14" i="49"/>
  <c r="C14" i="49"/>
  <c r="I14" i="49" s="1"/>
  <c r="A15" i="49"/>
  <c r="B15" i="49"/>
  <c r="C15" i="49"/>
  <c r="A16" i="49"/>
  <c r="B16" i="49"/>
  <c r="C16" i="49"/>
  <c r="A17" i="49"/>
  <c r="B17" i="49"/>
  <c r="C17" i="49"/>
  <c r="A18" i="49"/>
  <c r="B18" i="49"/>
  <c r="C18" i="49"/>
  <c r="A19" i="49"/>
  <c r="B19" i="49"/>
  <c r="C19" i="49"/>
  <c r="A20" i="49"/>
  <c r="B20" i="49"/>
  <c r="C20" i="49"/>
  <c r="A21" i="49"/>
  <c r="B21" i="49"/>
  <c r="C21" i="49"/>
  <c r="A22" i="49"/>
  <c r="B22" i="49"/>
  <c r="C22" i="49"/>
  <c r="A23" i="49"/>
  <c r="B23" i="49"/>
  <c r="C23" i="49"/>
  <c r="A24" i="49"/>
  <c r="B24" i="49"/>
  <c r="C24" i="49"/>
  <c r="A25" i="49"/>
  <c r="B25" i="49"/>
  <c r="C25" i="49"/>
  <c r="A26" i="49"/>
  <c r="B26" i="49"/>
  <c r="C26" i="49"/>
  <c r="A27" i="49"/>
  <c r="B27" i="49"/>
  <c r="C27" i="49"/>
  <c r="A28" i="49"/>
  <c r="B28" i="49"/>
  <c r="C28" i="49"/>
  <c r="A29" i="49"/>
  <c r="B29" i="49"/>
  <c r="C29" i="49"/>
  <c r="A30" i="49"/>
  <c r="B30" i="49"/>
  <c r="C30" i="49"/>
  <c r="A31" i="49"/>
  <c r="B31" i="49"/>
  <c r="C31" i="49"/>
  <c r="A32" i="49"/>
  <c r="B32" i="49"/>
  <c r="C32" i="49"/>
  <c r="A33" i="49"/>
  <c r="B33" i="49"/>
  <c r="C33" i="49"/>
  <c r="A34" i="49"/>
  <c r="B34" i="49"/>
  <c r="C34" i="49"/>
  <c r="A35" i="49"/>
  <c r="B35" i="49"/>
  <c r="C35" i="49"/>
  <c r="A36" i="49"/>
  <c r="B36" i="49"/>
  <c r="C36" i="49"/>
  <c r="A37" i="49"/>
  <c r="B37" i="49"/>
  <c r="C37" i="49"/>
  <c r="A38" i="49"/>
  <c r="B38" i="49"/>
  <c r="C38" i="49"/>
  <c r="A39" i="49"/>
  <c r="B39" i="49"/>
  <c r="C39" i="49"/>
  <c r="A40" i="49"/>
  <c r="B40" i="49"/>
  <c r="C40" i="49"/>
  <c r="A41" i="49"/>
  <c r="B41" i="49"/>
  <c r="C41" i="49"/>
  <c r="A42" i="49"/>
  <c r="B42" i="49"/>
  <c r="C42" i="49"/>
  <c r="A43" i="49"/>
  <c r="B43" i="49"/>
  <c r="C43" i="49"/>
  <c r="A44" i="49"/>
  <c r="B44" i="49"/>
  <c r="C44" i="49"/>
  <c r="A45" i="49"/>
  <c r="B45" i="49"/>
  <c r="C45" i="49"/>
  <c r="A46" i="49"/>
  <c r="B46" i="49"/>
  <c r="C46" i="49"/>
  <c r="A47" i="49"/>
  <c r="B47" i="49"/>
  <c r="C47" i="49"/>
  <c r="A48" i="49"/>
  <c r="B48" i="49"/>
  <c r="C48" i="49"/>
  <c r="A49" i="49"/>
  <c r="B49" i="49"/>
  <c r="C49" i="49"/>
  <c r="A50" i="49"/>
  <c r="B50" i="49"/>
  <c r="C50" i="49"/>
  <c r="A51" i="49"/>
  <c r="B51" i="49"/>
  <c r="C51" i="49"/>
  <c r="A52" i="49"/>
  <c r="B52" i="49"/>
  <c r="C52" i="49"/>
  <c r="A53" i="49"/>
  <c r="B53" i="49"/>
  <c r="C53" i="49"/>
  <c r="A54" i="49"/>
  <c r="B54" i="49"/>
  <c r="C54" i="49"/>
  <c r="A55" i="49"/>
  <c r="B55" i="49"/>
  <c r="C55" i="49"/>
  <c r="A56" i="49"/>
  <c r="B56" i="49"/>
  <c r="C56" i="49"/>
  <c r="A57" i="49"/>
  <c r="B57" i="49"/>
  <c r="C57" i="49"/>
  <c r="A58" i="49"/>
  <c r="B58" i="49"/>
  <c r="C58" i="49"/>
  <c r="A59" i="49"/>
  <c r="B59" i="49"/>
  <c r="C59" i="49"/>
  <c r="A60" i="49"/>
  <c r="B60" i="49"/>
  <c r="C60" i="49"/>
  <c r="A61" i="49"/>
  <c r="B61" i="49"/>
  <c r="C61" i="49"/>
  <c r="A62" i="49"/>
  <c r="B62" i="49"/>
  <c r="C62" i="49"/>
  <c r="A63" i="49"/>
  <c r="B63" i="49"/>
  <c r="C63" i="49"/>
  <c r="A64" i="49"/>
  <c r="B64" i="49"/>
  <c r="C64" i="49"/>
  <c r="A65" i="49"/>
  <c r="B65" i="49"/>
  <c r="C65" i="49"/>
  <c r="A66" i="49"/>
  <c r="B66" i="49"/>
  <c r="C66" i="49"/>
  <c r="A67" i="49"/>
  <c r="B67" i="49"/>
  <c r="C67" i="49"/>
  <c r="A68" i="49"/>
  <c r="B68" i="49"/>
  <c r="A69" i="49"/>
  <c r="B69" i="49"/>
  <c r="C69" i="49"/>
  <c r="A70" i="49"/>
  <c r="B70" i="49"/>
  <c r="C70" i="49"/>
  <c r="A71" i="49"/>
  <c r="B71" i="49"/>
  <c r="C71" i="49"/>
  <c r="A72" i="49"/>
  <c r="B72" i="49"/>
  <c r="C72" i="49"/>
  <c r="A73" i="49"/>
  <c r="B73" i="49"/>
  <c r="C73" i="49"/>
  <c r="A74" i="49"/>
  <c r="B74" i="49"/>
  <c r="C74" i="49"/>
  <c r="A75" i="49"/>
  <c r="B75" i="49"/>
  <c r="C75" i="49"/>
  <c r="A76" i="49"/>
  <c r="B76" i="49"/>
  <c r="C76" i="49"/>
  <c r="A77" i="49"/>
  <c r="B77" i="49"/>
  <c r="C77" i="49"/>
  <c r="A78" i="49"/>
  <c r="B78" i="49"/>
  <c r="C78" i="49"/>
  <c r="A79" i="49"/>
  <c r="B79" i="49"/>
  <c r="C79" i="49"/>
  <c r="A80" i="49"/>
  <c r="B80" i="49"/>
  <c r="C80" i="49"/>
  <c r="A81" i="49"/>
  <c r="B81" i="49"/>
  <c r="C81" i="49"/>
  <c r="A82" i="49"/>
  <c r="B82" i="49"/>
  <c r="C82" i="49"/>
  <c r="A83" i="49"/>
  <c r="B83" i="49"/>
  <c r="C83" i="49"/>
  <c r="A84" i="49"/>
  <c r="B84" i="49"/>
  <c r="C84" i="49"/>
  <c r="A85" i="49"/>
  <c r="B85" i="49"/>
  <c r="C85" i="49"/>
  <c r="A86" i="49"/>
  <c r="B86" i="49"/>
  <c r="C86" i="49"/>
  <c r="A87" i="49"/>
  <c r="B87" i="49"/>
  <c r="C87" i="49"/>
  <c r="A88" i="49"/>
  <c r="B88" i="49"/>
  <c r="C88" i="49"/>
  <c r="A89" i="49"/>
  <c r="B89" i="49"/>
  <c r="C89" i="49"/>
  <c r="A90" i="49"/>
  <c r="B90" i="49"/>
  <c r="C90" i="49"/>
  <c r="A91" i="49"/>
  <c r="B91" i="49"/>
  <c r="C91" i="49"/>
  <c r="A92" i="49"/>
  <c r="B92" i="49"/>
  <c r="C92" i="49"/>
  <c r="A93" i="49"/>
  <c r="B93" i="49"/>
  <c r="C93" i="49"/>
  <c r="A94" i="49"/>
  <c r="B94" i="49"/>
  <c r="C94" i="49"/>
  <c r="A95" i="49"/>
  <c r="B95" i="49"/>
  <c r="C95" i="49"/>
  <c r="A96" i="49"/>
  <c r="B96" i="49"/>
  <c r="C96" i="49"/>
  <c r="A97" i="49"/>
  <c r="B97" i="49"/>
  <c r="C97" i="49"/>
  <c r="A98" i="49"/>
  <c r="B98" i="49"/>
  <c r="C98" i="49"/>
  <c r="A99" i="49"/>
  <c r="B99" i="49"/>
  <c r="C99" i="49"/>
  <c r="A100" i="49"/>
  <c r="B100" i="49"/>
  <c r="C100" i="49"/>
  <c r="A101" i="49"/>
  <c r="B101" i="49"/>
  <c r="C101" i="49"/>
  <c r="A102" i="49"/>
  <c r="B102" i="49"/>
  <c r="C102" i="49"/>
  <c r="A103" i="49"/>
  <c r="B103" i="49"/>
  <c r="C103" i="49"/>
  <c r="A104" i="49"/>
  <c r="B104" i="49"/>
  <c r="C104" i="49"/>
  <c r="A105" i="49"/>
  <c r="B105" i="49"/>
  <c r="C105" i="49"/>
  <c r="A106" i="49"/>
  <c r="B106" i="49"/>
  <c r="C106" i="49"/>
  <c r="I106" i="49" s="1"/>
  <c r="A107" i="49"/>
  <c r="B107" i="49"/>
  <c r="C107" i="49"/>
  <c r="A108" i="49"/>
  <c r="B108" i="49"/>
  <c r="C108" i="49"/>
  <c r="I108" i="49" s="1"/>
  <c r="A109" i="49"/>
  <c r="B109" i="49"/>
  <c r="C109" i="49"/>
  <c r="A110" i="49"/>
  <c r="B110" i="49"/>
  <c r="C110" i="49"/>
  <c r="A111" i="49"/>
  <c r="B111" i="49"/>
  <c r="C111" i="49"/>
  <c r="I111" i="49" s="1"/>
  <c r="A112" i="49"/>
  <c r="B112" i="49"/>
  <c r="C112" i="49"/>
  <c r="A113" i="49"/>
  <c r="B113" i="49"/>
  <c r="C113" i="49"/>
  <c r="I113" i="49" s="1"/>
  <c r="A114" i="49"/>
  <c r="B114" i="49"/>
  <c r="C114" i="49"/>
  <c r="I114" i="49" s="1"/>
  <c r="A115" i="49"/>
  <c r="B115" i="49"/>
  <c r="C115" i="49"/>
  <c r="I115" i="49" s="1"/>
  <c r="A116" i="49"/>
  <c r="B116" i="49"/>
  <c r="C116" i="49"/>
  <c r="I116" i="49" s="1"/>
  <c r="A117" i="49"/>
  <c r="B117" i="49"/>
  <c r="C117" i="49"/>
  <c r="A118" i="49"/>
  <c r="B118" i="49"/>
  <c r="C118" i="49"/>
  <c r="I118" i="49" s="1"/>
  <c r="A119" i="49"/>
  <c r="B119" i="49"/>
  <c r="C119" i="49"/>
  <c r="A120" i="49"/>
  <c r="B120" i="49"/>
  <c r="C120" i="49"/>
  <c r="I120" i="49" s="1"/>
  <c r="A121" i="49"/>
  <c r="B121" i="49"/>
  <c r="C121" i="49"/>
  <c r="I121" i="49" s="1"/>
  <c r="A122" i="49"/>
  <c r="B122" i="49"/>
  <c r="C122" i="49"/>
  <c r="I122" i="49" s="1"/>
  <c r="A123" i="49"/>
  <c r="B123" i="49"/>
  <c r="C123" i="49"/>
  <c r="I123" i="49" s="1"/>
  <c r="A124" i="49"/>
  <c r="B124" i="49"/>
  <c r="C124" i="49"/>
  <c r="I124" i="49" s="1"/>
  <c r="A125" i="49"/>
  <c r="B125" i="49"/>
  <c r="C125" i="49"/>
  <c r="I125" i="49" s="1"/>
  <c r="A126" i="49"/>
  <c r="B126" i="49"/>
  <c r="C126" i="49"/>
  <c r="A127" i="49"/>
  <c r="B127" i="49"/>
  <c r="C127" i="49"/>
  <c r="A128" i="49"/>
  <c r="B128" i="49"/>
  <c r="C128" i="49"/>
  <c r="I128" i="49" s="1"/>
  <c r="A129" i="49"/>
  <c r="B129" i="49"/>
  <c r="C129" i="49"/>
  <c r="I129" i="49" s="1"/>
  <c r="A130" i="49"/>
  <c r="B130" i="49"/>
  <c r="C130" i="49"/>
  <c r="I130" i="49" s="1"/>
  <c r="A131" i="49"/>
  <c r="B131" i="49"/>
  <c r="C131" i="49"/>
  <c r="A132" i="49"/>
  <c r="B132" i="49"/>
  <c r="C132" i="49"/>
  <c r="A133" i="49"/>
  <c r="B133" i="49"/>
  <c r="C133" i="49"/>
  <c r="A134" i="49"/>
  <c r="B134" i="49"/>
  <c r="C134" i="49"/>
  <c r="A135" i="49"/>
  <c r="B135" i="49"/>
  <c r="C135" i="49"/>
  <c r="A136" i="49"/>
  <c r="B136" i="49"/>
  <c r="C136" i="49"/>
  <c r="A137" i="49"/>
  <c r="B137" i="49"/>
  <c r="C137" i="49"/>
  <c r="I137" i="49" s="1"/>
  <c r="A138" i="49"/>
  <c r="B138" i="49"/>
  <c r="C138" i="49"/>
  <c r="A139" i="49"/>
  <c r="B139" i="49"/>
  <c r="C139" i="49"/>
  <c r="A140" i="49"/>
  <c r="B140" i="49"/>
  <c r="C140" i="49"/>
  <c r="A141" i="49"/>
  <c r="B141" i="49"/>
  <c r="C141" i="49"/>
  <c r="A142" i="49"/>
  <c r="B142" i="49"/>
  <c r="C142" i="49"/>
  <c r="I142" i="49" s="1"/>
  <c r="A143" i="49"/>
  <c r="B143" i="49"/>
  <c r="C143" i="49"/>
  <c r="I143" i="49" s="1"/>
  <c r="A144" i="49"/>
  <c r="B144" i="49"/>
  <c r="C144" i="49"/>
  <c r="I144" i="49" s="1"/>
  <c r="A145" i="49"/>
  <c r="B145" i="49"/>
  <c r="C145" i="49"/>
  <c r="A146" i="49"/>
  <c r="B146" i="49"/>
  <c r="C146" i="49"/>
  <c r="I146" i="49" s="1"/>
  <c r="A147" i="49"/>
  <c r="B147" i="49"/>
  <c r="C147" i="49"/>
  <c r="I147" i="49" s="1"/>
  <c r="A148" i="49"/>
  <c r="B148" i="49"/>
  <c r="C148" i="49"/>
  <c r="I148" i="49" s="1"/>
  <c r="A149" i="49"/>
  <c r="B149" i="49"/>
  <c r="C149" i="49"/>
  <c r="A150" i="49"/>
  <c r="B150" i="49"/>
  <c r="C150" i="49"/>
  <c r="I150" i="49" s="1"/>
  <c r="A151" i="49"/>
  <c r="B151" i="49"/>
  <c r="C151" i="49"/>
  <c r="A152" i="49"/>
  <c r="B152" i="49"/>
  <c r="C152" i="49"/>
  <c r="A153" i="49"/>
  <c r="B153" i="49"/>
  <c r="C153" i="49"/>
  <c r="A154" i="49"/>
  <c r="B154" i="49"/>
  <c r="C154" i="49"/>
  <c r="A155" i="49"/>
  <c r="B155" i="49"/>
  <c r="A156" i="49"/>
  <c r="B156" i="49"/>
  <c r="C156" i="49"/>
  <c r="A157" i="49"/>
  <c r="B157" i="49"/>
  <c r="C157" i="49"/>
  <c r="A158" i="49"/>
  <c r="B158" i="49"/>
  <c r="C158" i="49"/>
  <c r="A159" i="49"/>
  <c r="B159" i="49"/>
  <c r="C159" i="49"/>
  <c r="A160" i="49"/>
  <c r="B160" i="49"/>
  <c r="C160" i="49"/>
  <c r="A161" i="49"/>
  <c r="B161" i="49"/>
  <c r="C161" i="49"/>
  <c r="A162" i="49"/>
  <c r="B162" i="49"/>
  <c r="C162" i="49"/>
  <c r="A163" i="49"/>
  <c r="B163" i="49"/>
  <c r="C163" i="49"/>
  <c r="A164" i="49"/>
  <c r="B164" i="49"/>
  <c r="C164" i="49"/>
  <c r="A165" i="49"/>
  <c r="B165" i="49"/>
  <c r="C165" i="49"/>
  <c r="A166" i="49"/>
  <c r="B166" i="49"/>
  <c r="C166" i="49"/>
  <c r="A167" i="49"/>
  <c r="B167" i="49"/>
  <c r="C167" i="49"/>
  <c r="A168" i="49"/>
  <c r="B168" i="49"/>
  <c r="C168" i="49"/>
  <c r="A169" i="49"/>
  <c r="B169" i="49"/>
  <c r="C169" i="49"/>
  <c r="A170" i="49"/>
  <c r="B170" i="49"/>
  <c r="C170" i="49"/>
  <c r="A171" i="49"/>
  <c r="B171" i="49"/>
  <c r="C171" i="49"/>
  <c r="A172" i="49"/>
  <c r="B172" i="49"/>
  <c r="C172" i="49"/>
  <c r="A173" i="49"/>
  <c r="B173" i="49"/>
  <c r="C173" i="49"/>
  <c r="A174" i="49"/>
  <c r="B174" i="49"/>
  <c r="C174" i="49"/>
  <c r="A175" i="49"/>
  <c r="B175" i="49"/>
  <c r="C175" i="49"/>
  <c r="A176" i="49"/>
  <c r="B176" i="49"/>
  <c r="C176" i="49"/>
  <c r="A177" i="49"/>
  <c r="B177" i="49"/>
  <c r="C177" i="49"/>
  <c r="A178" i="49"/>
  <c r="B178" i="49"/>
  <c r="C178" i="49"/>
  <c r="A179" i="49"/>
  <c r="B179" i="49"/>
  <c r="C179" i="49"/>
  <c r="A180" i="49"/>
  <c r="B180" i="49"/>
  <c r="C180" i="49"/>
  <c r="A181" i="49"/>
  <c r="B181" i="49"/>
  <c r="C181" i="49"/>
  <c r="A182" i="49"/>
  <c r="B182" i="49"/>
  <c r="C182" i="49"/>
  <c r="A183" i="49"/>
  <c r="B183" i="49"/>
  <c r="C183" i="49"/>
  <c r="A184" i="49"/>
  <c r="B184" i="49"/>
  <c r="C184" i="49"/>
  <c r="I184" i="49" s="1"/>
  <c r="A185" i="49"/>
  <c r="B185" i="49"/>
  <c r="C185" i="49"/>
  <c r="A186" i="49"/>
  <c r="B186" i="49"/>
  <c r="C186" i="49"/>
  <c r="A187" i="49"/>
  <c r="B187" i="49"/>
  <c r="C187" i="49"/>
  <c r="A188" i="49"/>
  <c r="B188" i="49"/>
  <c r="C188" i="49"/>
  <c r="A189" i="49"/>
  <c r="B189" i="49"/>
  <c r="C189" i="49"/>
  <c r="A190" i="49"/>
  <c r="B190" i="49"/>
  <c r="C190" i="49"/>
  <c r="A191" i="49"/>
  <c r="B191" i="49"/>
  <c r="C191" i="49"/>
  <c r="A192" i="49"/>
  <c r="B192" i="49"/>
  <c r="C192" i="49"/>
  <c r="A193" i="49"/>
  <c r="B193" i="49"/>
  <c r="C193" i="49"/>
  <c r="A194" i="49"/>
  <c r="B194" i="49"/>
  <c r="C194" i="49"/>
  <c r="A195" i="49"/>
  <c r="B195" i="49"/>
  <c r="C195" i="49"/>
  <c r="I195" i="49" s="1"/>
  <c r="A196" i="49"/>
  <c r="B196" i="49"/>
  <c r="C196" i="49"/>
  <c r="I196" i="49" s="1"/>
  <c r="A197" i="49"/>
  <c r="B197" i="49"/>
  <c r="C197" i="49"/>
  <c r="A198" i="49"/>
  <c r="B198" i="49"/>
  <c r="C198" i="49"/>
  <c r="A199" i="49"/>
  <c r="B199" i="49"/>
  <c r="C199" i="49"/>
  <c r="A200" i="49"/>
  <c r="B200" i="49"/>
  <c r="C200" i="49"/>
  <c r="A201" i="49"/>
  <c r="B201" i="49"/>
  <c r="C201" i="49"/>
  <c r="A202" i="49"/>
  <c r="B202" i="49"/>
  <c r="C202" i="49"/>
  <c r="A203" i="49"/>
  <c r="B203" i="49"/>
  <c r="C203" i="49"/>
  <c r="A204" i="49"/>
  <c r="B204" i="49"/>
  <c r="C204" i="49"/>
  <c r="A205" i="49"/>
  <c r="B205" i="49"/>
  <c r="C205" i="49"/>
  <c r="A206" i="49"/>
  <c r="B206" i="49"/>
  <c r="C206" i="49"/>
  <c r="A207" i="49"/>
  <c r="B207" i="49"/>
  <c r="C207" i="49"/>
  <c r="A208" i="49"/>
  <c r="B208" i="49"/>
  <c r="C208" i="49"/>
  <c r="A209" i="49"/>
  <c r="B209" i="49"/>
  <c r="C209" i="49"/>
  <c r="A210" i="49"/>
  <c r="B210" i="49"/>
  <c r="C210" i="49"/>
  <c r="A211" i="49"/>
  <c r="B211" i="49"/>
  <c r="C211" i="49"/>
  <c r="A212" i="49"/>
  <c r="B212" i="49"/>
  <c r="C212" i="49"/>
  <c r="A213" i="49"/>
  <c r="B213" i="49"/>
  <c r="C213" i="49"/>
  <c r="A214" i="49"/>
  <c r="B214" i="49"/>
  <c r="C214" i="49"/>
  <c r="A215" i="49"/>
  <c r="B215" i="49"/>
  <c r="C215" i="49"/>
  <c r="A216" i="49"/>
  <c r="B216" i="49"/>
  <c r="C216" i="49"/>
  <c r="A217" i="49"/>
  <c r="B217" i="49"/>
  <c r="C217" i="49"/>
  <c r="A218" i="49"/>
  <c r="B218" i="49"/>
  <c r="C218" i="49"/>
  <c r="A219" i="49"/>
  <c r="B219" i="49"/>
  <c r="C219" i="49"/>
  <c r="A220" i="49"/>
  <c r="B220" i="49"/>
  <c r="C220" i="49"/>
  <c r="A221" i="49"/>
  <c r="B221" i="49"/>
  <c r="C221" i="49"/>
  <c r="A222" i="49"/>
  <c r="B222" i="49"/>
  <c r="C222" i="49"/>
  <c r="A223" i="49"/>
  <c r="B223" i="49"/>
  <c r="C223" i="49"/>
  <c r="A224" i="49"/>
  <c r="B224" i="49"/>
  <c r="C224" i="49"/>
  <c r="A225" i="49"/>
  <c r="B225" i="49"/>
  <c r="C225" i="49"/>
  <c r="A226" i="49"/>
  <c r="B226" i="49"/>
  <c r="C226" i="49"/>
  <c r="A227" i="49"/>
  <c r="B227" i="49"/>
  <c r="C227" i="49"/>
  <c r="A228" i="49"/>
  <c r="B228" i="49"/>
  <c r="C228" i="49"/>
  <c r="A229" i="49"/>
  <c r="B229" i="49"/>
  <c r="C229" i="49"/>
  <c r="A230" i="49"/>
  <c r="B230" i="49"/>
  <c r="C230" i="49"/>
  <c r="A231" i="49"/>
  <c r="B231" i="49"/>
  <c r="C231" i="49"/>
  <c r="A232" i="49"/>
  <c r="B232" i="49"/>
  <c r="C232" i="49"/>
  <c r="A233" i="49"/>
  <c r="B233" i="49"/>
  <c r="C233" i="49"/>
  <c r="A234" i="49"/>
  <c r="B234" i="49"/>
  <c r="C234" i="49"/>
  <c r="A235" i="49"/>
  <c r="B235" i="49"/>
  <c r="A236" i="49"/>
  <c r="B236" i="49"/>
  <c r="C236" i="49"/>
  <c r="A237" i="49"/>
  <c r="B237" i="49"/>
  <c r="C237" i="49"/>
  <c r="A238" i="49"/>
  <c r="B238" i="49"/>
  <c r="C238" i="49"/>
  <c r="A239" i="49"/>
  <c r="B239" i="49"/>
  <c r="C239" i="49"/>
  <c r="A240" i="49"/>
  <c r="B240" i="49"/>
  <c r="C240" i="49"/>
  <c r="A241" i="49"/>
  <c r="B241" i="49"/>
  <c r="C241" i="49"/>
  <c r="A242" i="49"/>
  <c r="B242" i="49"/>
  <c r="C242" i="49"/>
  <c r="A243" i="49"/>
  <c r="B243" i="49"/>
  <c r="C243" i="49"/>
  <c r="A244" i="49"/>
  <c r="B244" i="49"/>
  <c r="C244" i="49"/>
  <c r="A245" i="49"/>
  <c r="B245" i="49"/>
  <c r="C245" i="49"/>
  <c r="A246" i="49"/>
  <c r="B246" i="49"/>
  <c r="C246" i="49"/>
  <c r="A247" i="49"/>
  <c r="B247" i="49"/>
  <c r="C247" i="49"/>
  <c r="A248" i="49"/>
  <c r="B248" i="49"/>
  <c r="C248" i="49"/>
  <c r="A249" i="49"/>
  <c r="B249" i="49"/>
  <c r="C249" i="49"/>
  <c r="A250" i="49"/>
  <c r="B250" i="49"/>
  <c r="C250" i="49"/>
  <c r="A251" i="49"/>
  <c r="B251" i="49"/>
  <c r="C251" i="49"/>
  <c r="A252" i="49"/>
  <c r="B252" i="49"/>
  <c r="C252" i="49"/>
  <c r="A253" i="49"/>
  <c r="B253" i="49"/>
  <c r="C253" i="49"/>
  <c r="A254" i="49"/>
  <c r="B254" i="49"/>
  <c r="C254" i="49"/>
  <c r="A255" i="49"/>
  <c r="B255" i="49"/>
  <c r="C255" i="49"/>
  <c r="A256" i="49"/>
  <c r="B256" i="49"/>
  <c r="C256" i="49"/>
  <c r="A257" i="49"/>
  <c r="B257" i="49"/>
  <c r="C257" i="49"/>
  <c r="A258" i="49"/>
  <c r="B258" i="49"/>
  <c r="C258" i="49"/>
  <c r="A259" i="49"/>
  <c r="B259" i="49"/>
  <c r="C259" i="49"/>
  <c r="A260" i="49"/>
  <c r="B260" i="49"/>
  <c r="C260" i="49"/>
  <c r="A261" i="49"/>
  <c r="B261" i="49"/>
  <c r="C261" i="49"/>
  <c r="A262" i="49"/>
  <c r="B262" i="49"/>
  <c r="C262" i="49"/>
  <c r="A263" i="49"/>
  <c r="B263" i="49"/>
  <c r="C263" i="49"/>
  <c r="A264" i="49"/>
  <c r="B264" i="49"/>
  <c r="C264" i="49"/>
  <c r="A265" i="49"/>
  <c r="B265" i="49"/>
  <c r="C265" i="49"/>
  <c r="A266" i="49"/>
  <c r="B266" i="49"/>
  <c r="C266" i="49"/>
  <c r="A267" i="49"/>
  <c r="B267" i="49"/>
  <c r="C267" i="49"/>
  <c r="I267" i="49" s="1"/>
  <c r="A268" i="49"/>
  <c r="B268" i="49"/>
  <c r="C268" i="49"/>
  <c r="I268" i="49" s="1"/>
  <c r="A269" i="49"/>
  <c r="B269" i="49"/>
  <c r="C269" i="49"/>
  <c r="I269" i="49" s="1"/>
  <c r="A270" i="49"/>
  <c r="B270" i="49"/>
  <c r="C270" i="49"/>
  <c r="I270" i="49" s="1"/>
  <c r="A271" i="49"/>
  <c r="B271" i="49"/>
  <c r="C271" i="49"/>
  <c r="I271" i="49" s="1"/>
  <c r="A272" i="49"/>
  <c r="B272" i="49"/>
  <c r="C272" i="49"/>
  <c r="I272" i="49" s="1"/>
  <c r="A273" i="49"/>
  <c r="B273" i="49"/>
  <c r="C273" i="49"/>
  <c r="I273" i="49" s="1"/>
  <c r="A274" i="49"/>
  <c r="B274" i="49"/>
  <c r="C274" i="49"/>
  <c r="I274" i="49" s="1"/>
  <c r="A275" i="49"/>
  <c r="B275" i="49"/>
  <c r="A276" i="49"/>
  <c r="B276" i="49"/>
  <c r="C276" i="49"/>
  <c r="A277" i="49"/>
  <c r="B277" i="49"/>
  <c r="C277" i="49"/>
  <c r="A278" i="49"/>
  <c r="B278" i="49"/>
  <c r="C278" i="49"/>
  <c r="I278" i="49" s="1"/>
  <c r="A279" i="49"/>
  <c r="B279" i="49"/>
  <c r="C279" i="49"/>
  <c r="A280" i="49"/>
  <c r="B280" i="49"/>
  <c r="C280" i="49"/>
  <c r="A281" i="49"/>
  <c r="B281" i="49"/>
  <c r="C281" i="49"/>
  <c r="A282" i="49"/>
  <c r="B282" i="49"/>
  <c r="C282" i="49"/>
  <c r="I282" i="49" s="1"/>
  <c r="A283" i="49"/>
  <c r="B283" i="49"/>
  <c r="C283" i="49"/>
  <c r="A284" i="49"/>
  <c r="B284" i="49"/>
  <c r="C284" i="49"/>
  <c r="A285" i="49"/>
  <c r="B285" i="49"/>
  <c r="C285" i="49"/>
  <c r="A286" i="49"/>
  <c r="B286" i="49"/>
  <c r="C286" i="49"/>
  <c r="A287" i="49"/>
  <c r="B287" i="49"/>
  <c r="C287" i="49"/>
  <c r="I287" i="49" s="1"/>
  <c r="A288" i="49"/>
  <c r="B288" i="49"/>
  <c r="C288" i="49"/>
  <c r="I288" i="49" s="1"/>
  <c r="A289" i="49"/>
  <c r="B289" i="49"/>
  <c r="C289" i="49"/>
  <c r="A290" i="49"/>
  <c r="B290" i="49"/>
  <c r="C290" i="49"/>
  <c r="A291" i="49"/>
  <c r="B291" i="49"/>
  <c r="C291" i="49"/>
  <c r="A292" i="49"/>
  <c r="B292" i="49"/>
  <c r="C292" i="49"/>
  <c r="A293" i="49"/>
  <c r="B293" i="49"/>
  <c r="C293" i="49"/>
  <c r="A294" i="49"/>
  <c r="B294" i="49"/>
  <c r="C294" i="49"/>
  <c r="I294" i="49" s="1"/>
  <c r="A295" i="49"/>
  <c r="B295" i="49"/>
  <c r="C295" i="49"/>
  <c r="A296" i="49"/>
  <c r="B296" i="49"/>
  <c r="C296" i="49"/>
  <c r="I296" i="49" s="1"/>
  <c r="A297" i="49"/>
  <c r="B297" i="49"/>
  <c r="C297" i="49"/>
  <c r="I297" i="49" s="1"/>
  <c r="A298" i="49"/>
  <c r="B298" i="49"/>
  <c r="C298" i="49"/>
  <c r="I298" i="49" s="1"/>
  <c r="A299" i="49"/>
  <c r="B299" i="49"/>
  <c r="C299" i="49"/>
  <c r="A300" i="49"/>
  <c r="B300" i="49"/>
  <c r="C300" i="49"/>
  <c r="A301" i="49"/>
  <c r="B301" i="49"/>
  <c r="C301" i="49"/>
  <c r="A302" i="49"/>
  <c r="B302" i="49"/>
  <c r="C302" i="49"/>
  <c r="A303" i="49"/>
  <c r="B303" i="49"/>
  <c r="C303" i="49"/>
  <c r="A304" i="49"/>
  <c r="B304" i="49"/>
  <c r="C304" i="49"/>
  <c r="I304" i="49" s="1"/>
  <c r="A305" i="49"/>
  <c r="B305" i="49"/>
  <c r="C305" i="49"/>
  <c r="C68" i="49"/>
  <c r="C235" i="49"/>
  <c r="E270" i="25" l="1"/>
  <c r="J271" i="49"/>
  <c r="C271" i="13"/>
  <c r="C271" i="39"/>
  <c r="C271" i="12"/>
  <c r="C271" i="33"/>
  <c r="C277" i="9"/>
  <c r="F261" i="49"/>
  <c r="G261" i="49" s="1"/>
  <c r="P261" i="19"/>
  <c r="R261" i="19" s="1"/>
  <c r="F120" i="49"/>
  <c r="G120" i="49" s="1"/>
  <c r="P120" i="19"/>
  <c r="R120" i="19" s="1"/>
  <c r="P113" i="19"/>
  <c r="R113" i="19" s="1"/>
  <c r="F113" i="49"/>
  <c r="G113" i="49" s="1"/>
  <c r="F143" i="49"/>
  <c r="G143" i="49" s="1"/>
  <c r="P143" i="19"/>
  <c r="R143" i="19" s="1"/>
  <c r="F175" i="49"/>
  <c r="G175" i="49" s="1"/>
  <c r="P175" i="19"/>
  <c r="R175" i="19" s="1"/>
  <c r="F137" i="49"/>
  <c r="G137" i="49" s="1"/>
  <c r="P137" i="19"/>
  <c r="R137" i="19" s="1"/>
  <c r="F21" i="49"/>
  <c r="G21" i="49" s="1"/>
  <c r="P21" i="19"/>
  <c r="R21" i="19" s="1"/>
  <c r="AL235" i="42"/>
  <c r="AD235" i="42"/>
  <c r="AL68" i="42"/>
  <c r="AD68" i="42"/>
  <c r="C155" i="49"/>
  <c r="C275" i="49"/>
  <c r="I275" i="49" s="1"/>
  <c r="C137" i="33" l="1"/>
  <c r="C137" i="12"/>
  <c r="J137" i="49"/>
  <c r="C137" i="39"/>
  <c r="E136" i="25"/>
  <c r="C143" i="9"/>
  <c r="C137" i="13"/>
  <c r="C113" i="39"/>
  <c r="C113" i="12"/>
  <c r="C113" i="13"/>
  <c r="C113" i="33"/>
  <c r="C119" i="9"/>
  <c r="J113" i="49"/>
  <c r="E112" i="25"/>
  <c r="C126" i="9"/>
  <c r="J120" i="49"/>
  <c r="C120" i="33"/>
  <c r="E119" i="25"/>
  <c r="C120" i="13"/>
  <c r="C120" i="39"/>
  <c r="C120" i="12"/>
  <c r="C181" i="9"/>
  <c r="E174" i="25"/>
  <c r="J175" i="49"/>
  <c r="C175" i="13"/>
  <c r="C175" i="33"/>
  <c r="C175" i="39"/>
  <c r="C175" i="12"/>
  <c r="C27" i="9"/>
  <c r="C21" i="39"/>
  <c r="C21" i="33"/>
  <c r="E20" i="25"/>
  <c r="J21" i="49"/>
  <c r="C21" i="12"/>
  <c r="C21" i="13"/>
  <c r="C271" i="11"/>
  <c r="C277" i="34"/>
  <c r="E271" i="33"/>
  <c r="D271" i="37" s="1"/>
  <c r="C149" i="9"/>
  <c r="C143" i="13"/>
  <c r="C143" i="39"/>
  <c r="C143" i="33"/>
  <c r="C143" i="12"/>
  <c r="J143" i="49"/>
  <c r="E142" i="25"/>
  <c r="E260" i="25"/>
  <c r="J261" i="49"/>
  <c r="C267" i="9"/>
  <c r="C261" i="13"/>
  <c r="C261" i="39"/>
  <c r="C261" i="12"/>
  <c r="C261" i="33"/>
  <c r="AK149" i="42"/>
  <c r="AE64" i="42"/>
  <c r="AK25" i="42"/>
  <c r="AK296" i="42"/>
  <c r="AC190" i="42"/>
  <c r="AC160" i="42"/>
  <c r="AC19" i="42"/>
  <c r="AE230" i="42"/>
  <c r="AE192" i="42"/>
  <c r="AC59" i="42"/>
  <c r="AC188" i="42"/>
  <c r="AC180" i="42"/>
  <c r="AE198" i="42"/>
  <c r="AC27" i="42"/>
  <c r="AM35" i="42"/>
  <c r="AC133" i="42"/>
  <c r="AD155" i="42"/>
  <c r="AK224" i="42"/>
  <c r="AC224" i="42"/>
  <c r="AM224" i="42"/>
  <c r="AE224" i="42"/>
  <c r="AK266" i="42"/>
  <c r="AC266" i="42"/>
  <c r="AE266" i="42"/>
  <c r="AM266" i="42"/>
  <c r="AK63" i="42"/>
  <c r="AC63" i="42"/>
  <c r="AE63" i="42"/>
  <c r="AM63" i="42"/>
  <c r="AK158" i="42"/>
  <c r="AC158" i="42"/>
  <c r="AE158" i="42"/>
  <c r="AM158" i="42"/>
  <c r="AK182" i="42"/>
  <c r="AC182" i="42"/>
  <c r="AE182" i="42"/>
  <c r="AM182" i="42"/>
  <c r="AK156" i="42"/>
  <c r="AM156" i="42"/>
  <c r="AC156" i="42"/>
  <c r="AE156" i="42"/>
  <c r="AK172" i="42"/>
  <c r="AM172" i="42"/>
  <c r="AE172" i="42"/>
  <c r="AC172" i="42"/>
  <c r="AK176" i="42"/>
  <c r="AC176" i="42"/>
  <c r="AM176" i="42"/>
  <c r="AE176" i="42"/>
  <c r="AK240" i="42"/>
  <c r="AC240" i="42"/>
  <c r="AE240" i="42"/>
  <c r="AM240" i="42"/>
  <c r="AK300" i="42"/>
  <c r="AC300" i="42"/>
  <c r="AE300" i="42"/>
  <c r="AM300" i="42"/>
  <c r="AK184" i="42"/>
  <c r="AC184" i="42"/>
  <c r="AE184" i="42"/>
  <c r="AM184" i="42"/>
  <c r="AK220" i="42"/>
  <c r="AC220" i="42"/>
  <c r="AE220" i="42"/>
  <c r="AM220" i="42"/>
  <c r="AK141" i="42"/>
  <c r="AM141" i="42"/>
  <c r="AC141" i="42"/>
  <c r="AE141" i="42"/>
  <c r="AK206" i="42"/>
  <c r="AE206" i="42"/>
  <c r="AC206" i="42"/>
  <c r="AM206" i="42"/>
  <c r="AK270" i="42"/>
  <c r="AC270" i="42"/>
  <c r="AE270" i="42"/>
  <c r="AM270" i="42"/>
  <c r="AK164" i="42"/>
  <c r="AM164" i="42"/>
  <c r="AC164" i="42"/>
  <c r="AE164" i="42"/>
  <c r="AK37" i="42"/>
  <c r="AC37" i="42"/>
  <c r="AE37" i="42"/>
  <c r="AM37" i="42"/>
  <c r="AD275" i="42"/>
  <c r="AK23" i="42"/>
  <c r="AC23" i="42"/>
  <c r="AE23" i="42"/>
  <c r="AM23" i="42"/>
  <c r="AK31" i="42"/>
  <c r="AC31" i="42"/>
  <c r="AE31" i="42"/>
  <c r="AM31" i="42"/>
  <c r="AK39" i="42"/>
  <c r="AC39" i="42"/>
  <c r="AE39" i="42"/>
  <c r="AM39" i="42"/>
  <c r="AK190" i="42"/>
  <c r="AE190" i="42"/>
  <c r="AK280" i="42"/>
  <c r="AC280" i="42"/>
  <c r="AE280" i="42"/>
  <c r="AM280" i="42"/>
  <c r="AK282" i="42"/>
  <c r="AC282" i="42"/>
  <c r="AE282" i="42"/>
  <c r="AM282" i="42"/>
  <c r="AK304" i="42"/>
  <c r="AC304" i="42"/>
  <c r="AE304" i="42"/>
  <c r="AM304" i="42"/>
  <c r="AK160" i="42"/>
  <c r="AK196" i="42"/>
  <c r="AC196" i="42"/>
  <c r="AE196" i="42"/>
  <c r="AM196" i="42"/>
  <c r="AK216" i="42"/>
  <c r="AC216" i="42"/>
  <c r="AM216" i="42"/>
  <c r="AE216" i="42"/>
  <c r="AK254" i="42"/>
  <c r="AC254" i="42"/>
  <c r="AM254" i="42"/>
  <c r="AE254" i="42"/>
  <c r="AK166" i="42"/>
  <c r="AC166" i="42"/>
  <c r="AE166" i="42"/>
  <c r="AM166" i="42"/>
  <c r="AK226" i="42"/>
  <c r="AE226" i="42"/>
  <c r="AK51" i="42"/>
  <c r="AM51" i="42"/>
  <c r="AC51" i="42"/>
  <c r="AE51" i="42"/>
  <c r="AK208" i="42"/>
  <c r="AC208" i="42"/>
  <c r="AE208" i="42"/>
  <c r="AM208" i="42"/>
  <c r="AK9" i="42"/>
  <c r="AC9" i="42"/>
  <c r="AE9" i="42"/>
  <c r="AM9" i="42"/>
  <c r="AL275" i="42"/>
  <c r="AK55" i="42"/>
  <c r="AC55" i="42"/>
  <c r="AE55" i="42"/>
  <c r="AM55" i="42"/>
  <c r="AK284" i="42"/>
  <c r="AC284" i="42"/>
  <c r="AE284" i="42"/>
  <c r="AM284" i="42"/>
  <c r="AM278" i="42"/>
  <c r="AK278" i="42"/>
  <c r="AE278" i="42"/>
  <c r="AC278" i="42"/>
  <c r="AK145" i="42"/>
  <c r="AC145" i="42"/>
  <c r="AM145" i="42"/>
  <c r="AE145" i="42"/>
  <c r="AE222" i="42"/>
  <c r="AE149" i="42"/>
  <c r="AL155" i="42"/>
  <c r="AK27" i="42"/>
  <c r="AM27" i="42"/>
  <c r="AK194" i="42"/>
  <c r="AC194" i="42"/>
  <c r="AM194" i="42"/>
  <c r="AE194" i="42"/>
  <c r="AK168" i="42"/>
  <c r="AC168" i="42"/>
  <c r="AE168" i="42"/>
  <c r="AM168" i="42"/>
  <c r="AK234" i="42"/>
  <c r="AC234" i="42"/>
  <c r="AE234" i="42"/>
  <c r="AM234" i="42"/>
  <c r="AK174" i="42"/>
  <c r="AC174" i="42"/>
  <c r="AE174" i="42"/>
  <c r="AM174" i="42"/>
  <c r="AK214" i="42"/>
  <c r="AC214" i="42"/>
  <c r="AE214" i="42"/>
  <c r="AM214" i="42"/>
  <c r="AK232" i="42"/>
  <c r="AC232" i="42"/>
  <c r="AE232" i="42"/>
  <c r="AM232" i="42"/>
  <c r="AK17" i="42"/>
  <c r="AC17" i="42"/>
  <c r="AM17" i="42"/>
  <c r="AE17" i="42"/>
  <c r="AK153" i="42"/>
  <c r="AC153" i="42"/>
  <c r="AM153" i="42"/>
  <c r="AE153" i="42"/>
  <c r="AK256" i="42"/>
  <c r="AC256" i="42"/>
  <c r="AE256" i="42"/>
  <c r="AM256" i="42"/>
  <c r="AK29" i="42"/>
  <c r="AC29" i="42"/>
  <c r="AM29" i="42"/>
  <c r="AM25" i="42"/>
  <c r="AE25" i="42"/>
  <c r="AC33" i="42"/>
  <c r="AE33" i="42"/>
  <c r="AK294" i="42"/>
  <c r="AC294" i="42"/>
  <c r="AE294" i="42"/>
  <c r="AM294" i="42"/>
  <c r="AK262" i="42"/>
  <c r="AC262" i="42"/>
  <c r="AE262" i="42"/>
  <c r="AM262" i="42"/>
  <c r="AK272" i="42"/>
  <c r="AC272" i="42"/>
  <c r="AE272" i="42"/>
  <c r="AM272" i="42"/>
  <c r="AK264" i="42"/>
  <c r="AC264" i="42"/>
  <c r="AM264" i="42"/>
  <c r="AE264" i="42"/>
  <c r="AK242" i="42"/>
  <c r="AC242" i="42"/>
  <c r="AM242" i="42"/>
  <c r="AE242" i="42"/>
  <c r="AK290" i="42"/>
  <c r="AC290" i="42"/>
  <c r="AM290" i="42"/>
  <c r="AE290" i="42"/>
  <c r="AK129" i="42"/>
  <c r="AC129" i="42"/>
  <c r="AE129" i="42"/>
  <c r="AM129" i="42"/>
  <c r="AK15" i="42"/>
  <c r="AC15" i="42"/>
  <c r="AE15" i="42"/>
  <c r="AM15" i="42"/>
  <c r="AE21" i="42"/>
  <c r="AK21" i="42"/>
  <c r="AC21" i="42"/>
  <c r="AM21" i="42"/>
  <c r="AK137" i="42"/>
  <c r="AC137" i="42"/>
  <c r="AM137" i="42"/>
  <c r="AE137" i="42"/>
  <c r="E21" i="33" l="1"/>
  <c r="D21" i="37" s="1"/>
  <c r="C27" i="34"/>
  <c r="C21" i="11"/>
  <c r="E261" i="33"/>
  <c r="D261" i="37" s="1"/>
  <c r="C261" i="11"/>
  <c r="C267" i="34"/>
  <c r="C113" i="11"/>
  <c r="C119" i="34"/>
  <c r="E113" i="33"/>
  <c r="D113" i="37" s="1"/>
  <c r="C143" i="11"/>
  <c r="E143" i="33"/>
  <c r="D143" i="37" s="1"/>
  <c r="C149" i="34"/>
  <c r="C181" i="34"/>
  <c r="C175" i="11"/>
  <c r="E175" i="33"/>
  <c r="D175" i="37" s="1"/>
  <c r="E120" i="33"/>
  <c r="D120" i="37" s="1"/>
  <c r="C126" i="34"/>
  <c r="C120" i="11"/>
  <c r="C137" i="11"/>
  <c r="C143" i="34"/>
  <c r="E137" i="33"/>
  <c r="D137" i="37" s="1"/>
  <c r="AM149" i="42"/>
  <c r="AC149" i="42"/>
  <c r="AC43" i="42"/>
  <c r="AM59" i="42"/>
  <c r="AK64" i="42"/>
  <c r="AC226" i="42"/>
  <c r="AC230" i="42"/>
  <c r="AM226" i="42"/>
  <c r="AC192" i="42"/>
  <c r="AC198" i="42"/>
  <c r="AE11" i="42"/>
  <c r="AM288" i="42"/>
  <c r="AM296" i="42"/>
  <c r="AK192" i="42"/>
  <c r="AC11" i="42"/>
  <c r="AK198" i="42"/>
  <c r="AC288" i="42"/>
  <c r="AE296" i="42"/>
  <c r="AM192" i="42"/>
  <c r="AK11" i="42"/>
  <c r="AM198" i="42"/>
  <c r="AK288" i="42"/>
  <c r="AC296" i="42"/>
  <c r="AM11" i="42"/>
  <c r="AE288" i="42"/>
  <c r="AM43" i="42"/>
  <c r="AM64" i="42"/>
  <c r="AK188" i="42"/>
  <c r="AM204" i="42"/>
  <c r="AK43" i="42"/>
  <c r="AC64" i="42"/>
  <c r="AE43" i="42"/>
  <c r="AK19" i="42"/>
  <c r="AK35" i="42"/>
  <c r="AC222" i="42"/>
  <c r="AK180" i="42"/>
  <c r="AK33" i="42"/>
  <c r="AC25" i="42"/>
  <c r="AE27" i="42"/>
  <c r="AE59" i="42"/>
  <c r="AK59" i="42"/>
  <c r="AK222" i="42"/>
  <c r="AM230" i="42"/>
  <c r="AE160" i="42"/>
  <c r="AM190" i="42"/>
  <c r="AK133" i="42"/>
  <c r="AK230" i="42"/>
  <c r="AM160" i="42"/>
  <c r="AM33" i="42"/>
  <c r="AM222" i="42"/>
  <c r="AC204" i="42"/>
  <c r="AE19" i="42"/>
  <c r="AE188" i="42"/>
  <c r="AK204" i="42"/>
  <c r="AM19" i="42"/>
  <c r="AM188" i="42"/>
  <c r="AE204" i="42"/>
  <c r="AM133" i="42"/>
  <c r="AE35" i="42"/>
  <c r="AM180" i="42"/>
  <c r="AE133" i="42"/>
  <c r="AC35" i="42"/>
  <c r="AE180" i="42"/>
  <c r="AK61" i="42"/>
  <c r="AE61" i="42"/>
  <c r="AC61" i="42"/>
  <c r="AM61" i="42"/>
  <c r="AK258" i="42"/>
  <c r="AC258" i="42"/>
  <c r="AE258" i="42"/>
  <c r="AM258" i="42"/>
  <c r="AK260" i="42"/>
  <c r="AC260" i="42"/>
  <c r="AE260" i="42"/>
  <c r="AM260" i="42"/>
  <c r="AK305" i="42"/>
  <c r="AC305" i="42"/>
  <c r="AM305" i="42"/>
  <c r="AE305" i="42"/>
  <c r="AK289" i="42"/>
  <c r="AC289" i="42"/>
  <c r="AM289" i="42"/>
  <c r="AE289" i="42"/>
  <c r="AK95" i="42"/>
  <c r="AC95" i="42"/>
  <c r="AE95" i="42"/>
  <c r="AM95" i="42"/>
  <c r="AK302" i="42"/>
  <c r="AC302" i="42"/>
  <c r="AM302" i="42"/>
  <c r="AE302" i="42"/>
  <c r="AK303" i="42"/>
  <c r="AC303" i="42"/>
  <c r="AE303" i="42"/>
  <c r="AM303" i="42"/>
  <c r="AK286" i="42"/>
  <c r="AE286" i="42"/>
  <c r="AC286" i="42"/>
  <c r="AM286" i="42"/>
  <c r="AK7" i="42"/>
  <c r="AC7" i="42"/>
  <c r="AE7" i="42"/>
  <c r="AM7" i="42"/>
  <c r="AK210" i="42"/>
  <c r="AC210" i="42"/>
  <c r="AM210" i="42"/>
  <c r="AE210" i="42"/>
  <c r="AK276" i="42"/>
  <c r="AC276" i="42"/>
  <c r="AE276" i="42"/>
  <c r="AM276" i="42"/>
  <c r="AK301" i="42"/>
  <c r="AC301" i="42"/>
  <c r="AE301" i="42"/>
  <c r="AM301" i="42"/>
  <c r="AM285" i="42"/>
  <c r="AK285" i="42"/>
  <c r="AC285" i="42"/>
  <c r="AE285" i="42"/>
  <c r="AK103" i="42"/>
  <c r="AC103" i="42"/>
  <c r="AE103" i="42"/>
  <c r="AM103" i="42"/>
  <c r="AM252" i="42"/>
  <c r="AK252" i="42"/>
  <c r="AC252" i="42"/>
  <c r="AE252" i="42"/>
  <c r="AK255" i="42"/>
  <c r="AC255" i="42"/>
  <c r="AE255" i="42"/>
  <c r="AM255" i="42"/>
  <c r="AK277" i="42"/>
  <c r="AC277" i="42"/>
  <c r="AM277" i="42"/>
  <c r="AE277" i="42"/>
  <c r="AK83" i="42"/>
  <c r="AC83" i="42"/>
  <c r="AE83" i="42"/>
  <c r="AM83" i="42"/>
  <c r="AK269" i="42"/>
  <c r="AC269" i="42"/>
  <c r="AM269" i="42"/>
  <c r="AE269" i="42"/>
  <c r="AK202" i="42"/>
  <c r="AC202" i="42"/>
  <c r="AE202" i="42"/>
  <c r="AM202" i="42"/>
  <c r="AK79" i="42"/>
  <c r="AC79" i="42"/>
  <c r="AE79" i="42"/>
  <c r="AM79" i="42"/>
  <c r="AK248" i="42"/>
  <c r="AC248" i="42"/>
  <c r="AM248" i="42"/>
  <c r="AE248" i="42"/>
  <c r="AK75" i="42"/>
  <c r="AM75" i="42"/>
  <c r="AC75" i="42"/>
  <c r="AE75" i="42"/>
  <c r="AK293" i="42"/>
  <c r="AC293" i="42"/>
  <c r="AE293" i="42"/>
  <c r="AM293" i="42"/>
  <c r="AK295" i="42"/>
  <c r="AC295" i="42"/>
  <c r="AE295" i="42"/>
  <c r="AM295" i="42"/>
  <c r="AK298" i="42"/>
  <c r="AC298" i="42"/>
  <c r="AE298" i="42"/>
  <c r="AM298" i="42"/>
  <c r="AK45" i="42"/>
  <c r="AC45" i="42"/>
  <c r="AE45" i="42"/>
  <c r="AM45" i="42"/>
  <c r="AM292" i="42"/>
  <c r="AK292" i="42"/>
  <c r="AC292" i="42"/>
  <c r="AE292" i="42"/>
  <c r="AK246" i="42"/>
  <c r="AC246" i="42"/>
  <c r="AE246" i="42"/>
  <c r="AM246" i="42"/>
  <c r="AK297" i="42"/>
  <c r="AC297" i="42"/>
  <c r="AE297" i="42"/>
  <c r="AM297" i="42"/>
  <c r="AK267" i="42"/>
  <c r="AC267" i="42"/>
  <c r="AM267" i="42"/>
  <c r="AE267" i="42"/>
  <c r="AK274" i="42"/>
  <c r="AC274" i="42"/>
  <c r="AE274" i="42"/>
  <c r="AM274" i="42"/>
  <c r="AM229" i="42"/>
  <c r="AK229" i="42"/>
  <c r="AC229" i="42"/>
  <c r="AE229" i="42"/>
  <c r="AK239" i="42"/>
  <c r="AC239" i="42"/>
  <c r="AM239" i="42"/>
  <c r="AE239" i="42"/>
  <c r="AK195" i="42"/>
  <c r="AM195" i="42"/>
  <c r="AC195" i="42"/>
  <c r="AE195" i="42"/>
  <c r="AK217" i="42"/>
  <c r="AC217" i="42"/>
  <c r="AE217" i="42"/>
  <c r="AM217" i="42"/>
  <c r="AK199" i="42"/>
  <c r="AC199" i="42"/>
  <c r="AE199" i="42"/>
  <c r="AM199" i="42"/>
  <c r="AK108" i="42"/>
  <c r="AC108" i="42"/>
  <c r="AM108" i="42"/>
  <c r="AE108" i="42"/>
  <c r="AK89" i="42"/>
  <c r="AC89" i="42"/>
  <c r="AM89" i="42"/>
  <c r="AE89" i="42"/>
  <c r="AK104" i="42"/>
  <c r="AC104" i="42"/>
  <c r="AE104" i="42"/>
  <c r="AM104" i="42"/>
  <c r="AK90" i="42"/>
  <c r="AC90" i="42"/>
  <c r="AE90" i="42"/>
  <c r="AM90" i="42"/>
  <c r="AK16" i="42"/>
  <c r="AC16" i="42"/>
  <c r="AE16" i="42"/>
  <c r="AM16" i="42"/>
  <c r="AM213" i="42"/>
  <c r="AK213" i="42"/>
  <c r="AC213" i="42"/>
  <c r="AE213" i="42"/>
  <c r="AK187" i="42"/>
  <c r="AM187" i="42"/>
  <c r="AC187" i="42"/>
  <c r="AE187" i="42"/>
  <c r="AK209" i="42"/>
  <c r="AC209" i="42"/>
  <c r="AE209" i="42"/>
  <c r="AM209" i="42"/>
  <c r="AK191" i="42"/>
  <c r="AC191" i="42"/>
  <c r="AE191" i="42"/>
  <c r="AM191" i="42"/>
  <c r="AK144" i="42"/>
  <c r="AC144" i="42"/>
  <c r="AE144" i="42"/>
  <c r="AM144" i="42"/>
  <c r="AK117" i="42"/>
  <c r="AC117" i="42"/>
  <c r="AM117" i="42"/>
  <c r="AE117" i="42"/>
  <c r="AK140" i="42"/>
  <c r="AC140" i="42"/>
  <c r="AE140" i="42"/>
  <c r="AM140" i="42"/>
  <c r="AC68" i="42"/>
  <c r="AK68" i="42"/>
  <c r="AK52" i="42"/>
  <c r="AC52" i="42"/>
  <c r="AE52" i="42"/>
  <c r="AM52" i="42"/>
  <c r="AK62" i="42"/>
  <c r="AC62" i="42"/>
  <c r="AM62" i="42"/>
  <c r="AE62" i="42"/>
  <c r="AK227" i="42"/>
  <c r="AC227" i="42"/>
  <c r="AM227" i="42"/>
  <c r="AE227" i="42"/>
  <c r="AC235" i="42"/>
  <c r="AK235" i="42"/>
  <c r="AK231" i="42"/>
  <c r="AC231" i="42"/>
  <c r="AE231" i="42"/>
  <c r="AM231" i="42"/>
  <c r="AK111" i="42"/>
  <c r="AC111" i="42"/>
  <c r="AE111" i="42"/>
  <c r="AM111" i="42"/>
  <c r="AK142" i="42"/>
  <c r="AC142" i="42"/>
  <c r="AM142" i="42"/>
  <c r="AE142" i="42"/>
  <c r="AK73" i="42"/>
  <c r="AC73" i="42"/>
  <c r="AE73" i="42"/>
  <c r="AM73" i="42"/>
  <c r="AK88" i="42"/>
  <c r="AC88" i="42"/>
  <c r="AE88" i="42"/>
  <c r="AM88" i="42"/>
  <c r="AK74" i="42"/>
  <c r="AC74" i="42"/>
  <c r="AM74" i="42"/>
  <c r="AE74" i="42"/>
  <c r="AK40" i="42"/>
  <c r="AC40" i="42"/>
  <c r="AE40" i="42"/>
  <c r="AM40" i="42"/>
  <c r="AK157" i="42"/>
  <c r="AC157" i="42"/>
  <c r="AE157" i="42"/>
  <c r="AM157" i="42"/>
  <c r="AK233" i="42"/>
  <c r="AC233" i="42"/>
  <c r="AE233" i="42"/>
  <c r="AM233" i="42"/>
  <c r="AM221" i="42"/>
  <c r="AK221" i="42"/>
  <c r="AC221" i="42"/>
  <c r="AE221" i="42"/>
  <c r="AK107" i="42"/>
  <c r="AM107" i="42"/>
  <c r="AC107" i="42"/>
  <c r="AE107" i="42"/>
  <c r="AK134" i="42"/>
  <c r="AM134" i="42"/>
  <c r="AC134" i="42"/>
  <c r="AE134" i="42"/>
  <c r="AK69" i="42"/>
  <c r="AC69" i="42"/>
  <c r="AE69" i="42"/>
  <c r="AM69" i="42"/>
  <c r="AK84" i="42"/>
  <c r="AM84" i="42"/>
  <c r="AC84" i="42"/>
  <c r="AE84" i="42"/>
  <c r="AK70" i="42"/>
  <c r="AC70" i="42"/>
  <c r="AE70" i="42"/>
  <c r="AM70" i="42"/>
  <c r="AK38" i="42"/>
  <c r="AC38" i="42"/>
  <c r="AM38" i="42"/>
  <c r="AE38" i="42"/>
  <c r="AK154" i="42"/>
  <c r="AC154" i="42"/>
  <c r="AM154" i="42"/>
  <c r="AE154" i="42"/>
  <c r="AK146" i="42"/>
  <c r="AC146" i="42"/>
  <c r="AE146" i="42"/>
  <c r="AM146" i="42"/>
  <c r="AK169" i="42"/>
  <c r="AC169" i="42"/>
  <c r="AE169" i="42"/>
  <c r="AM169" i="42"/>
  <c r="AK139" i="42"/>
  <c r="AC139" i="42"/>
  <c r="AE139" i="42"/>
  <c r="AM139" i="42"/>
  <c r="AK126" i="42"/>
  <c r="AM126" i="42"/>
  <c r="AC126" i="42"/>
  <c r="AE126" i="42"/>
  <c r="AK65" i="42"/>
  <c r="AC65" i="42"/>
  <c r="AM65" i="42"/>
  <c r="AE65" i="42"/>
  <c r="AK80" i="42"/>
  <c r="AE80" i="42"/>
  <c r="AC80" i="42"/>
  <c r="AM80" i="42"/>
  <c r="AK66" i="42"/>
  <c r="AC66" i="42"/>
  <c r="AE66" i="42"/>
  <c r="AM66" i="42"/>
  <c r="AK30" i="42"/>
  <c r="AM30" i="42"/>
  <c r="AC30" i="42"/>
  <c r="AE30" i="42"/>
  <c r="AK203" i="42"/>
  <c r="AM203" i="42"/>
  <c r="AC203" i="42"/>
  <c r="AE203" i="42"/>
  <c r="AK223" i="42"/>
  <c r="AC223" i="42"/>
  <c r="AE223" i="42"/>
  <c r="AM223" i="42"/>
  <c r="AK207" i="42"/>
  <c r="AC207" i="42"/>
  <c r="AM207" i="42"/>
  <c r="AE207" i="42"/>
  <c r="AK112" i="42"/>
  <c r="AC112" i="42"/>
  <c r="AM112" i="42"/>
  <c r="AE112" i="42"/>
  <c r="AK93" i="42"/>
  <c r="AC93" i="42"/>
  <c r="AM93" i="42"/>
  <c r="AE93" i="42"/>
  <c r="AK49" i="42"/>
  <c r="AC49" i="42"/>
  <c r="AE49" i="42"/>
  <c r="AM49" i="42"/>
  <c r="AK94" i="42"/>
  <c r="AC94" i="42"/>
  <c r="AM94" i="42"/>
  <c r="AE94" i="42"/>
  <c r="AK24" i="42"/>
  <c r="AC24" i="42"/>
  <c r="AE24" i="42"/>
  <c r="AM24" i="42"/>
  <c r="AK12" i="42"/>
  <c r="AC12" i="42"/>
  <c r="AE12" i="42"/>
  <c r="AM12" i="42"/>
  <c r="AE235" i="42"/>
  <c r="AK47" i="42"/>
  <c r="AC47" i="42"/>
  <c r="AE47" i="42"/>
  <c r="AM47" i="42"/>
  <c r="AM68" i="42"/>
  <c r="AK67" i="42"/>
  <c r="AM67" i="42"/>
  <c r="AC67" i="42"/>
  <c r="AE67" i="42"/>
  <c r="AK299" i="42"/>
  <c r="AC299" i="42"/>
  <c r="AE299" i="42"/>
  <c r="AM299" i="42"/>
  <c r="AK257" i="42"/>
  <c r="AC257" i="42"/>
  <c r="AM257" i="42"/>
  <c r="AE257" i="42"/>
  <c r="AK251" i="42"/>
  <c r="AC251" i="42"/>
  <c r="AM251" i="42"/>
  <c r="AE251" i="42"/>
  <c r="AK281" i="42"/>
  <c r="AC281" i="42"/>
  <c r="AE281" i="42"/>
  <c r="AM281" i="42"/>
  <c r="AK212" i="42"/>
  <c r="AC212" i="42"/>
  <c r="AE212" i="42"/>
  <c r="AM212" i="42"/>
  <c r="AK13" i="42"/>
  <c r="AM13" i="42"/>
  <c r="AC13" i="42"/>
  <c r="AE13" i="42"/>
  <c r="AK273" i="42"/>
  <c r="AC273" i="42"/>
  <c r="AE273" i="42"/>
  <c r="AM273" i="42"/>
  <c r="AK181" i="42"/>
  <c r="AC181" i="42"/>
  <c r="AE181" i="42"/>
  <c r="AM181" i="42"/>
  <c r="AK197" i="42"/>
  <c r="AC197" i="42"/>
  <c r="AM197" i="42"/>
  <c r="AE197" i="42"/>
  <c r="AK127" i="42"/>
  <c r="AC127" i="42"/>
  <c r="AE127" i="42"/>
  <c r="AM127" i="42"/>
  <c r="AM253" i="42"/>
  <c r="AK253" i="42"/>
  <c r="AC253" i="42"/>
  <c r="AE253" i="42"/>
  <c r="AM261" i="42"/>
  <c r="AK261" i="42"/>
  <c r="AC261" i="42"/>
  <c r="AE261" i="42"/>
  <c r="AK218" i="42"/>
  <c r="AC218" i="42"/>
  <c r="AE218" i="42"/>
  <c r="AM218" i="42"/>
  <c r="AK283" i="42"/>
  <c r="AC283" i="42"/>
  <c r="AE283" i="42"/>
  <c r="AM283" i="42"/>
  <c r="AK162" i="42"/>
  <c r="AC162" i="42"/>
  <c r="AE162" i="42"/>
  <c r="AM162" i="42"/>
  <c r="AM205" i="42"/>
  <c r="AK205" i="42"/>
  <c r="AC205" i="42"/>
  <c r="AE205" i="42"/>
  <c r="AK179" i="42"/>
  <c r="AM179" i="42"/>
  <c r="AC179" i="42"/>
  <c r="AE179" i="42"/>
  <c r="AK201" i="42"/>
  <c r="AC201" i="42"/>
  <c r="AE201" i="42"/>
  <c r="AM201" i="42"/>
  <c r="AK183" i="42"/>
  <c r="AC183" i="42"/>
  <c r="AE183" i="42"/>
  <c r="AM183" i="42"/>
  <c r="AK136" i="42"/>
  <c r="AC136" i="42"/>
  <c r="AE136" i="42"/>
  <c r="AM136" i="42"/>
  <c r="AK132" i="42"/>
  <c r="AC132" i="42"/>
  <c r="AE132" i="42"/>
  <c r="AM132" i="42"/>
  <c r="AK41" i="42"/>
  <c r="AC41" i="42"/>
  <c r="AM41" i="42"/>
  <c r="AE41" i="42"/>
  <c r="AK26" i="42"/>
  <c r="AC26" i="42"/>
  <c r="AE26" i="42"/>
  <c r="AM26" i="42"/>
  <c r="AK54" i="42"/>
  <c r="AC54" i="42"/>
  <c r="AE54" i="42"/>
  <c r="AM54" i="42"/>
  <c r="AM237" i="42"/>
  <c r="AK237" i="42"/>
  <c r="AC237" i="42"/>
  <c r="AE237" i="42"/>
  <c r="AK243" i="42"/>
  <c r="AC243" i="42"/>
  <c r="AE243" i="42"/>
  <c r="AM243" i="42"/>
  <c r="AK241" i="42"/>
  <c r="AC241" i="42"/>
  <c r="AE241" i="42"/>
  <c r="AM241" i="42"/>
  <c r="AK115" i="42"/>
  <c r="AM115" i="42"/>
  <c r="AC115" i="42"/>
  <c r="AE115" i="42"/>
  <c r="AK150" i="42"/>
  <c r="AC150" i="42"/>
  <c r="AM150" i="42"/>
  <c r="AE150" i="42"/>
  <c r="AK77" i="42"/>
  <c r="AE77" i="42"/>
  <c r="AC77" i="42"/>
  <c r="AM77" i="42"/>
  <c r="AK92" i="42"/>
  <c r="AC92" i="42"/>
  <c r="AM92" i="42"/>
  <c r="AE92" i="42"/>
  <c r="AK78" i="42"/>
  <c r="AM78" i="42"/>
  <c r="AC78" i="42"/>
  <c r="AE78" i="42"/>
  <c r="AK48" i="42"/>
  <c r="AE48" i="42"/>
  <c r="AC48" i="42"/>
  <c r="AM48" i="42"/>
  <c r="AK151" i="42"/>
  <c r="AC151" i="42"/>
  <c r="AE151" i="42"/>
  <c r="AM151" i="42"/>
  <c r="AK53" i="42"/>
  <c r="AE53" i="42"/>
  <c r="AC53" i="42"/>
  <c r="AM53" i="42"/>
  <c r="AK279" i="42"/>
  <c r="AC279" i="42"/>
  <c r="AM279" i="42"/>
  <c r="AE279" i="42"/>
  <c r="AK250" i="42"/>
  <c r="AC250" i="42"/>
  <c r="AE250" i="42"/>
  <c r="AM250" i="42"/>
  <c r="AK71" i="42"/>
  <c r="AC71" i="42"/>
  <c r="AM71" i="42"/>
  <c r="AE71" i="42"/>
  <c r="AM268" i="42"/>
  <c r="AK268" i="42"/>
  <c r="AC268" i="42"/>
  <c r="AE268" i="42"/>
  <c r="AK263" i="42"/>
  <c r="AC263" i="42"/>
  <c r="AE263" i="42"/>
  <c r="AM263" i="42"/>
  <c r="AK291" i="42"/>
  <c r="AC291" i="42"/>
  <c r="AM291" i="42"/>
  <c r="AE291" i="42"/>
  <c r="AK91" i="42"/>
  <c r="AC91" i="42"/>
  <c r="AM91" i="42"/>
  <c r="AE91" i="42"/>
  <c r="AK87" i="42"/>
  <c r="AC87" i="42"/>
  <c r="AE87" i="42"/>
  <c r="AM87" i="42"/>
  <c r="AK131" i="42"/>
  <c r="AC131" i="42"/>
  <c r="AM131" i="42"/>
  <c r="AE131" i="42"/>
  <c r="AK34" i="42"/>
  <c r="AC34" i="42"/>
  <c r="AE34" i="42"/>
  <c r="AM34" i="42"/>
  <c r="AK147" i="42"/>
  <c r="AM147" i="42"/>
  <c r="AC147" i="42"/>
  <c r="AE147" i="42"/>
  <c r="AK152" i="42"/>
  <c r="AC152" i="42"/>
  <c r="AE152" i="42"/>
  <c r="AM152" i="42"/>
  <c r="AK121" i="42"/>
  <c r="AC121" i="42"/>
  <c r="AE121" i="42"/>
  <c r="AM121" i="42"/>
  <c r="AK148" i="42"/>
  <c r="AM148" i="42"/>
  <c r="AC148" i="42"/>
  <c r="AE148" i="42"/>
  <c r="AK72" i="42"/>
  <c r="AC72" i="42"/>
  <c r="AE72" i="42"/>
  <c r="AM72" i="42"/>
  <c r="AK57" i="42"/>
  <c r="AC57" i="42"/>
  <c r="AE57" i="42"/>
  <c r="AM57" i="42"/>
  <c r="AK14" i="42"/>
  <c r="AE14" i="42"/>
  <c r="AC14" i="42"/>
  <c r="AM14" i="42"/>
  <c r="AK249" i="42"/>
  <c r="AC249" i="42"/>
  <c r="AM249" i="42"/>
  <c r="AE249" i="42"/>
  <c r="AK189" i="42"/>
  <c r="AC189" i="42"/>
  <c r="AE189" i="42"/>
  <c r="AM189" i="42"/>
  <c r="AK138" i="42"/>
  <c r="AC138" i="42"/>
  <c r="AE138" i="42"/>
  <c r="AM138" i="42"/>
  <c r="AK123" i="42"/>
  <c r="AC123" i="42"/>
  <c r="AE123" i="42"/>
  <c r="AM123" i="42"/>
  <c r="AK60" i="42"/>
  <c r="AC60" i="42"/>
  <c r="AE60" i="42"/>
  <c r="AM60" i="42"/>
  <c r="AK85" i="42"/>
  <c r="AC85" i="42"/>
  <c r="AE85" i="42"/>
  <c r="AM85" i="42"/>
  <c r="AK100" i="42"/>
  <c r="AM100" i="42"/>
  <c r="AC100" i="42"/>
  <c r="AE100" i="42"/>
  <c r="AK86" i="42"/>
  <c r="AC86" i="42"/>
  <c r="AE86" i="42"/>
  <c r="AM86" i="42"/>
  <c r="AK8" i="42"/>
  <c r="AC8" i="42"/>
  <c r="AE8" i="42"/>
  <c r="AM8" i="42"/>
  <c r="AK165" i="42"/>
  <c r="AC165" i="42"/>
  <c r="AM165" i="42"/>
  <c r="AE165" i="42"/>
  <c r="AK163" i="42"/>
  <c r="AM163" i="42"/>
  <c r="AC163" i="42"/>
  <c r="AE163" i="42"/>
  <c r="AK185" i="42"/>
  <c r="AC185" i="42"/>
  <c r="AE185" i="42"/>
  <c r="AM185" i="42"/>
  <c r="AK167" i="42"/>
  <c r="AC167" i="42"/>
  <c r="AE167" i="42"/>
  <c r="AM167" i="42"/>
  <c r="AK124" i="42"/>
  <c r="AC124" i="42"/>
  <c r="AM124" i="42"/>
  <c r="AE124" i="42"/>
  <c r="AK105" i="42"/>
  <c r="AC105" i="42"/>
  <c r="AE105" i="42"/>
  <c r="AM105" i="42"/>
  <c r="AK118" i="42"/>
  <c r="AC118" i="42"/>
  <c r="AE118" i="42"/>
  <c r="AM118" i="42"/>
  <c r="AK106" i="42"/>
  <c r="AC106" i="42"/>
  <c r="AM106" i="42"/>
  <c r="AE106" i="42"/>
  <c r="AK50" i="42"/>
  <c r="AC50" i="42"/>
  <c r="AE50" i="42"/>
  <c r="AM50" i="42"/>
  <c r="AK36" i="42"/>
  <c r="AE36" i="42"/>
  <c r="AC36" i="42"/>
  <c r="AM36" i="42"/>
  <c r="AK219" i="42"/>
  <c r="AC219" i="42"/>
  <c r="AE219" i="42"/>
  <c r="AM219" i="42"/>
  <c r="AK177" i="42"/>
  <c r="AC177" i="42"/>
  <c r="AE177" i="42"/>
  <c r="AM177" i="42"/>
  <c r="AK159" i="42"/>
  <c r="AC159" i="42"/>
  <c r="AE159" i="42"/>
  <c r="AM159" i="42"/>
  <c r="AK101" i="42"/>
  <c r="AC101" i="42"/>
  <c r="AE101" i="42"/>
  <c r="AM101" i="42"/>
  <c r="AK114" i="42"/>
  <c r="AC114" i="42"/>
  <c r="AE114" i="42"/>
  <c r="AM114" i="42"/>
  <c r="AK102" i="42"/>
  <c r="AC102" i="42"/>
  <c r="AE102" i="42"/>
  <c r="AM102" i="42"/>
  <c r="AK42" i="42"/>
  <c r="AC42" i="42"/>
  <c r="AM42" i="42"/>
  <c r="AE42" i="42"/>
  <c r="AK28" i="42"/>
  <c r="AE28" i="42"/>
  <c r="AC28" i="42"/>
  <c r="AM28" i="42"/>
  <c r="AK211" i="42"/>
  <c r="AC211" i="42"/>
  <c r="AM211" i="42"/>
  <c r="AE211" i="42"/>
  <c r="AK225" i="42"/>
  <c r="AC225" i="42"/>
  <c r="AE225" i="42"/>
  <c r="AM225" i="42"/>
  <c r="AK215" i="42"/>
  <c r="AC215" i="42"/>
  <c r="AE215" i="42"/>
  <c r="AM215" i="42"/>
  <c r="AK116" i="42"/>
  <c r="AC116" i="42"/>
  <c r="AE116" i="42"/>
  <c r="AM116" i="42"/>
  <c r="AK97" i="42"/>
  <c r="AC97" i="42"/>
  <c r="AE97" i="42"/>
  <c r="AM97" i="42"/>
  <c r="AK110" i="42"/>
  <c r="AC110" i="42"/>
  <c r="AE110" i="42"/>
  <c r="AM110" i="42"/>
  <c r="AK98" i="42"/>
  <c r="AC98" i="42"/>
  <c r="AE98" i="42"/>
  <c r="AM98" i="42"/>
  <c r="AK32" i="42"/>
  <c r="AC32" i="42"/>
  <c r="AE32" i="42"/>
  <c r="AM32" i="42"/>
  <c r="AK20" i="42"/>
  <c r="AM20" i="42"/>
  <c r="AC20" i="42"/>
  <c r="AE20" i="42"/>
  <c r="AK161" i="42"/>
  <c r="AC161" i="42"/>
  <c r="AM161" i="42"/>
  <c r="AE161" i="42"/>
  <c r="AK130" i="42"/>
  <c r="AC130" i="42"/>
  <c r="AE130" i="42"/>
  <c r="AM130" i="42"/>
  <c r="AK125" i="42"/>
  <c r="AM125" i="42"/>
  <c r="AC125" i="42"/>
  <c r="AE125" i="42"/>
  <c r="AK44" i="42"/>
  <c r="AE44" i="42"/>
  <c r="AC44" i="42"/>
  <c r="AM44" i="42"/>
  <c r="AK76" i="42"/>
  <c r="AC76" i="42"/>
  <c r="AE76" i="42"/>
  <c r="AM76" i="42"/>
  <c r="AK22" i="42"/>
  <c r="AC22" i="42"/>
  <c r="AM22" i="42"/>
  <c r="AE22" i="42"/>
  <c r="AK200" i="42"/>
  <c r="AC200" i="42"/>
  <c r="AE200" i="42"/>
  <c r="AM200" i="42"/>
  <c r="AK170" i="42"/>
  <c r="AC170" i="42"/>
  <c r="AM170" i="42"/>
  <c r="AE170" i="42"/>
  <c r="AK238" i="42"/>
  <c r="AC238" i="42"/>
  <c r="AE238" i="42"/>
  <c r="AM238" i="42"/>
  <c r="AK244" i="42"/>
  <c r="AC244" i="42"/>
  <c r="AM244" i="42"/>
  <c r="AE244" i="42"/>
  <c r="AK186" i="42"/>
  <c r="AC186" i="42"/>
  <c r="AE186" i="42"/>
  <c r="AM186" i="42"/>
  <c r="AK236" i="42"/>
  <c r="AC236" i="42"/>
  <c r="AE236" i="42"/>
  <c r="AM236" i="42"/>
  <c r="AK259" i="42"/>
  <c r="AC259" i="42"/>
  <c r="AE259" i="42"/>
  <c r="AM259" i="42"/>
  <c r="AK178" i="42"/>
  <c r="AC178" i="42"/>
  <c r="AE178" i="42"/>
  <c r="AM178" i="42"/>
  <c r="AK265" i="42"/>
  <c r="AC265" i="42"/>
  <c r="AM265" i="42"/>
  <c r="AE265" i="42"/>
  <c r="AK99" i="42"/>
  <c r="AC99" i="42"/>
  <c r="AM99" i="42"/>
  <c r="AE99" i="42"/>
  <c r="AK287" i="42"/>
  <c r="AC287" i="42"/>
  <c r="AE287" i="42"/>
  <c r="AM287" i="42"/>
  <c r="AM245" i="42"/>
  <c r="AK245" i="42"/>
  <c r="AC245" i="42"/>
  <c r="AE245" i="42"/>
  <c r="AK247" i="42"/>
  <c r="AC247" i="42"/>
  <c r="AE247" i="42"/>
  <c r="AM247" i="42"/>
  <c r="AK135" i="42"/>
  <c r="AC135" i="42"/>
  <c r="AE135" i="42"/>
  <c r="AM135" i="42"/>
  <c r="AK119" i="42"/>
  <c r="AC119" i="42"/>
  <c r="AE119" i="42"/>
  <c r="AM119" i="42"/>
  <c r="AK18" i="42"/>
  <c r="AC18" i="42"/>
  <c r="AE18" i="42"/>
  <c r="AM18" i="42"/>
  <c r="AK81" i="42"/>
  <c r="AC81" i="42"/>
  <c r="AM81" i="42"/>
  <c r="AE81" i="42"/>
  <c r="AK96" i="42"/>
  <c r="AC96" i="42"/>
  <c r="AM96" i="42"/>
  <c r="AE96" i="42"/>
  <c r="AK82" i="42"/>
  <c r="AC82" i="42"/>
  <c r="AM82" i="42"/>
  <c r="AE82" i="42"/>
  <c r="AK56" i="42"/>
  <c r="AE56" i="42"/>
  <c r="AC56" i="42"/>
  <c r="AM56" i="42"/>
  <c r="AK173" i="42"/>
  <c r="AC173" i="42"/>
  <c r="AE173" i="42"/>
  <c r="AM173" i="42"/>
  <c r="AK171" i="42"/>
  <c r="AM171" i="42"/>
  <c r="AC171" i="42"/>
  <c r="AE171" i="42"/>
  <c r="AK193" i="42"/>
  <c r="AC193" i="42"/>
  <c r="AE193" i="42"/>
  <c r="AM193" i="42"/>
  <c r="AK128" i="42"/>
  <c r="AC128" i="42"/>
  <c r="AE128" i="42"/>
  <c r="AM128" i="42"/>
  <c r="AK109" i="42"/>
  <c r="AC109" i="42"/>
  <c r="AM109" i="42"/>
  <c r="AE109" i="42"/>
  <c r="AK122" i="42"/>
  <c r="AC122" i="42"/>
  <c r="AE122" i="42"/>
  <c r="AM122" i="42"/>
  <c r="AK10" i="42"/>
  <c r="AC10" i="42"/>
  <c r="AE10" i="42"/>
  <c r="AM10" i="42"/>
  <c r="AK58" i="42"/>
  <c r="AC58" i="42"/>
  <c r="AE58" i="42"/>
  <c r="AM58" i="42"/>
  <c r="AK46" i="42"/>
  <c r="AC46" i="42"/>
  <c r="AM46" i="42"/>
  <c r="AE46" i="42"/>
  <c r="AM235" i="42"/>
  <c r="AE68" i="42"/>
  <c r="AK120" i="42"/>
  <c r="AE120" i="42"/>
  <c r="AC120" i="42"/>
  <c r="AM120" i="42"/>
  <c r="AC271" i="42"/>
  <c r="AK271" i="42"/>
  <c r="AM271" i="42"/>
  <c r="AE271" i="42"/>
  <c r="AC175" i="42"/>
  <c r="AK175" i="42"/>
  <c r="AE175" i="42"/>
  <c r="AM175" i="42"/>
  <c r="AK143" i="42"/>
  <c r="AC143" i="42"/>
  <c r="AE143" i="42"/>
  <c r="AM143" i="42"/>
  <c r="AK113" i="42"/>
  <c r="AC113" i="42"/>
  <c r="AM113" i="42"/>
  <c r="AE113" i="42"/>
  <c r="E29" i="11"/>
  <c r="AD6" i="42"/>
  <c r="B33" i="40"/>
  <c r="B56" i="40"/>
  <c r="C228" i="19" l="1"/>
  <c r="L228" i="19" s="1"/>
  <c r="AC275" i="42"/>
  <c r="AK275" i="42"/>
  <c r="AD29" i="42"/>
  <c r="AE29" i="42" s="1"/>
  <c r="AM275" i="42"/>
  <c r="AE275" i="42"/>
  <c r="A1" i="42"/>
  <c r="E12" i="9"/>
  <c r="E11" i="9"/>
  <c r="D11" i="9"/>
  <c r="D12" i="9"/>
  <c r="F228" i="49" l="1"/>
  <c r="G228" i="49" s="1"/>
  <c r="P228" i="19"/>
  <c r="R228" i="19" s="1"/>
  <c r="F27" i="9"/>
  <c r="F19" i="9"/>
  <c r="F39" i="9"/>
  <c r="F55" i="9"/>
  <c r="F71" i="9"/>
  <c r="F87" i="9"/>
  <c r="F103" i="9"/>
  <c r="F119" i="9"/>
  <c r="F132" i="9"/>
  <c r="F148" i="9"/>
  <c r="F174" i="9"/>
  <c r="F189" i="9"/>
  <c r="F205" i="9"/>
  <c r="F221" i="9"/>
  <c r="F236" i="9"/>
  <c r="F244" i="9"/>
  <c r="F249" i="9"/>
  <c r="F252" i="9"/>
  <c r="F255" i="9"/>
  <c r="F268" i="9"/>
  <c r="F271" i="9"/>
  <c r="F274" i="9"/>
  <c r="F290" i="9"/>
  <c r="F306" i="9"/>
  <c r="F23" i="9"/>
  <c r="F43" i="9"/>
  <c r="F59" i="9"/>
  <c r="F75" i="9"/>
  <c r="F91" i="9"/>
  <c r="F107" i="9"/>
  <c r="F123" i="9"/>
  <c r="F136" i="9"/>
  <c r="F152" i="9"/>
  <c r="F168" i="9"/>
  <c r="F177" i="9"/>
  <c r="F193" i="9"/>
  <c r="F209" i="9"/>
  <c r="F225" i="9"/>
  <c r="F278" i="9"/>
  <c r="F294" i="9"/>
  <c r="F310" i="9"/>
  <c r="F31" i="9"/>
  <c r="F47" i="9"/>
  <c r="F63" i="9"/>
  <c r="F79" i="9"/>
  <c r="F95" i="9"/>
  <c r="F166" i="9"/>
  <c r="F232" i="9"/>
  <c r="F237" i="9"/>
  <c r="F260" i="9"/>
  <c r="F15" i="9"/>
  <c r="F35" i="9"/>
  <c r="F51" i="9"/>
  <c r="F67" i="9"/>
  <c r="F83" i="9"/>
  <c r="F99" i="9"/>
  <c r="F115" i="9"/>
  <c r="F128" i="9"/>
  <c r="F144" i="9"/>
  <c r="F160" i="9"/>
  <c r="F176" i="9"/>
  <c r="F185" i="9"/>
  <c r="F201" i="9"/>
  <c r="F217" i="9"/>
  <c r="F286" i="9"/>
  <c r="F302" i="9"/>
  <c r="F233" i="9"/>
  <c r="F241" i="9"/>
  <c r="F261" i="9"/>
  <c r="F111" i="9"/>
  <c r="F140" i="9"/>
  <c r="F156" i="9"/>
  <c r="F181" i="9"/>
  <c r="F197" i="9"/>
  <c r="F213" i="9"/>
  <c r="F229" i="9"/>
  <c r="F240" i="9"/>
  <c r="F245" i="9"/>
  <c r="F248" i="9"/>
  <c r="F282" i="9"/>
  <c r="F298" i="9"/>
  <c r="F305" i="9"/>
  <c r="F204" i="9"/>
  <c r="F164" i="9"/>
  <c r="F108" i="9"/>
  <c r="F291" i="9"/>
  <c r="F266" i="9"/>
  <c r="F162" i="9"/>
  <c r="F303" i="9"/>
  <c r="F284" i="9"/>
  <c r="F259" i="9"/>
  <c r="F224" i="9"/>
  <c r="F202" i="9"/>
  <c r="F183" i="9"/>
  <c r="F155" i="9"/>
  <c r="F112" i="9"/>
  <c r="F81" i="9"/>
  <c r="F64" i="9"/>
  <c r="F46" i="9"/>
  <c r="F26" i="9"/>
  <c r="F283" i="9"/>
  <c r="F227" i="9"/>
  <c r="F173" i="9"/>
  <c r="F138" i="9"/>
  <c r="F92" i="9"/>
  <c r="F74" i="9"/>
  <c r="F45" i="9"/>
  <c r="F28" i="9"/>
  <c r="F295" i="9"/>
  <c r="F276" i="9"/>
  <c r="F256" i="9"/>
  <c r="F226" i="9"/>
  <c r="F207" i="9"/>
  <c r="F184" i="9"/>
  <c r="F149" i="9"/>
  <c r="F131" i="9"/>
  <c r="F104" i="9"/>
  <c r="F86" i="9"/>
  <c r="F57" i="9"/>
  <c r="F40" i="9"/>
  <c r="F18" i="9"/>
  <c r="F228" i="9"/>
  <c r="F187" i="9"/>
  <c r="F165" i="9"/>
  <c r="F145" i="9"/>
  <c r="F116" i="9"/>
  <c r="F85" i="9"/>
  <c r="F68" i="9"/>
  <c r="F37" i="9"/>
  <c r="F24" i="9"/>
  <c r="F17" i="9"/>
  <c r="F273" i="9"/>
  <c r="F188" i="9"/>
  <c r="F153" i="9"/>
  <c r="F93" i="9"/>
  <c r="F288" i="9"/>
  <c r="F253" i="9"/>
  <c r="F50" i="9"/>
  <c r="F300" i="9"/>
  <c r="F277" i="9"/>
  <c r="F247" i="9"/>
  <c r="F218" i="9"/>
  <c r="F199" i="9"/>
  <c r="F171" i="9"/>
  <c r="F142" i="9"/>
  <c r="F110" i="9"/>
  <c r="F80" i="9"/>
  <c r="F62" i="9"/>
  <c r="F33" i="9"/>
  <c r="F13" i="9"/>
  <c r="F299" i="9"/>
  <c r="F280" i="9"/>
  <c r="F211" i="9"/>
  <c r="F169" i="9"/>
  <c r="F137" i="9"/>
  <c r="F90" i="9"/>
  <c r="F61" i="9"/>
  <c r="F44" i="9"/>
  <c r="F311" i="9"/>
  <c r="F292" i="9"/>
  <c r="F272" i="9"/>
  <c r="F251" i="9"/>
  <c r="F223" i="9"/>
  <c r="F200" i="9"/>
  <c r="F178" i="9"/>
  <c r="F147" i="9"/>
  <c r="F127" i="9"/>
  <c r="F102" i="9"/>
  <c r="F73" i="9"/>
  <c r="F56" i="9"/>
  <c r="F38" i="9"/>
  <c r="F212" i="9"/>
  <c r="F180" i="9"/>
  <c r="F161" i="9"/>
  <c r="F143" i="9"/>
  <c r="F114" i="9"/>
  <c r="F84" i="9"/>
  <c r="F66" i="9"/>
  <c r="F36" i="9"/>
  <c r="F22" i="9"/>
  <c r="F16" i="9"/>
  <c r="F258" i="9"/>
  <c r="F170" i="9"/>
  <c r="F135" i="9"/>
  <c r="F307" i="9"/>
  <c r="F275" i="9"/>
  <c r="F250" i="9"/>
  <c r="F293" i="9"/>
  <c r="F265" i="9"/>
  <c r="F239" i="9"/>
  <c r="F215" i="9"/>
  <c r="F192" i="9"/>
  <c r="F158" i="9"/>
  <c r="F141" i="9"/>
  <c r="F96" i="9"/>
  <c r="F78" i="9"/>
  <c r="F49" i="9"/>
  <c r="F32" i="9"/>
  <c r="F296" i="9"/>
  <c r="F257" i="9"/>
  <c r="F195" i="9"/>
  <c r="F154" i="9"/>
  <c r="F122" i="9"/>
  <c r="F77" i="9"/>
  <c r="F60" i="9"/>
  <c r="F42" i="9"/>
  <c r="F308" i="9"/>
  <c r="F285" i="9"/>
  <c r="F267" i="9"/>
  <c r="F243" i="9"/>
  <c r="F216" i="9"/>
  <c r="F194" i="9"/>
  <c r="F163" i="9"/>
  <c r="F134" i="9"/>
  <c r="F120" i="9"/>
  <c r="F89" i="9"/>
  <c r="F72" i="9"/>
  <c r="F54" i="9"/>
  <c r="F21" i="9"/>
  <c r="F297" i="9"/>
  <c r="F203" i="9"/>
  <c r="F175" i="9"/>
  <c r="F159" i="9"/>
  <c r="F130" i="9"/>
  <c r="F100" i="9"/>
  <c r="F82" i="9"/>
  <c r="F53" i="9"/>
  <c r="F34" i="9"/>
  <c r="F14" i="9"/>
  <c r="F220" i="9"/>
  <c r="F167" i="9"/>
  <c r="F124" i="9"/>
  <c r="F304" i="9"/>
  <c r="F269" i="9"/>
  <c r="F219" i="9"/>
  <c r="F309" i="9"/>
  <c r="F287" i="9"/>
  <c r="F264" i="9"/>
  <c r="F231" i="9"/>
  <c r="F208" i="9"/>
  <c r="F186" i="9"/>
  <c r="F157" i="9"/>
  <c r="F139" i="9"/>
  <c r="F94" i="9"/>
  <c r="F65" i="9"/>
  <c r="F48" i="9"/>
  <c r="F30" i="9"/>
  <c r="F289" i="9"/>
  <c r="F246" i="9"/>
  <c r="F179" i="9"/>
  <c r="F151" i="9"/>
  <c r="F106" i="9"/>
  <c r="F76" i="9"/>
  <c r="F58" i="9"/>
  <c r="F29" i="9"/>
  <c r="F301" i="9"/>
  <c r="F279" i="9"/>
  <c r="F263" i="9"/>
  <c r="F235" i="9"/>
  <c r="F210" i="9"/>
  <c r="F191" i="9"/>
  <c r="F150" i="9"/>
  <c r="F133" i="9"/>
  <c r="F118" i="9"/>
  <c r="F88" i="9"/>
  <c r="F70" i="9"/>
  <c r="F41" i="9"/>
  <c r="F20" i="9"/>
  <c r="F281" i="9"/>
  <c r="F196" i="9"/>
  <c r="F172" i="9"/>
  <c r="F146" i="9"/>
  <c r="F129" i="9"/>
  <c r="F98" i="9"/>
  <c r="F69" i="9"/>
  <c r="F52" i="9"/>
  <c r="F25" i="9"/>
  <c r="F238" i="9"/>
  <c r="F198" i="9"/>
  <c r="F222" i="9"/>
  <c r="F113" i="9"/>
  <c r="F125" i="9"/>
  <c r="F234" i="9"/>
  <c r="F182" i="9"/>
  <c r="F206" i="9"/>
  <c r="F105" i="9"/>
  <c r="F117" i="9"/>
  <c r="F262" i="9"/>
  <c r="F230" i="9"/>
  <c r="F270" i="9"/>
  <c r="F190" i="9"/>
  <c r="F97" i="9"/>
  <c r="F109" i="9"/>
  <c r="F242" i="9"/>
  <c r="F214" i="9"/>
  <c r="F254" i="9"/>
  <c r="F121" i="9"/>
  <c r="F126" i="9"/>
  <c r="F101" i="9"/>
  <c r="AK155" i="42"/>
  <c r="AE155" i="42"/>
  <c r="AC155" i="42"/>
  <c r="AM155" i="42"/>
  <c r="D312" i="9"/>
  <c r="F12" i="9"/>
  <c r="E312" i="9"/>
  <c r="C228" i="39" l="1"/>
  <c r="C228" i="33"/>
  <c r="C234" i="9"/>
  <c r="E227" i="25"/>
  <c r="J228" i="49"/>
  <c r="C228" i="12"/>
  <c r="C228" i="13"/>
  <c r="AK228" i="42"/>
  <c r="AC228" i="42"/>
  <c r="AM228" i="42"/>
  <c r="AE228" i="42"/>
  <c r="F312" i="9"/>
  <c r="C6" i="9" s="1"/>
  <c r="D6" i="13"/>
  <c r="C228" i="11" l="1"/>
  <c r="E228" i="33"/>
  <c r="D228" i="37" s="1"/>
  <c r="C234" i="34"/>
  <c r="AJ306" i="42"/>
  <c r="B6" i="54" l="1"/>
  <c r="A6" i="54"/>
  <c r="B6" i="11" l="1"/>
  <c r="C7" i="34" l="1"/>
  <c r="C6" i="34"/>
  <c r="H5" i="39" l="1"/>
  <c r="D5" i="25" l="1"/>
  <c r="B5" i="25"/>
  <c r="A5" i="25"/>
  <c r="A2" i="25" l="1"/>
  <c r="A2" i="49"/>
  <c r="A2" i="13"/>
  <c r="A2" i="39"/>
  <c r="A2" i="12"/>
  <c r="A2" i="34"/>
  <c r="A2" i="11"/>
  <c r="A2" i="37"/>
  <c r="A2" i="36"/>
  <c r="A2" i="9"/>
  <c r="A2" i="33"/>
  <c r="A2" i="19"/>
  <c r="A2" i="42"/>
  <c r="E46" i="40"/>
  <c r="A32" i="40" l="1"/>
  <c r="I45" i="40"/>
  <c r="A56" i="40"/>
  <c r="D5" i="49" l="1"/>
  <c r="Q5" i="19"/>
  <c r="X5" i="42"/>
  <c r="E6" i="49" l="1"/>
  <c r="D6" i="49"/>
  <c r="C6" i="49"/>
  <c r="I6" i="49" s="1"/>
  <c r="AR306" i="42"/>
  <c r="J6" i="11" l="1"/>
  <c r="E6" i="11"/>
  <c r="AN306" i="42"/>
  <c r="AL6" i="42"/>
  <c r="AH306" i="42"/>
  <c r="AG306" i="42"/>
  <c r="AB306" i="42"/>
  <c r="AF306" i="42"/>
  <c r="D6" i="33"/>
  <c r="AL306" i="42" l="1"/>
  <c r="D306" i="33"/>
  <c r="R5" i="19"/>
  <c r="O6" i="19"/>
  <c r="AD306" i="42" l="1"/>
  <c r="S306" i="42" l="1"/>
  <c r="H306" i="42"/>
  <c r="I306" i="42"/>
  <c r="J306" i="42"/>
  <c r="N306" i="42" l="1"/>
  <c r="J5" i="12" l="1"/>
  <c r="G306" i="42" l="1"/>
  <c r="K306" i="42"/>
  <c r="L306" i="42"/>
  <c r="D306" i="42"/>
  <c r="E306" i="42"/>
  <c r="C306" i="42"/>
  <c r="D6" i="19" l="1"/>
  <c r="H5" i="33"/>
  <c r="I5" i="33"/>
  <c r="J5" i="33"/>
  <c r="K5" i="33"/>
  <c r="H4" i="33"/>
  <c r="I4" i="33"/>
  <c r="J4" i="33"/>
  <c r="K4" i="33"/>
  <c r="F6" i="37" l="1"/>
  <c r="Q6" i="19"/>
  <c r="C5" i="25" s="1"/>
  <c r="Z5" i="42" l="1"/>
  <c r="U306" i="42" l="1"/>
  <c r="V306" i="42"/>
  <c r="W306" i="42"/>
  <c r="A6" i="11" l="1"/>
  <c r="K6" i="19" l="1"/>
  <c r="N6" i="19"/>
  <c r="G6" i="19"/>
  <c r="F6" i="19"/>
  <c r="M6" i="19"/>
  <c r="E6" i="19"/>
  <c r="L5" i="11" l="1"/>
  <c r="G5" i="11"/>
  <c r="F57" i="11" l="1"/>
  <c r="G57" i="11" s="1"/>
  <c r="F133" i="11"/>
  <c r="G133" i="11" s="1"/>
  <c r="F29" i="11"/>
  <c r="G29" i="11" s="1"/>
  <c r="F145" i="11"/>
  <c r="G145" i="11" s="1"/>
  <c r="F129" i="11"/>
  <c r="G129" i="11" s="1"/>
  <c r="F55" i="11"/>
  <c r="G55" i="11" s="1"/>
  <c r="F45" i="11"/>
  <c r="G45" i="11" s="1"/>
  <c r="F157" i="11"/>
  <c r="G157" i="11" s="1"/>
  <c r="F13" i="11"/>
  <c r="G13" i="11" s="1"/>
  <c r="F137" i="11"/>
  <c r="G137" i="11" s="1"/>
  <c r="F165" i="11"/>
  <c r="G165" i="11" s="1"/>
  <c r="F61" i="11"/>
  <c r="G61" i="11" s="1"/>
  <c r="F173" i="11"/>
  <c r="G173" i="11" s="1"/>
  <c r="F161" i="11"/>
  <c r="G161" i="11" s="1"/>
  <c r="F33" i="11"/>
  <c r="G33" i="11" s="1"/>
  <c r="F169" i="11"/>
  <c r="G169" i="11" s="1"/>
  <c r="F17" i="11"/>
  <c r="G17" i="11" s="1"/>
  <c r="F159" i="11"/>
  <c r="G159" i="11" s="1"/>
  <c r="F43" i="11"/>
  <c r="G43" i="11" s="1"/>
  <c r="F171" i="11"/>
  <c r="G171" i="11" s="1"/>
  <c r="F27" i="11"/>
  <c r="G27" i="11" s="1"/>
  <c r="F49" i="11"/>
  <c r="G49" i="11" s="1"/>
  <c r="F175" i="11"/>
  <c r="G175" i="11" s="1"/>
  <c r="F35" i="11"/>
  <c r="G35" i="11" s="1"/>
  <c r="F177" i="11"/>
  <c r="G177" i="11" s="1"/>
  <c r="F39" i="11"/>
  <c r="G39" i="11" s="1"/>
  <c r="F125" i="11"/>
  <c r="G125" i="11" s="1"/>
  <c r="F131" i="11"/>
  <c r="G131" i="11" s="1"/>
  <c r="F163" i="11"/>
  <c r="G163" i="11" s="1"/>
  <c r="F135" i="11"/>
  <c r="G135" i="11" s="1"/>
  <c r="F141" i="11"/>
  <c r="G141" i="11" s="1"/>
  <c r="F21" i="11"/>
  <c r="G21" i="11" s="1"/>
  <c r="F11" i="11"/>
  <c r="G11" i="11" s="1"/>
  <c r="F63" i="11"/>
  <c r="G63" i="11" s="1"/>
  <c r="F15" i="11"/>
  <c r="G15" i="11" s="1"/>
  <c r="F9" i="11"/>
  <c r="G9" i="11" s="1"/>
  <c r="F31" i="11"/>
  <c r="G31" i="11" s="1"/>
  <c r="F139" i="11"/>
  <c r="G139" i="11" s="1"/>
  <c r="F23" i="11"/>
  <c r="G23" i="11" s="1"/>
  <c r="F127" i="11"/>
  <c r="G127" i="11" s="1"/>
  <c r="F167" i="11"/>
  <c r="G167" i="11" s="1"/>
  <c r="F41" i="11"/>
  <c r="G41" i="11" s="1"/>
  <c r="F143" i="11"/>
  <c r="G143" i="11" s="1"/>
  <c r="F19" i="11"/>
  <c r="G19" i="11" s="1"/>
  <c r="F51" i="11"/>
  <c r="G51" i="11" s="1"/>
  <c r="F59" i="11"/>
  <c r="G59" i="11" s="1"/>
  <c r="F25" i="11"/>
  <c r="G25" i="11" s="1"/>
  <c r="F37" i="11"/>
  <c r="G37" i="11" s="1"/>
  <c r="F53" i="11"/>
  <c r="G53" i="11" s="1"/>
  <c r="F47" i="11"/>
  <c r="G47" i="11" s="1"/>
  <c r="F294" i="11"/>
  <c r="G294" i="11" s="1"/>
  <c r="F120" i="11"/>
  <c r="G120" i="11" s="1"/>
  <c r="F259" i="11"/>
  <c r="G259" i="11" s="1"/>
  <c r="F250" i="11"/>
  <c r="G250" i="11" s="1"/>
  <c r="F144" i="11"/>
  <c r="G144" i="11" s="1"/>
  <c r="F200" i="11"/>
  <c r="G200" i="11" s="1"/>
  <c r="F191" i="11"/>
  <c r="G191" i="11" s="1"/>
  <c r="F199" i="11"/>
  <c r="G199" i="11" s="1"/>
  <c r="F192" i="11"/>
  <c r="G192" i="11" s="1"/>
  <c r="F203" i="11"/>
  <c r="G203" i="11" s="1"/>
  <c r="F234" i="11"/>
  <c r="G234" i="11" s="1"/>
  <c r="F185" i="11"/>
  <c r="G185" i="11" s="1"/>
  <c r="F246" i="11"/>
  <c r="G246" i="11" s="1"/>
  <c r="F151" i="11"/>
  <c r="G151" i="11" s="1"/>
  <c r="F189" i="11"/>
  <c r="G189" i="11" s="1"/>
  <c r="F195" i="11"/>
  <c r="G195" i="11" s="1"/>
  <c r="F153" i="11"/>
  <c r="G153" i="11" s="1"/>
  <c r="F115" i="11"/>
  <c r="G115" i="11" s="1"/>
  <c r="F110" i="11"/>
  <c r="G110" i="11" s="1"/>
  <c r="F201" i="11"/>
  <c r="G201" i="11" s="1"/>
  <c r="F303" i="11"/>
  <c r="G303" i="11" s="1"/>
  <c r="F149" i="11"/>
  <c r="G149" i="11" s="1"/>
  <c r="F112" i="11"/>
  <c r="G112" i="11" s="1"/>
  <c r="F7" i="11"/>
  <c r="G7" i="11" s="1"/>
  <c r="F152" i="11"/>
  <c r="G152" i="11" s="1"/>
  <c r="F64" i="11"/>
  <c r="G64" i="11" s="1"/>
  <c r="F128" i="11"/>
  <c r="G128" i="11" s="1"/>
  <c r="F183" i="11"/>
  <c r="G183" i="11" s="1"/>
  <c r="F168" i="11"/>
  <c r="G168" i="11" s="1"/>
  <c r="F205" i="11"/>
  <c r="G205" i="11" s="1"/>
  <c r="F121" i="11"/>
  <c r="G121" i="11" s="1"/>
  <c r="F238" i="11"/>
  <c r="G238" i="11" s="1"/>
  <c r="F298" i="11"/>
  <c r="G298" i="11" s="1"/>
  <c r="F267" i="11"/>
  <c r="G267" i="11" s="1"/>
  <c r="F136" i="11"/>
  <c r="G136" i="11" s="1"/>
  <c r="F117" i="11"/>
  <c r="G117" i="11" s="1"/>
  <c r="F271" i="11"/>
  <c r="G271" i="11" s="1"/>
  <c r="F302" i="11"/>
  <c r="G302" i="11" s="1"/>
  <c r="F207" i="11"/>
  <c r="G207" i="11" s="1"/>
  <c r="F300" i="11"/>
  <c r="G300" i="11" s="1"/>
  <c r="F176" i="11"/>
  <c r="G176" i="11" s="1"/>
  <c r="F218" i="11"/>
  <c r="G218" i="11" s="1"/>
  <c r="F119" i="11"/>
  <c r="G119" i="11" s="1"/>
  <c r="F113" i="11"/>
  <c r="G113" i="11" s="1"/>
  <c r="F230" i="11"/>
  <c r="G230" i="11" s="1"/>
  <c r="F102" i="11"/>
  <c r="G102" i="11" s="1"/>
  <c r="F226" i="11"/>
  <c r="G226" i="11" s="1"/>
  <c r="F184" i="11"/>
  <c r="G184" i="11" s="1"/>
  <c r="F304" i="11"/>
  <c r="G304" i="11" s="1"/>
  <c r="F179" i="11"/>
  <c r="G179" i="11" s="1"/>
  <c r="F296" i="11"/>
  <c r="G296" i="11" s="1"/>
  <c r="F193" i="11"/>
  <c r="G193" i="11" s="1"/>
  <c r="F181" i="11"/>
  <c r="G181" i="11" s="1"/>
  <c r="F211" i="11"/>
  <c r="G211" i="11" s="1"/>
  <c r="F160" i="11"/>
  <c r="G160" i="11" s="1"/>
  <c r="F197" i="11"/>
  <c r="G197" i="11" s="1"/>
  <c r="F36" i="11"/>
  <c r="G36" i="11" s="1"/>
  <c r="F245" i="11"/>
  <c r="G245" i="11" s="1"/>
  <c r="F268" i="11"/>
  <c r="G268" i="11" s="1"/>
  <c r="F148" i="11"/>
  <c r="G148" i="11" s="1"/>
  <c r="F284" i="11"/>
  <c r="G284" i="11" s="1"/>
  <c r="F217" i="11"/>
  <c r="G217" i="11" s="1"/>
  <c r="F219" i="11"/>
  <c r="G219" i="11" s="1"/>
  <c r="F126" i="11"/>
  <c r="G126" i="11" s="1"/>
  <c r="F116" i="11"/>
  <c r="G116" i="11" s="1"/>
  <c r="F32" i="11"/>
  <c r="G32" i="11" s="1"/>
  <c r="F86" i="11"/>
  <c r="G86" i="11" s="1"/>
  <c r="F62" i="11"/>
  <c r="G62" i="11" s="1"/>
  <c r="F274" i="11"/>
  <c r="G274" i="11" s="1"/>
  <c r="F290" i="11"/>
  <c r="G290" i="11" s="1"/>
  <c r="F277" i="11"/>
  <c r="G277" i="11" s="1"/>
  <c r="F28" i="11"/>
  <c r="G28" i="11" s="1"/>
  <c r="F88" i="11"/>
  <c r="G88" i="11" s="1"/>
  <c r="F279" i="11"/>
  <c r="G279" i="11" s="1"/>
  <c r="F178" i="11"/>
  <c r="G178" i="11" s="1"/>
  <c r="F78" i="11"/>
  <c r="G78" i="11" s="1"/>
  <c r="F270" i="11"/>
  <c r="G270" i="11" s="1"/>
  <c r="F172" i="11"/>
  <c r="G172" i="11" s="1"/>
  <c r="F40" i="11"/>
  <c r="G40" i="11" s="1"/>
  <c r="F164" i="11"/>
  <c r="G164" i="11" s="1"/>
  <c r="F299" i="11"/>
  <c r="G299" i="11" s="1"/>
  <c r="F186" i="11"/>
  <c r="G186" i="11" s="1"/>
  <c r="F96" i="11"/>
  <c r="G96" i="11" s="1"/>
  <c r="F81" i="11"/>
  <c r="G81" i="11" s="1"/>
  <c r="F206" i="11"/>
  <c r="G206" i="11" s="1"/>
  <c r="F93" i="11"/>
  <c r="G93" i="11" s="1"/>
  <c r="F123" i="11"/>
  <c r="G123" i="11" s="1"/>
  <c r="F30" i="11"/>
  <c r="G30" i="11" s="1"/>
  <c r="F286" i="11"/>
  <c r="G286" i="11" s="1"/>
  <c r="F44" i="11"/>
  <c r="G44" i="11" s="1"/>
  <c r="F188" i="11"/>
  <c r="G188" i="11" s="1"/>
  <c r="F223" i="11"/>
  <c r="G223" i="11" s="1"/>
  <c r="F280" i="11"/>
  <c r="G280" i="11" s="1"/>
  <c r="F155" i="11"/>
  <c r="G155" i="11" s="1"/>
  <c r="F204" i="11"/>
  <c r="G204" i="11" s="1"/>
  <c r="F132" i="11"/>
  <c r="G132" i="11" s="1"/>
  <c r="F265" i="11"/>
  <c r="G265" i="11" s="1"/>
  <c r="F166" i="11"/>
  <c r="G166" i="11" s="1"/>
  <c r="F220" i="11"/>
  <c r="G220" i="11" s="1"/>
  <c r="F257" i="11"/>
  <c r="G257" i="11" s="1"/>
  <c r="F251" i="11"/>
  <c r="G251" i="11" s="1"/>
  <c r="F75" i="11"/>
  <c r="G75" i="11" s="1"/>
  <c r="F22" i="11"/>
  <c r="G22" i="11" s="1"/>
  <c r="F82" i="11"/>
  <c r="G82" i="11" s="1"/>
  <c r="F34" i="11"/>
  <c r="G34" i="11" s="1"/>
  <c r="F229" i="11"/>
  <c r="G229" i="11" s="1"/>
  <c r="F65" i="11"/>
  <c r="G65" i="11" s="1"/>
  <c r="F56" i="11"/>
  <c r="G56" i="11" s="1"/>
  <c r="F283" i="11"/>
  <c r="G283" i="11" s="1"/>
  <c r="F76" i="11"/>
  <c r="G76" i="11" s="1"/>
  <c r="F194" i="11"/>
  <c r="G194" i="11" s="1"/>
  <c r="F26" i="11"/>
  <c r="G26" i="11" s="1"/>
  <c r="F14" i="11"/>
  <c r="G14" i="11" s="1"/>
  <c r="F170" i="11"/>
  <c r="G170" i="11" s="1"/>
  <c r="F278" i="11"/>
  <c r="G278" i="11" s="1"/>
  <c r="F134" i="11"/>
  <c r="G134" i="11" s="1"/>
  <c r="F52" i="11"/>
  <c r="G52" i="11" s="1"/>
  <c r="F242" i="11"/>
  <c r="G242" i="11" s="1"/>
  <c r="F79" i="11"/>
  <c r="G79" i="11" s="1"/>
  <c r="F154" i="11"/>
  <c r="G154" i="11" s="1"/>
  <c r="F16" i="11"/>
  <c r="G16" i="11" s="1"/>
  <c r="F261" i="11"/>
  <c r="G261" i="11" s="1"/>
  <c r="F156" i="11"/>
  <c r="G156" i="11" s="1"/>
  <c r="F162" i="11"/>
  <c r="G162" i="11" s="1"/>
  <c r="F54" i="11"/>
  <c r="G54" i="11" s="1"/>
  <c r="F253" i="11"/>
  <c r="G253" i="11" s="1"/>
  <c r="F244" i="11"/>
  <c r="G244" i="11" s="1"/>
  <c r="F8" i="11"/>
  <c r="G8" i="11" s="1"/>
  <c r="F182" i="11"/>
  <c r="G182" i="11" s="1"/>
  <c r="F222" i="11"/>
  <c r="G222" i="11" s="1"/>
  <c r="F275" i="11"/>
  <c r="G275" i="11" s="1"/>
  <c r="F140" i="11"/>
  <c r="G140" i="11" s="1"/>
  <c r="F138" i="11"/>
  <c r="G138" i="11" s="1"/>
  <c r="F100" i="11"/>
  <c r="G100" i="11" s="1"/>
  <c r="F150" i="11"/>
  <c r="G150" i="11" s="1"/>
  <c r="F216" i="11"/>
  <c r="G216" i="11" s="1"/>
  <c r="F208" i="11"/>
  <c r="G208" i="11" s="1"/>
  <c r="F240" i="11"/>
  <c r="G240" i="11" s="1"/>
  <c r="F60" i="11"/>
  <c r="G60" i="11" s="1"/>
  <c r="F233" i="11"/>
  <c r="G233" i="11" s="1"/>
  <c r="F252" i="11"/>
  <c r="G252" i="11" s="1"/>
  <c r="F235" i="11"/>
  <c r="G235" i="11" s="1"/>
  <c r="F84" i="11"/>
  <c r="G84" i="11" s="1"/>
  <c r="F215" i="11"/>
  <c r="G215" i="11" s="1"/>
  <c r="F104" i="11"/>
  <c r="G104" i="11" s="1"/>
  <c r="F243" i="11"/>
  <c r="G243" i="11" s="1"/>
  <c r="F92" i="11"/>
  <c r="G92" i="11" s="1"/>
  <c r="F48" i="11"/>
  <c r="G48" i="11" s="1"/>
  <c r="F158" i="11"/>
  <c r="G158" i="11" s="1"/>
  <c r="F122" i="11"/>
  <c r="G122" i="11" s="1"/>
  <c r="F91" i="11"/>
  <c r="G91" i="11" s="1"/>
  <c r="F187" i="11"/>
  <c r="G187" i="11" s="1"/>
  <c r="F108" i="11"/>
  <c r="G108" i="11" s="1"/>
  <c r="F130" i="11"/>
  <c r="G130" i="11" s="1"/>
  <c r="F266" i="11"/>
  <c r="G266" i="11" s="1"/>
  <c r="F103" i="11"/>
  <c r="G103" i="11" s="1"/>
  <c r="F70" i="11"/>
  <c r="G70" i="11" s="1"/>
  <c r="F214" i="11"/>
  <c r="G214" i="11" s="1"/>
  <c r="F198" i="11"/>
  <c r="G198" i="11" s="1"/>
  <c r="F58" i="11"/>
  <c r="G58" i="11" s="1"/>
  <c r="F12" i="11"/>
  <c r="G12" i="11" s="1"/>
  <c r="F225" i="11"/>
  <c r="G225" i="11" s="1"/>
  <c r="F97" i="11"/>
  <c r="G97" i="11" s="1"/>
  <c r="F105" i="11"/>
  <c r="G105" i="11" s="1"/>
  <c r="F249" i="11"/>
  <c r="G249" i="11" s="1"/>
  <c r="F224" i="11"/>
  <c r="G224" i="11" s="1"/>
  <c r="F95" i="11"/>
  <c r="G95" i="11" s="1"/>
  <c r="F74" i="11"/>
  <c r="G74" i="11" s="1"/>
  <c r="F212" i="11"/>
  <c r="G212" i="11" s="1"/>
  <c r="F98" i="11"/>
  <c r="G98" i="11" s="1"/>
  <c r="F228" i="11"/>
  <c r="G228" i="11" s="1"/>
  <c r="F20" i="11"/>
  <c r="G20" i="11" s="1"/>
  <c r="F83" i="11"/>
  <c r="G83" i="11" s="1"/>
  <c r="F256" i="11"/>
  <c r="G256" i="11" s="1"/>
  <c r="F124" i="11"/>
  <c r="G124" i="11" s="1"/>
  <c r="F269" i="11"/>
  <c r="G269" i="11" s="1"/>
  <c r="F258" i="11"/>
  <c r="G258" i="11" s="1"/>
  <c r="F146" i="11"/>
  <c r="G146" i="11" s="1"/>
  <c r="F227" i="11"/>
  <c r="G227" i="11" s="1"/>
  <c r="F213" i="11"/>
  <c r="G213" i="11" s="1"/>
  <c r="F297" i="11"/>
  <c r="G297" i="11" s="1"/>
  <c r="F85" i="11"/>
  <c r="G85" i="11" s="1"/>
  <c r="F72" i="11"/>
  <c r="G72" i="11" s="1"/>
  <c r="F232" i="11"/>
  <c r="G232" i="11" s="1"/>
  <c r="F101" i="11"/>
  <c r="G101" i="11" s="1"/>
  <c r="F273" i="11"/>
  <c r="G273" i="11" s="1"/>
  <c r="F264" i="11"/>
  <c r="G264" i="11" s="1"/>
  <c r="F210" i="11"/>
  <c r="G210" i="11" s="1"/>
  <c r="F272" i="11"/>
  <c r="G272" i="11" s="1"/>
  <c r="F281" i="11"/>
  <c r="G281" i="11" s="1"/>
  <c r="F289" i="11"/>
  <c r="G289" i="11" s="1"/>
  <c r="F10" i="11"/>
  <c r="G10" i="11" s="1"/>
  <c r="F247" i="11"/>
  <c r="G247" i="11" s="1"/>
  <c r="F42" i="11"/>
  <c r="G42" i="11" s="1"/>
  <c r="F305" i="11"/>
  <c r="G305" i="11" s="1"/>
  <c r="F254" i="11"/>
  <c r="G254" i="11" s="1"/>
  <c r="F87" i="11"/>
  <c r="G87" i="11" s="1"/>
  <c r="F69" i="11"/>
  <c r="G69" i="11" s="1"/>
  <c r="F67" i="11"/>
  <c r="G67" i="11" s="1"/>
  <c r="F196" i="11"/>
  <c r="G196" i="11" s="1"/>
  <c r="F18" i="11"/>
  <c r="G18" i="11" s="1"/>
  <c r="F260" i="11"/>
  <c r="G260" i="11" s="1"/>
  <c r="F241" i="11"/>
  <c r="G241" i="11" s="1"/>
  <c r="F80" i="11"/>
  <c r="G80" i="11" s="1"/>
  <c r="F68" i="11"/>
  <c r="G68" i="11" s="1"/>
  <c r="F24" i="11"/>
  <c r="G24" i="11" s="1"/>
  <c r="F291" i="11"/>
  <c r="G291" i="11" s="1"/>
  <c r="F111" i="11"/>
  <c r="G111" i="11" s="1"/>
  <c r="F288" i="11"/>
  <c r="G288" i="11" s="1"/>
  <c r="F147" i="11"/>
  <c r="G147" i="11" s="1"/>
  <c r="F262" i="11"/>
  <c r="G262" i="11" s="1"/>
  <c r="F46" i="11"/>
  <c r="G46" i="11" s="1"/>
  <c r="F209" i="11"/>
  <c r="G209" i="11" s="1"/>
  <c r="F190" i="11"/>
  <c r="G190" i="11" s="1"/>
  <c r="F99" i="11"/>
  <c r="G99" i="11" s="1"/>
  <c r="F239" i="11"/>
  <c r="G239" i="11" s="1"/>
  <c r="F263" i="11"/>
  <c r="G263" i="11" s="1"/>
  <c r="F292" i="11"/>
  <c r="G292" i="11" s="1"/>
  <c r="F89" i="11"/>
  <c r="G89" i="11" s="1"/>
  <c r="F237" i="11"/>
  <c r="G237" i="11" s="1"/>
  <c r="F202" i="11"/>
  <c r="G202" i="11" s="1"/>
  <c r="F109" i="11"/>
  <c r="G109" i="11" s="1"/>
  <c r="F71" i="11"/>
  <c r="G71" i="11" s="1"/>
  <c r="F77" i="11"/>
  <c r="G77" i="11" s="1"/>
  <c r="F114" i="11"/>
  <c r="G114" i="11" s="1"/>
  <c r="F248" i="11"/>
  <c r="G248" i="11" s="1"/>
  <c r="F142" i="11"/>
  <c r="G142" i="11" s="1"/>
  <c r="F301" i="11"/>
  <c r="G301" i="11" s="1"/>
  <c r="F276" i="11"/>
  <c r="G276" i="11" s="1"/>
  <c r="F221" i="11"/>
  <c r="G221" i="11" s="1"/>
  <c r="F236" i="11"/>
  <c r="G236" i="11" s="1"/>
  <c r="F106" i="11"/>
  <c r="G106" i="11" s="1"/>
  <c r="F73" i="11"/>
  <c r="G73" i="11" s="1"/>
  <c r="F231" i="11"/>
  <c r="G231" i="11" s="1"/>
  <c r="F107" i="11"/>
  <c r="G107" i="11" s="1"/>
  <c r="F282" i="11"/>
  <c r="G282" i="11" s="1"/>
  <c r="F38" i="11"/>
  <c r="G38" i="11" s="1"/>
  <c r="F66" i="11"/>
  <c r="G66" i="11" s="1"/>
  <c r="F180" i="11"/>
  <c r="G180" i="11" s="1"/>
  <c r="F174" i="11"/>
  <c r="G174" i="11" s="1"/>
  <c r="F90" i="11"/>
  <c r="G90" i="11" s="1"/>
  <c r="F255" i="11"/>
  <c r="G255" i="11" s="1"/>
  <c r="F293" i="11"/>
  <c r="G293" i="11" s="1"/>
  <c r="F295" i="11"/>
  <c r="G295" i="11" s="1"/>
  <c r="F287" i="11"/>
  <c r="G287" i="11" s="1"/>
  <c r="F285" i="11"/>
  <c r="G285" i="11" s="1"/>
  <c r="F118" i="11"/>
  <c r="G118" i="11" s="1"/>
  <c r="F94" i="11"/>
  <c r="G94" i="11" s="1"/>
  <c r="F50" i="11"/>
  <c r="G50" i="11" s="1"/>
  <c r="K17" i="11"/>
  <c r="L17" i="11" s="1"/>
  <c r="K159" i="11"/>
  <c r="L159" i="11" s="1"/>
  <c r="K43" i="11"/>
  <c r="L43" i="11" s="1"/>
  <c r="K171" i="11"/>
  <c r="L171" i="11" s="1"/>
  <c r="K27" i="11"/>
  <c r="L27" i="11" s="1"/>
  <c r="K49" i="11"/>
  <c r="L49" i="11" s="1"/>
  <c r="K137" i="11"/>
  <c r="L137" i="11" s="1"/>
  <c r="K157" i="11"/>
  <c r="L157" i="11" s="1"/>
  <c r="K57" i="11"/>
  <c r="L57" i="11" s="1"/>
  <c r="K133" i="11"/>
  <c r="L133" i="11" s="1"/>
  <c r="K173" i="11"/>
  <c r="L173" i="11" s="1"/>
  <c r="K145" i="11"/>
  <c r="L145" i="11" s="1"/>
  <c r="K165" i="11"/>
  <c r="L165" i="11" s="1"/>
  <c r="K55" i="11"/>
  <c r="L55" i="11" s="1"/>
  <c r="K161" i="11"/>
  <c r="L161" i="11" s="1"/>
  <c r="K33" i="11"/>
  <c r="L33" i="11" s="1"/>
  <c r="K13" i="11"/>
  <c r="L13" i="11" s="1"/>
  <c r="K169" i="11"/>
  <c r="L169" i="11" s="1"/>
  <c r="K45" i="11"/>
  <c r="L45" i="11" s="1"/>
  <c r="K61" i="11"/>
  <c r="L61" i="11" s="1"/>
  <c r="K29" i="11"/>
  <c r="L29" i="11" s="1"/>
  <c r="K129" i="11"/>
  <c r="L129" i="11" s="1"/>
  <c r="K19" i="11"/>
  <c r="L19" i="11" s="1"/>
  <c r="K177" i="11"/>
  <c r="L177" i="11" s="1"/>
  <c r="K39" i="11"/>
  <c r="L39" i="11" s="1"/>
  <c r="K125" i="11"/>
  <c r="L125" i="11" s="1"/>
  <c r="K131" i="11"/>
  <c r="L131" i="11" s="1"/>
  <c r="K25" i="11"/>
  <c r="L25" i="11" s="1"/>
  <c r="K37" i="11"/>
  <c r="L37" i="11" s="1"/>
  <c r="K135" i="11"/>
  <c r="L135" i="11" s="1"/>
  <c r="K53" i="11"/>
  <c r="L53" i="11" s="1"/>
  <c r="K47" i="11"/>
  <c r="L47" i="11" s="1"/>
  <c r="K175" i="11"/>
  <c r="L175" i="11" s="1"/>
  <c r="K63" i="11"/>
  <c r="L63" i="11" s="1"/>
  <c r="K35" i="11"/>
  <c r="L35" i="11" s="1"/>
  <c r="K31" i="11"/>
  <c r="L31" i="11" s="1"/>
  <c r="K41" i="11"/>
  <c r="L41" i="11" s="1"/>
  <c r="K51" i="11"/>
  <c r="L51" i="11" s="1"/>
  <c r="K59" i="11"/>
  <c r="L59" i="11" s="1"/>
  <c r="K163" i="11"/>
  <c r="L163" i="11" s="1"/>
  <c r="K141" i="11"/>
  <c r="L141" i="11" s="1"/>
  <c r="K21" i="11"/>
  <c r="L21" i="11" s="1"/>
  <c r="K11" i="11"/>
  <c r="L11" i="11" s="1"/>
  <c r="K15" i="11"/>
  <c r="L15" i="11" s="1"/>
  <c r="K9" i="11"/>
  <c r="L9" i="11" s="1"/>
  <c r="K139" i="11"/>
  <c r="L139" i="11" s="1"/>
  <c r="K23" i="11"/>
  <c r="L23" i="11" s="1"/>
  <c r="K127" i="11"/>
  <c r="L127" i="11" s="1"/>
  <c r="K167" i="11"/>
  <c r="L167" i="11" s="1"/>
  <c r="K143" i="11"/>
  <c r="L143" i="11" s="1"/>
  <c r="K303" i="11"/>
  <c r="L303" i="11" s="1"/>
  <c r="K298" i="11"/>
  <c r="L298" i="11" s="1"/>
  <c r="K153" i="11"/>
  <c r="L153" i="11" s="1"/>
  <c r="K267" i="11"/>
  <c r="L267" i="11" s="1"/>
  <c r="K115" i="11"/>
  <c r="L115" i="11" s="1"/>
  <c r="K112" i="11"/>
  <c r="L112" i="11" s="1"/>
  <c r="K152" i="11"/>
  <c r="L152" i="11" s="1"/>
  <c r="K64" i="11"/>
  <c r="L64" i="11" s="1"/>
  <c r="K128" i="11"/>
  <c r="L128" i="11" s="1"/>
  <c r="K302" i="11"/>
  <c r="L302" i="11" s="1"/>
  <c r="K201" i="11"/>
  <c r="L201" i="11" s="1"/>
  <c r="K121" i="11"/>
  <c r="L121" i="11" s="1"/>
  <c r="K144" i="11"/>
  <c r="L144" i="11" s="1"/>
  <c r="K191" i="11"/>
  <c r="L191" i="11" s="1"/>
  <c r="K199" i="11"/>
  <c r="L199" i="11" s="1"/>
  <c r="K192" i="11"/>
  <c r="L192" i="11" s="1"/>
  <c r="K185" i="11"/>
  <c r="L185" i="11" s="1"/>
  <c r="K294" i="11"/>
  <c r="L294" i="11" s="1"/>
  <c r="K259" i="11"/>
  <c r="L259" i="11" s="1"/>
  <c r="K176" i="11"/>
  <c r="L176" i="11" s="1"/>
  <c r="K250" i="11"/>
  <c r="L250" i="11" s="1"/>
  <c r="K119" i="11"/>
  <c r="L119" i="11" s="1"/>
  <c r="K113" i="11"/>
  <c r="L113" i="11" s="1"/>
  <c r="K230" i="11"/>
  <c r="L230" i="11" s="1"/>
  <c r="K102" i="11"/>
  <c r="L102" i="11" s="1"/>
  <c r="K184" i="11"/>
  <c r="L184" i="11" s="1"/>
  <c r="K304" i="11"/>
  <c r="L304" i="11" s="1"/>
  <c r="K234" i="11"/>
  <c r="L234" i="11" s="1"/>
  <c r="K296" i="11"/>
  <c r="L296" i="11" s="1"/>
  <c r="K193" i="11"/>
  <c r="L193" i="11" s="1"/>
  <c r="K151" i="11"/>
  <c r="L151" i="11" s="1"/>
  <c r="K181" i="11"/>
  <c r="L181" i="11" s="1"/>
  <c r="K195" i="11"/>
  <c r="L195" i="11" s="1"/>
  <c r="K211" i="11"/>
  <c r="L211" i="11" s="1"/>
  <c r="K300" i="11"/>
  <c r="L300" i="11" s="1"/>
  <c r="K120" i="11"/>
  <c r="L120" i="11" s="1"/>
  <c r="K218" i="11"/>
  <c r="L218" i="11" s="1"/>
  <c r="K200" i="11"/>
  <c r="L200" i="11" s="1"/>
  <c r="K226" i="11"/>
  <c r="L226" i="11" s="1"/>
  <c r="K203" i="11"/>
  <c r="L203" i="11" s="1"/>
  <c r="K179" i="11"/>
  <c r="L179" i="11" s="1"/>
  <c r="K238" i="11"/>
  <c r="L238" i="11" s="1"/>
  <c r="K149" i="11"/>
  <c r="L149" i="11" s="1"/>
  <c r="K136" i="11"/>
  <c r="L136" i="11" s="1"/>
  <c r="K117" i="11"/>
  <c r="L117" i="11" s="1"/>
  <c r="K160" i="11"/>
  <c r="L160" i="11" s="1"/>
  <c r="K7" i="11"/>
  <c r="L7" i="11" s="1"/>
  <c r="K271" i="11"/>
  <c r="L271" i="11" s="1"/>
  <c r="K197" i="11"/>
  <c r="L197" i="11" s="1"/>
  <c r="K183" i="11"/>
  <c r="L183" i="11" s="1"/>
  <c r="K207" i="11"/>
  <c r="L207" i="11" s="1"/>
  <c r="K110" i="11"/>
  <c r="L110" i="11" s="1"/>
  <c r="K168" i="11"/>
  <c r="L168" i="11" s="1"/>
  <c r="K205" i="11"/>
  <c r="L205" i="11" s="1"/>
  <c r="K246" i="11"/>
  <c r="L246" i="11" s="1"/>
  <c r="K189" i="11"/>
  <c r="L189" i="11" s="1"/>
  <c r="K65" i="11"/>
  <c r="L65" i="11" s="1"/>
  <c r="K100" i="11"/>
  <c r="L100" i="11" s="1"/>
  <c r="K10" i="11"/>
  <c r="L10" i="11" s="1"/>
  <c r="K283" i="11"/>
  <c r="L283" i="11" s="1"/>
  <c r="K216" i="11"/>
  <c r="L216" i="11" s="1"/>
  <c r="K208" i="11"/>
  <c r="L208" i="11" s="1"/>
  <c r="K240" i="11"/>
  <c r="L240" i="11" s="1"/>
  <c r="K60" i="11"/>
  <c r="L60" i="11" s="1"/>
  <c r="K42" i="11"/>
  <c r="L42" i="11" s="1"/>
  <c r="K174" i="11"/>
  <c r="L174" i="11" s="1"/>
  <c r="K26" i="11"/>
  <c r="L26" i="11" s="1"/>
  <c r="K215" i="11"/>
  <c r="L215" i="11" s="1"/>
  <c r="K104" i="11"/>
  <c r="L104" i="11" s="1"/>
  <c r="K14" i="11"/>
  <c r="L14" i="11" s="1"/>
  <c r="K293" i="11"/>
  <c r="L293" i="11" s="1"/>
  <c r="K170" i="11"/>
  <c r="L170" i="11" s="1"/>
  <c r="K48" i="11"/>
  <c r="L48" i="11" s="1"/>
  <c r="K278" i="11"/>
  <c r="L278" i="11" s="1"/>
  <c r="K91" i="11"/>
  <c r="L91" i="11" s="1"/>
  <c r="K108" i="11"/>
  <c r="L108" i="11" s="1"/>
  <c r="K130" i="11"/>
  <c r="L130" i="11" s="1"/>
  <c r="K134" i="11"/>
  <c r="L134" i="11" s="1"/>
  <c r="K103" i="11"/>
  <c r="L103" i="11" s="1"/>
  <c r="K70" i="11"/>
  <c r="L70" i="11" s="1"/>
  <c r="K214" i="11"/>
  <c r="L214" i="11" s="1"/>
  <c r="K242" i="11"/>
  <c r="L242" i="11" s="1"/>
  <c r="K198" i="11"/>
  <c r="L198" i="11" s="1"/>
  <c r="K18" i="11"/>
  <c r="L18" i="11" s="1"/>
  <c r="K154" i="11"/>
  <c r="L154" i="11" s="1"/>
  <c r="K260" i="11"/>
  <c r="L260" i="11" s="1"/>
  <c r="K16" i="11"/>
  <c r="L16" i="11" s="1"/>
  <c r="K224" i="11"/>
  <c r="L224" i="11" s="1"/>
  <c r="K261" i="11"/>
  <c r="L261" i="11" s="1"/>
  <c r="K241" i="11"/>
  <c r="L241" i="11" s="1"/>
  <c r="K285" i="11"/>
  <c r="L285" i="11" s="1"/>
  <c r="K74" i="11"/>
  <c r="L74" i="11" s="1"/>
  <c r="K212" i="11"/>
  <c r="L212" i="11" s="1"/>
  <c r="K156" i="11"/>
  <c r="L156" i="11" s="1"/>
  <c r="K98" i="11"/>
  <c r="L98" i="11" s="1"/>
  <c r="K83" i="11"/>
  <c r="L83" i="11" s="1"/>
  <c r="K256" i="11"/>
  <c r="L256" i="11" s="1"/>
  <c r="K124" i="11"/>
  <c r="L124" i="11" s="1"/>
  <c r="K54" i="11"/>
  <c r="L54" i="11" s="1"/>
  <c r="K253" i="11"/>
  <c r="L253" i="11" s="1"/>
  <c r="K24" i="11"/>
  <c r="L24" i="11" s="1"/>
  <c r="K291" i="11"/>
  <c r="L291" i="11" s="1"/>
  <c r="K297" i="11"/>
  <c r="L297" i="11" s="1"/>
  <c r="K111" i="11"/>
  <c r="L111" i="11" s="1"/>
  <c r="K244" i="11"/>
  <c r="L244" i="11" s="1"/>
  <c r="K72" i="11"/>
  <c r="L72" i="11" s="1"/>
  <c r="K8" i="11"/>
  <c r="L8" i="11" s="1"/>
  <c r="K50" i="11"/>
  <c r="L50" i="11" s="1"/>
  <c r="K232" i="11"/>
  <c r="L232" i="11" s="1"/>
  <c r="K275" i="11"/>
  <c r="L275" i="11" s="1"/>
  <c r="K118" i="11"/>
  <c r="L118" i="11" s="1"/>
  <c r="K94" i="11"/>
  <c r="L94" i="11" s="1"/>
  <c r="K68" i="11"/>
  <c r="L68" i="11" s="1"/>
  <c r="K146" i="11"/>
  <c r="L146" i="11" s="1"/>
  <c r="K213" i="11"/>
  <c r="L213" i="11" s="1"/>
  <c r="K85" i="11"/>
  <c r="L85" i="11" s="1"/>
  <c r="K182" i="11"/>
  <c r="L182" i="11" s="1"/>
  <c r="K222" i="11"/>
  <c r="L222" i="11" s="1"/>
  <c r="K147" i="11"/>
  <c r="L147" i="11" s="1"/>
  <c r="K209" i="11"/>
  <c r="L209" i="11" s="1"/>
  <c r="K126" i="11"/>
  <c r="L126" i="11" s="1"/>
  <c r="K32" i="11"/>
  <c r="L32" i="11" s="1"/>
  <c r="K86" i="11"/>
  <c r="L86" i="11" s="1"/>
  <c r="K89" i="11"/>
  <c r="L89" i="11" s="1"/>
  <c r="K237" i="11"/>
  <c r="L237" i="11" s="1"/>
  <c r="K109" i="11"/>
  <c r="L109" i="11" s="1"/>
  <c r="K71" i="11"/>
  <c r="L71" i="11" s="1"/>
  <c r="K279" i="11"/>
  <c r="L279" i="11" s="1"/>
  <c r="K178" i="11"/>
  <c r="L178" i="11" s="1"/>
  <c r="K78" i="11"/>
  <c r="L78" i="11" s="1"/>
  <c r="K142" i="11"/>
  <c r="L142" i="11" s="1"/>
  <c r="K164" i="11"/>
  <c r="L164" i="11" s="1"/>
  <c r="K282" i="11"/>
  <c r="L282" i="11" s="1"/>
  <c r="K206" i="11"/>
  <c r="L206" i="11" s="1"/>
  <c r="K123" i="11"/>
  <c r="L123" i="11" s="1"/>
  <c r="K251" i="11"/>
  <c r="L251" i="11" s="1"/>
  <c r="K280" i="11"/>
  <c r="L280" i="11" s="1"/>
  <c r="K22" i="11"/>
  <c r="L22" i="11" s="1"/>
  <c r="K180" i="11"/>
  <c r="L180" i="11" s="1"/>
  <c r="K265" i="11"/>
  <c r="L265" i="11" s="1"/>
  <c r="K36" i="11"/>
  <c r="L36" i="11" s="1"/>
  <c r="K245" i="11"/>
  <c r="L245" i="11" s="1"/>
  <c r="K268" i="11"/>
  <c r="L268" i="11" s="1"/>
  <c r="K148" i="11"/>
  <c r="L148" i="11" s="1"/>
  <c r="K284" i="11"/>
  <c r="L284" i="11" s="1"/>
  <c r="K217" i="11"/>
  <c r="L217" i="11" s="1"/>
  <c r="K190" i="11"/>
  <c r="L190" i="11" s="1"/>
  <c r="K99" i="11"/>
  <c r="L99" i="11" s="1"/>
  <c r="K239" i="11"/>
  <c r="L239" i="11" s="1"/>
  <c r="K263" i="11"/>
  <c r="L263" i="11" s="1"/>
  <c r="K219" i="11"/>
  <c r="L219" i="11" s="1"/>
  <c r="K116" i="11"/>
  <c r="L116" i="11" s="1"/>
  <c r="K62" i="11"/>
  <c r="L62" i="11" s="1"/>
  <c r="K274" i="11"/>
  <c r="L274" i="11" s="1"/>
  <c r="K290" i="11"/>
  <c r="L290" i="11" s="1"/>
  <c r="K277" i="11"/>
  <c r="L277" i="11" s="1"/>
  <c r="K202" i="11"/>
  <c r="L202" i="11" s="1"/>
  <c r="K28" i="11"/>
  <c r="L28" i="11" s="1"/>
  <c r="K77" i="11"/>
  <c r="L77" i="11" s="1"/>
  <c r="K114" i="11"/>
  <c r="L114" i="11" s="1"/>
  <c r="K248" i="11"/>
  <c r="L248" i="11" s="1"/>
  <c r="K270" i="11"/>
  <c r="L270" i="11" s="1"/>
  <c r="K172" i="11"/>
  <c r="L172" i="11" s="1"/>
  <c r="K106" i="11"/>
  <c r="L106" i="11" s="1"/>
  <c r="K299" i="11"/>
  <c r="L299" i="11" s="1"/>
  <c r="K96" i="11"/>
  <c r="L96" i="11" s="1"/>
  <c r="K231" i="11"/>
  <c r="L231" i="11" s="1"/>
  <c r="K81" i="11"/>
  <c r="L81" i="11" s="1"/>
  <c r="K93" i="11"/>
  <c r="L93" i="11" s="1"/>
  <c r="K30" i="11"/>
  <c r="L30" i="11" s="1"/>
  <c r="K75" i="11"/>
  <c r="L75" i="11" s="1"/>
  <c r="K286" i="11"/>
  <c r="L286" i="11" s="1"/>
  <c r="K44" i="11"/>
  <c r="L44" i="11" s="1"/>
  <c r="K155" i="11"/>
  <c r="L155" i="11" s="1"/>
  <c r="K273" i="11"/>
  <c r="L273" i="11" s="1"/>
  <c r="K82" i="11"/>
  <c r="L82" i="11" s="1"/>
  <c r="K34" i="11"/>
  <c r="L34" i="11" s="1"/>
  <c r="K264" i="11"/>
  <c r="L264" i="11" s="1"/>
  <c r="K210" i="11"/>
  <c r="L210" i="11" s="1"/>
  <c r="K272" i="11"/>
  <c r="L272" i="11" s="1"/>
  <c r="K132" i="11"/>
  <c r="L132" i="11" s="1"/>
  <c r="K281" i="11"/>
  <c r="L281" i="11" s="1"/>
  <c r="K289" i="11"/>
  <c r="L289" i="11" s="1"/>
  <c r="K220" i="11"/>
  <c r="L220" i="11" s="1"/>
  <c r="K162" i="11"/>
  <c r="L162" i="11" s="1"/>
  <c r="K258" i="11"/>
  <c r="L258" i="11" s="1"/>
  <c r="K227" i="11"/>
  <c r="L227" i="11" s="1"/>
  <c r="K262" i="11"/>
  <c r="L262" i="11" s="1"/>
  <c r="K276" i="11"/>
  <c r="L276" i="11" s="1"/>
  <c r="K221" i="11"/>
  <c r="L221" i="11" s="1"/>
  <c r="K236" i="11"/>
  <c r="L236" i="11" s="1"/>
  <c r="K186" i="11"/>
  <c r="L186" i="11" s="1"/>
  <c r="K73" i="11"/>
  <c r="L73" i="11" s="1"/>
  <c r="K107" i="11"/>
  <c r="L107" i="11" s="1"/>
  <c r="K38" i="11"/>
  <c r="L38" i="11" s="1"/>
  <c r="K257" i="11"/>
  <c r="L257" i="11" s="1"/>
  <c r="K66" i="11"/>
  <c r="L66" i="11" s="1"/>
  <c r="K223" i="11"/>
  <c r="L223" i="11" s="1"/>
  <c r="K204" i="11"/>
  <c r="L204" i="11" s="1"/>
  <c r="K166" i="11"/>
  <c r="L166" i="11" s="1"/>
  <c r="K229" i="11"/>
  <c r="L229" i="11" s="1"/>
  <c r="K140" i="11"/>
  <c r="L140" i="11" s="1"/>
  <c r="K56" i="11"/>
  <c r="L56" i="11" s="1"/>
  <c r="K138" i="11"/>
  <c r="L138" i="11" s="1"/>
  <c r="K150" i="11"/>
  <c r="L150" i="11" s="1"/>
  <c r="K76" i="11"/>
  <c r="L76" i="11" s="1"/>
  <c r="K247" i="11"/>
  <c r="L247" i="11" s="1"/>
  <c r="K194" i="11"/>
  <c r="L194" i="11" s="1"/>
  <c r="K233" i="11"/>
  <c r="L233" i="11" s="1"/>
  <c r="K252" i="11"/>
  <c r="L252" i="11" s="1"/>
  <c r="K305" i="11"/>
  <c r="L305" i="11" s="1"/>
  <c r="K235" i="11"/>
  <c r="L235" i="11" s="1"/>
  <c r="K84" i="11"/>
  <c r="L84" i="11" s="1"/>
  <c r="K90" i="11"/>
  <c r="L90" i="11" s="1"/>
  <c r="K255" i="11"/>
  <c r="L255" i="11" s="1"/>
  <c r="K243" i="11"/>
  <c r="L243" i="11" s="1"/>
  <c r="K254" i="11"/>
  <c r="L254" i="11" s="1"/>
  <c r="K92" i="11"/>
  <c r="L92" i="11" s="1"/>
  <c r="K87" i="11"/>
  <c r="L87" i="11" s="1"/>
  <c r="K158" i="11"/>
  <c r="L158" i="11" s="1"/>
  <c r="K122" i="11"/>
  <c r="L122" i="11" s="1"/>
  <c r="K69" i="11"/>
  <c r="L69" i="11" s="1"/>
  <c r="K187" i="11"/>
  <c r="L187" i="11" s="1"/>
  <c r="K295" i="11"/>
  <c r="L295" i="11" s="1"/>
  <c r="K67" i="11"/>
  <c r="L67" i="11" s="1"/>
  <c r="K287" i="11"/>
  <c r="L287" i="11" s="1"/>
  <c r="K196" i="11"/>
  <c r="L196" i="11" s="1"/>
  <c r="K266" i="11"/>
  <c r="L266" i="11" s="1"/>
  <c r="K52" i="11"/>
  <c r="L52" i="11" s="1"/>
  <c r="K79" i="11"/>
  <c r="L79" i="11" s="1"/>
  <c r="K58" i="11"/>
  <c r="L58" i="11" s="1"/>
  <c r="K12" i="11"/>
  <c r="L12" i="11" s="1"/>
  <c r="K225" i="11"/>
  <c r="L225" i="11" s="1"/>
  <c r="K97" i="11"/>
  <c r="L97" i="11" s="1"/>
  <c r="K105" i="11"/>
  <c r="L105" i="11" s="1"/>
  <c r="K249" i="11"/>
  <c r="L249" i="11" s="1"/>
  <c r="K95" i="11"/>
  <c r="L95" i="11" s="1"/>
  <c r="K80" i="11"/>
  <c r="L80" i="11" s="1"/>
  <c r="K228" i="11"/>
  <c r="L228" i="11" s="1"/>
  <c r="K20" i="11"/>
  <c r="L20" i="11" s="1"/>
  <c r="K269" i="11"/>
  <c r="L269" i="11" s="1"/>
  <c r="K288" i="11"/>
  <c r="L288" i="11" s="1"/>
  <c r="K46" i="11"/>
  <c r="L46" i="11" s="1"/>
  <c r="K292" i="11"/>
  <c r="L292" i="11" s="1"/>
  <c r="K88" i="11"/>
  <c r="L88" i="11" s="1"/>
  <c r="K301" i="11"/>
  <c r="L301" i="11" s="1"/>
  <c r="K40" i="11"/>
  <c r="L40" i="11" s="1"/>
  <c r="K188" i="11"/>
  <c r="L188" i="11" s="1"/>
  <c r="K101" i="11"/>
  <c r="L101" i="11" s="1"/>
  <c r="C306" i="49" l="1"/>
  <c r="B6" i="49"/>
  <c r="A6" i="49"/>
  <c r="B306" i="49" l="1"/>
  <c r="B7" i="48"/>
  <c r="B8" i="48" l="1"/>
  <c r="F8" i="48"/>
  <c r="B9" i="48"/>
  <c r="C33" i="40"/>
  <c r="B6" i="13"/>
  <c r="A6" i="13"/>
  <c r="B6" i="39"/>
  <c r="A6" i="39"/>
  <c r="B6" i="12"/>
  <c r="A6" i="12"/>
  <c r="J306" i="11"/>
  <c r="D12" i="34"/>
  <c r="B12" i="34"/>
  <c r="A12" i="34"/>
  <c r="C6" i="37"/>
  <c r="B6" i="37"/>
  <c r="A6" i="37"/>
  <c r="C9" i="36"/>
  <c r="B9" i="36"/>
  <c r="A9" i="36"/>
  <c r="B12" i="9"/>
  <c r="A12" i="9"/>
  <c r="E15" i="48" l="1"/>
  <c r="E14" i="48"/>
  <c r="D312" i="34"/>
  <c r="B306" i="37"/>
  <c r="C306" i="37"/>
  <c r="C309" i="36"/>
  <c r="B309" i="36"/>
  <c r="B306" i="12"/>
  <c r="B306" i="39"/>
  <c r="B306" i="13"/>
  <c r="B312" i="34"/>
  <c r="B312" i="9"/>
  <c r="F15" i="48" l="1"/>
  <c r="G4" i="33"/>
  <c r="G5" i="33"/>
  <c r="B6" i="33" l="1"/>
  <c r="A6" i="33"/>
  <c r="B6" i="19"/>
  <c r="A6" i="19"/>
  <c r="R306" i="42"/>
  <c r="Q306" i="42"/>
  <c r="P306" i="42"/>
  <c r="O306" i="42"/>
  <c r="B306" i="42"/>
  <c r="B306" i="19" l="1"/>
  <c r="B306" i="33"/>
  <c r="F9" i="48" s="1"/>
  <c r="E5" i="37" l="1"/>
  <c r="E8" i="36"/>
  <c r="D33" i="40"/>
  <c r="F8" i="36" s="1"/>
  <c r="E33" i="40"/>
  <c r="G8" i="36" s="1"/>
  <c r="F33" i="40"/>
  <c r="H8" i="36" s="1"/>
  <c r="G33" i="40"/>
  <c r="I8" i="36" s="1"/>
  <c r="H33" i="40"/>
  <c r="J8" i="36" s="1"/>
  <c r="D8" i="36"/>
  <c r="K306" i="19" l="1"/>
  <c r="C6" i="19"/>
  <c r="H6" i="19"/>
  <c r="I6" i="19"/>
  <c r="J6" i="19"/>
  <c r="E5" i="36"/>
  <c r="G5" i="36"/>
  <c r="I5" i="36"/>
  <c r="H5" i="36"/>
  <c r="G6" i="36"/>
  <c r="D5" i="36"/>
  <c r="D6" i="36"/>
  <c r="E6" i="36"/>
  <c r="F5" i="36"/>
  <c r="F6" i="36"/>
  <c r="H6" i="36"/>
  <c r="J5" i="36"/>
  <c r="I6" i="36"/>
  <c r="I23" i="36" l="1"/>
  <c r="I27" i="36"/>
  <c r="I31" i="36"/>
  <c r="I44" i="36"/>
  <c r="I47" i="36"/>
  <c r="I49" i="36"/>
  <c r="I52" i="36"/>
  <c r="I53" i="36"/>
  <c r="I56" i="36"/>
  <c r="I65" i="36"/>
  <c r="I66" i="36"/>
  <c r="I81" i="36"/>
  <c r="I82" i="36"/>
  <c r="I92" i="36"/>
  <c r="I19" i="36"/>
  <c r="I24" i="36"/>
  <c r="I28" i="36"/>
  <c r="I32" i="36"/>
  <c r="I48" i="36"/>
  <c r="I69" i="36"/>
  <c r="I70" i="36"/>
  <c r="I85" i="36"/>
  <c r="I86" i="36"/>
  <c r="I15" i="36"/>
  <c r="I40" i="36"/>
  <c r="I78" i="36"/>
  <c r="I103" i="36"/>
  <c r="I116" i="36"/>
  <c r="I120" i="36"/>
  <c r="I124" i="36"/>
  <c r="I128" i="36"/>
  <c r="I132" i="36"/>
  <c r="I136" i="36"/>
  <c r="I140" i="36"/>
  <c r="I20" i="36"/>
  <c r="I61" i="36"/>
  <c r="I73" i="36"/>
  <c r="I89" i="36"/>
  <c r="I98" i="36"/>
  <c r="I106" i="36"/>
  <c r="I108" i="36"/>
  <c r="I119" i="36"/>
  <c r="I173" i="36"/>
  <c r="I177" i="36"/>
  <c r="I187" i="36"/>
  <c r="I192" i="36"/>
  <c r="I207" i="36"/>
  <c r="I210" i="36"/>
  <c r="I230" i="36"/>
  <c r="I241" i="36"/>
  <c r="I246" i="36"/>
  <c r="I254" i="36"/>
  <c r="I255" i="36"/>
  <c r="I11" i="36"/>
  <c r="I57" i="36"/>
  <c r="I62" i="36"/>
  <c r="I94" i="36"/>
  <c r="I99" i="36"/>
  <c r="I107" i="36"/>
  <c r="I111" i="36"/>
  <c r="I112" i="36"/>
  <c r="I114" i="36"/>
  <c r="I12" i="36"/>
  <c r="I16" i="36"/>
  <c r="I36" i="36"/>
  <c r="I45" i="36"/>
  <c r="I74" i="36"/>
  <c r="I77" i="36"/>
  <c r="I95" i="36"/>
  <c r="I102" i="36"/>
  <c r="I104" i="36"/>
  <c r="I115" i="36"/>
  <c r="I121" i="36"/>
  <c r="I125" i="36"/>
  <c r="I129" i="36"/>
  <c r="I133" i="36"/>
  <c r="I137" i="36"/>
  <c r="I141" i="36"/>
  <c r="I145" i="36"/>
  <c r="I149" i="36"/>
  <c r="I153" i="36"/>
  <c r="I157" i="36"/>
  <c r="I161" i="36"/>
  <c r="I164" i="36"/>
  <c r="I168" i="36"/>
  <c r="I179" i="36"/>
  <c r="I184" i="36"/>
  <c r="I195" i="36"/>
  <c r="I215" i="36"/>
  <c r="I219" i="36"/>
  <c r="I222" i="36"/>
  <c r="I233" i="36"/>
  <c r="I238" i="36"/>
  <c r="I249" i="36"/>
  <c r="I260" i="36"/>
  <c r="I264" i="36"/>
  <c r="I268" i="36"/>
  <c r="I272" i="36"/>
  <c r="I276" i="36"/>
  <c r="I280" i="36"/>
  <c r="I284" i="36"/>
  <c r="I288" i="36"/>
  <c r="I292" i="36"/>
  <c r="I296" i="36"/>
  <c r="I300" i="36"/>
  <c r="I304" i="36"/>
  <c r="I308" i="36"/>
  <c r="I172" i="36"/>
  <c r="I188" i="36"/>
  <c r="I214" i="36"/>
  <c r="I234" i="36"/>
  <c r="I253" i="36"/>
  <c r="I148" i="36"/>
  <c r="I156" i="36"/>
  <c r="I169" i="36"/>
  <c r="I180" i="36"/>
  <c r="I200" i="36"/>
  <c r="I206" i="36"/>
  <c r="I211" i="36"/>
  <c r="I226" i="36"/>
  <c r="I245" i="36"/>
  <c r="I261" i="36"/>
  <c r="I269" i="36"/>
  <c r="I277" i="36"/>
  <c r="I285" i="36"/>
  <c r="I293" i="36"/>
  <c r="I301" i="36"/>
  <c r="I176" i="36"/>
  <c r="I191" i="36"/>
  <c r="I201" i="36"/>
  <c r="I203" i="36"/>
  <c r="I218" i="36"/>
  <c r="I223" i="36"/>
  <c r="I237" i="36"/>
  <c r="I250" i="36"/>
  <c r="I251" i="36"/>
  <c r="I144" i="36"/>
  <c r="I152" i="36"/>
  <c r="I160" i="36"/>
  <c r="I165" i="36"/>
  <c r="I183" i="36"/>
  <c r="I196" i="36"/>
  <c r="I229" i="36"/>
  <c r="I242" i="36"/>
  <c r="I258" i="36"/>
  <c r="I265" i="36"/>
  <c r="I273" i="36"/>
  <c r="I281" i="36"/>
  <c r="I289" i="36"/>
  <c r="I297" i="36"/>
  <c r="I305" i="36"/>
  <c r="I193" i="36"/>
  <c r="I306" i="36"/>
  <c r="I302" i="36"/>
  <c r="I298" i="36"/>
  <c r="I294" i="36"/>
  <c r="I290" i="36"/>
  <c r="I286" i="36"/>
  <c r="I282" i="36"/>
  <c r="I278" i="36"/>
  <c r="I274" i="36"/>
  <c r="I270" i="36"/>
  <c r="I266" i="36"/>
  <c r="I262" i="36"/>
  <c r="I240" i="36"/>
  <c r="I224" i="36"/>
  <c r="I216" i="36"/>
  <c r="I208" i="36"/>
  <c r="I194" i="36"/>
  <c r="I178" i="36"/>
  <c r="I162" i="36"/>
  <c r="I154" i="36"/>
  <c r="I138" i="36"/>
  <c r="I122" i="36"/>
  <c r="I117" i="36"/>
  <c r="I83" i="36"/>
  <c r="I79" i="36"/>
  <c r="I75" i="36"/>
  <c r="I71" i="36"/>
  <c r="I67" i="36"/>
  <c r="I63" i="36"/>
  <c r="I37" i="36"/>
  <c r="I51" i="36"/>
  <c r="I41" i="36"/>
  <c r="I13" i="36"/>
  <c r="I50" i="36"/>
  <c r="I25" i="36"/>
  <c r="I46" i="36"/>
  <c r="I21" i="36"/>
  <c r="I205" i="36"/>
  <c r="I197" i="36"/>
  <c r="I181" i="36"/>
  <c r="I247" i="36"/>
  <c r="I239" i="36"/>
  <c r="I231" i="36"/>
  <c r="I213" i="36"/>
  <c r="I202" i="36"/>
  <c r="I159" i="36"/>
  <c r="I236" i="36"/>
  <c r="I163" i="36"/>
  <c r="I88" i="36"/>
  <c r="I190" i="36"/>
  <c r="I166" i="36"/>
  <c r="I150" i="36"/>
  <c r="I134" i="36"/>
  <c r="I151" i="36"/>
  <c r="I143" i="36"/>
  <c r="I135" i="36"/>
  <c r="I127" i="36"/>
  <c r="I87" i="36"/>
  <c r="I100" i="36"/>
  <c r="I91" i="36"/>
  <c r="I90" i="36"/>
  <c r="I84" i="36"/>
  <c r="I76" i="36"/>
  <c r="I68" i="36"/>
  <c r="I60" i="36"/>
  <c r="I17" i="36"/>
  <c r="I29" i="36"/>
  <c r="I43" i="36"/>
  <c r="I42" i="36"/>
  <c r="I30" i="36"/>
  <c r="I22" i="36"/>
  <c r="I14" i="36"/>
  <c r="I221" i="36"/>
  <c r="I185" i="36"/>
  <c r="I171" i="36"/>
  <c r="I256" i="36"/>
  <c r="I217" i="36"/>
  <c r="I307" i="36"/>
  <c r="I303" i="36"/>
  <c r="I299" i="36"/>
  <c r="I295" i="36"/>
  <c r="I291" i="36"/>
  <c r="I287" i="36"/>
  <c r="I283" i="36"/>
  <c r="I279" i="36"/>
  <c r="I275" i="36"/>
  <c r="I271" i="36"/>
  <c r="I267" i="36"/>
  <c r="I263" i="36"/>
  <c r="I259" i="36"/>
  <c r="I252" i="36"/>
  <c r="I175" i="36"/>
  <c r="I248" i="36"/>
  <c r="I232" i="36"/>
  <c r="I220" i="36"/>
  <c r="I212" i="36"/>
  <c r="I204" i="36"/>
  <c r="I113" i="36"/>
  <c r="I186" i="36"/>
  <c r="I170" i="36"/>
  <c r="I146" i="36"/>
  <c r="I130" i="36"/>
  <c r="I105" i="36"/>
  <c r="I96" i="36"/>
  <c r="I54" i="36"/>
  <c r="I58" i="36"/>
  <c r="I55" i="36"/>
  <c r="I59" i="36"/>
  <c r="I39" i="36"/>
  <c r="I38" i="36"/>
  <c r="I10" i="36"/>
  <c r="I199" i="36"/>
  <c r="I189" i="36"/>
  <c r="I243" i="36"/>
  <c r="I235" i="36"/>
  <c r="I227" i="36"/>
  <c r="I257" i="36"/>
  <c r="I225" i="36"/>
  <c r="I209" i="36"/>
  <c r="I244" i="36"/>
  <c r="I228" i="36"/>
  <c r="I167" i="36"/>
  <c r="I101" i="36"/>
  <c r="I97" i="36"/>
  <c r="I93" i="36"/>
  <c r="I198" i="36"/>
  <c r="I182" i="36"/>
  <c r="I174" i="36"/>
  <c r="I158" i="36"/>
  <c r="I142" i="36"/>
  <c r="I126" i="36"/>
  <c r="I118" i="36"/>
  <c r="I109" i="36"/>
  <c r="I155" i="36"/>
  <c r="I147" i="36"/>
  <c r="I139" i="36"/>
  <c r="I131" i="36"/>
  <c r="I123" i="36"/>
  <c r="I110" i="36"/>
  <c r="I80" i="36"/>
  <c r="I72" i="36"/>
  <c r="I64" i="36"/>
  <c r="I33" i="36"/>
  <c r="I35" i="36"/>
  <c r="I34" i="36"/>
  <c r="I26" i="36"/>
  <c r="I18" i="36"/>
  <c r="F11" i="36"/>
  <c r="F16" i="36"/>
  <c r="F40" i="36"/>
  <c r="F42" i="36"/>
  <c r="F61" i="36"/>
  <c r="F63" i="36"/>
  <c r="F74" i="36"/>
  <c r="F77" i="36"/>
  <c r="F79" i="36"/>
  <c r="F12" i="36"/>
  <c r="F44" i="36"/>
  <c r="F50" i="36"/>
  <c r="F52" i="36"/>
  <c r="F56" i="36"/>
  <c r="F62" i="36"/>
  <c r="F65" i="36"/>
  <c r="F67" i="36"/>
  <c r="F78" i="36"/>
  <c r="F81" i="36"/>
  <c r="F83" i="36"/>
  <c r="F20" i="36"/>
  <c r="F32" i="36"/>
  <c r="F38" i="36"/>
  <c r="F66" i="36"/>
  <c r="F73" i="36"/>
  <c r="F75" i="36"/>
  <c r="F85" i="36"/>
  <c r="F89" i="36"/>
  <c r="F95" i="36"/>
  <c r="F96" i="36"/>
  <c r="F105" i="36"/>
  <c r="F112" i="36"/>
  <c r="F115" i="36"/>
  <c r="F122" i="36"/>
  <c r="F126" i="36"/>
  <c r="F130" i="36"/>
  <c r="F134" i="36"/>
  <c r="F138" i="36"/>
  <c r="F34" i="36"/>
  <c r="F48" i="36"/>
  <c r="F70" i="36"/>
  <c r="F103" i="36"/>
  <c r="F124" i="36"/>
  <c r="F128" i="36"/>
  <c r="F132" i="36"/>
  <c r="F136" i="36"/>
  <c r="F140" i="36"/>
  <c r="F144" i="36"/>
  <c r="F148" i="36"/>
  <c r="F152" i="36"/>
  <c r="F156" i="36"/>
  <c r="F160" i="36"/>
  <c r="F180" i="36"/>
  <c r="F182" i="36"/>
  <c r="F196" i="36"/>
  <c r="F198" i="36"/>
  <c r="F200" i="36"/>
  <c r="F212" i="36"/>
  <c r="F214" i="36"/>
  <c r="F218" i="36"/>
  <c r="F234" i="36"/>
  <c r="F236" i="36"/>
  <c r="F250" i="36"/>
  <c r="F261" i="36"/>
  <c r="F262" i="36"/>
  <c r="F265" i="36"/>
  <c r="F266" i="36"/>
  <c r="F269" i="36"/>
  <c r="F270" i="36"/>
  <c r="F273" i="36"/>
  <c r="F274" i="36"/>
  <c r="F277" i="36"/>
  <c r="F278" i="36"/>
  <c r="F281" i="36"/>
  <c r="F282" i="36"/>
  <c r="F285" i="36"/>
  <c r="F286" i="36"/>
  <c r="F289" i="36"/>
  <c r="F290" i="36"/>
  <c r="F293" i="36"/>
  <c r="F294" i="36"/>
  <c r="F297" i="36"/>
  <c r="F298" i="36"/>
  <c r="F301" i="36"/>
  <c r="F302" i="36"/>
  <c r="F305" i="36"/>
  <c r="F306" i="36"/>
  <c r="F30" i="36"/>
  <c r="F36" i="36"/>
  <c r="F53" i="36"/>
  <c r="F69" i="36"/>
  <c r="F71" i="36"/>
  <c r="F82" i="36"/>
  <c r="F109" i="36"/>
  <c r="F119" i="36"/>
  <c r="F24" i="36"/>
  <c r="F28" i="36"/>
  <c r="F46" i="36"/>
  <c r="F49" i="36"/>
  <c r="F86" i="36"/>
  <c r="F99" i="36"/>
  <c r="F100" i="36"/>
  <c r="F107" i="36"/>
  <c r="F108" i="36"/>
  <c r="F111" i="36"/>
  <c r="F166" i="36"/>
  <c r="F170" i="36"/>
  <c r="F172" i="36"/>
  <c r="F176" i="36"/>
  <c r="F188" i="36"/>
  <c r="F190" i="36"/>
  <c r="F204" i="36"/>
  <c r="F206" i="36"/>
  <c r="F224" i="36"/>
  <c r="F226" i="36"/>
  <c r="F228" i="36"/>
  <c r="F242" i="36"/>
  <c r="F244" i="36"/>
  <c r="F255" i="36"/>
  <c r="F256" i="36"/>
  <c r="F258" i="36"/>
  <c r="F164" i="36"/>
  <c r="F174" i="36"/>
  <c r="F184" i="36"/>
  <c r="F194" i="36"/>
  <c r="F216" i="36"/>
  <c r="F230" i="36"/>
  <c r="F240" i="36"/>
  <c r="F142" i="36"/>
  <c r="F150" i="36"/>
  <c r="F158" i="36"/>
  <c r="F186" i="36"/>
  <c r="F201" i="36"/>
  <c r="F208" i="36"/>
  <c r="F232" i="36"/>
  <c r="F254" i="36"/>
  <c r="F168" i="36"/>
  <c r="F178" i="36"/>
  <c r="F210" i="36"/>
  <c r="F220" i="36"/>
  <c r="F246" i="36"/>
  <c r="F252" i="36"/>
  <c r="F146" i="36"/>
  <c r="F154" i="36"/>
  <c r="F162" i="36"/>
  <c r="F192" i="36"/>
  <c r="F222" i="36"/>
  <c r="F238" i="36"/>
  <c r="F248" i="36"/>
  <c r="F288" i="36"/>
  <c r="F161" i="36"/>
  <c r="F145" i="36"/>
  <c r="F284" i="36"/>
  <c r="F133" i="36"/>
  <c r="F104" i="36"/>
  <c r="F31" i="36"/>
  <c r="F15" i="36"/>
  <c r="F280" i="36"/>
  <c r="F173" i="36"/>
  <c r="F308" i="36"/>
  <c r="F276" i="36"/>
  <c r="F149" i="36"/>
  <c r="F169" i="36"/>
  <c r="F120" i="36"/>
  <c r="F27" i="36"/>
  <c r="F129" i="36"/>
  <c r="F98" i="36"/>
  <c r="F59" i="36"/>
  <c r="F304" i="36"/>
  <c r="F272" i="36"/>
  <c r="F153" i="36"/>
  <c r="F300" i="36"/>
  <c r="F268" i="36"/>
  <c r="F177" i="36"/>
  <c r="F165" i="36"/>
  <c r="F102" i="36"/>
  <c r="F94" i="36"/>
  <c r="F23" i="36"/>
  <c r="F141" i="36"/>
  <c r="F125" i="36"/>
  <c r="F296" i="36"/>
  <c r="F264" i="36"/>
  <c r="F292" i="36"/>
  <c r="F260" i="36"/>
  <c r="F157" i="36"/>
  <c r="F117" i="36"/>
  <c r="F92" i="36"/>
  <c r="F137" i="36"/>
  <c r="F121" i="36"/>
  <c r="F19" i="36"/>
  <c r="F197" i="36"/>
  <c r="F181" i="36"/>
  <c r="F225" i="36"/>
  <c r="F209" i="36"/>
  <c r="F223" i="36"/>
  <c r="F215" i="36"/>
  <c r="F207" i="36"/>
  <c r="F183" i="36"/>
  <c r="F167" i="36"/>
  <c r="F101" i="36"/>
  <c r="F97" i="36"/>
  <c r="F93" i="36"/>
  <c r="F151" i="36"/>
  <c r="F135" i="36"/>
  <c r="F113" i="36"/>
  <c r="F91" i="36"/>
  <c r="F57" i="36"/>
  <c r="F80" i="36"/>
  <c r="F72" i="36"/>
  <c r="F64" i="36"/>
  <c r="F37" i="36"/>
  <c r="F41" i="36"/>
  <c r="F43" i="36"/>
  <c r="F10" i="36"/>
  <c r="F257" i="36"/>
  <c r="F185" i="36"/>
  <c r="F251" i="36"/>
  <c r="F241" i="36"/>
  <c r="F233" i="36"/>
  <c r="F202" i="36"/>
  <c r="F195" i="36"/>
  <c r="F179" i="36"/>
  <c r="F147" i="36"/>
  <c r="F131" i="36"/>
  <c r="F106" i="36"/>
  <c r="F90" i="36"/>
  <c r="F118" i="36"/>
  <c r="F45" i="36"/>
  <c r="F58" i="36"/>
  <c r="F39" i="36"/>
  <c r="F13" i="36"/>
  <c r="F25" i="36"/>
  <c r="F21" i="36"/>
  <c r="F22" i="36"/>
  <c r="F14" i="36"/>
  <c r="F247" i="36"/>
  <c r="F243" i="36"/>
  <c r="F239" i="36"/>
  <c r="F205" i="36"/>
  <c r="F199" i="36"/>
  <c r="F189" i="36"/>
  <c r="F249" i="36"/>
  <c r="F213" i="36"/>
  <c r="F219" i="36"/>
  <c r="F211" i="36"/>
  <c r="F203" i="36"/>
  <c r="F159" i="36"/>
  <c r="F191" i="36"/>
  <c r="F163" i="36"/>
  <c r="F88" i="36"/>
  <c r="F143" i="36"/>
  <c r="F127" i="36"/>
  <c r="F87" i="36"/>
  <c r="F84" i="36"/>
  <c r="F76" i="36"/>
  <c r="F68" i="36"/>
  <c r="F60" i="36"/>
  <c r="F51" i="36"/>
  <c r="F17" i="36"/>
  <c r="F35" i="36"/>
  <c r="F29" i="36"/>
  <c r="F47" i="36"/>
  <c r="F235" i="36"/>
  <c r="F231" i="36"/>
  <c r="F227" i="36"/>
  <c r="F221" i="36"/>
  <c r="F193" i="36"/>
  <c r="F171" i="36"/>
  <c r="F307" i="36"/>
  <c r="F303" i="36"/>
  <c r="F299" i="36"/>
  <c r="F295" i="36"/>
  <c r="F291" i="36"/>
  <c r="F287" i="36"/>
  <c r="F283" i="36"/>
  <c r="F279" i="36"/>
  <c r="F275" i="36"/>
  <c r="F271" i="36"/>
  <c r="F267" i="36"/>
  <c r="F263" i="36"/>
  <c r="F259" i="36"/>
  <c r="F253" i="36"/>
  <c r="F245" i="36"/>
  <c r="F237" i="36"/>
  <c r="F229" i="36"/>
  <c r="F217" i="36"/>
  <c r="F175" i="36"/>
  <c r="F187" i="36"/>
  <c r="F110" i="36"/>
  <c r="F155" i="36"/>
  <c r="F139" i="36"/>
  <c r="F123" i="36"/>
  <c r="F116" i="36"/>
  <c r="F114" i="36"/>
  <c r="F54" i="36"/>
  <c r="F55" i="36"/>
  <c r="F33" i="36"/>
  <c r="F26" i="36"/>
  <c r="F18" i="36"/>
  <c r="E12" i="36"/>
  <c r="E44" i="36"/>
  <c r="E52" i="36"/>
  <c r="E56" i="36"/>
  <c r="E62" i="36"/>
  <c r="E65" i="36"/>
  <c r="E78" i="36"/>
  <c r="E81" i="36"/>
  <c r="E23" i="36"/>
  <c r="E24" i="36"/>
  <c r="E27" i="36"/>
  <c r="E28" i="36"/>
  <c r="E32" i="36"/>
  <c r="E35" i="36"/>
  <c r="E47" i="36"/>
  <c r="E48" i="36"/>
  <c r="E53" i="36"/>
  <c r="E57" i="36"/>
  <c r="E59" i="36"/>
  <c r="E66" i="36"/>
  <c r="E69" i="36"/>
  <c r="E82" i="36"/>
  <c r="E85" i="36"/>
  <c r="E92" i="36"/>
  <c r="E11" i="36"/>
  <c r="E70" i="36"/>
  <c r="E102" i="36"/>
  <c r="E103" i="36"/>
  <c r="E124" i="36"/>
  <c r="E128" i="36"/>
  <c r="E132" i="36"/>
  <c r="E136" i="36"/>
  <c r="E140" i="36"/>
  <c r="E16" i="36"/>
  <c r="E36" i="36"/>
  <c r="E39" i="36"/>
  <c r="E43" i="36"/>
  <c r="E77" i="36"/>
  <c r="E104" i="36"/>
  <c r="E119" i="36"/>
  <c r="E121" i="36"/>
  <c r="E125" i="36"/>
  <c r="E129" i="36"/>
  <c r="E133" i="36"/>
  <c r="E137" i="36"/>
  <c r="E141" i="36"/>
  <c r="E145" i="36"/>
  <c r="E149" i="36"/>
  <c r="E153" i="36"/>
  <c r="E157" i="36"/>
  <c r="E161" i="36"/>
  <c r="E179" i="36"/>
  <c r="E192" i="36"/>
  <c r="E195" i="36"/>
  <c r="E201" i="36"/>
  <c r="E210" i="36"/>
  <c r="E215" i="36"/>
  <c r="E219" i="36"/>
  <c r="E230" i="36"/>
  <c r="E233" i="36"/>
  <c r="E246" i="36"/>
  <c r="E249" i="36"/>
  <c r="E254" i="36"/>
  <c r="E19" i="36"/>
  <c r="E40" i="36"/>
  <c r="E74" i="36"/>
  <c r="E86" i="36"/>
  <c r="E90" i="36"/>
  <c r="E98" i="36"/>
  <c r="E99" i="36"/>
  <c r="E106" i="36"/>
  <c r="E107" i="36"/>
  <c r="E111" i="36"/>
  <c r="E120" i="36"/>
  <c r="E15" i="36"/>
  <c r="E20" i="36"/>
  <c r="E31" i="36"/>
  <c r="E61" i="36"/>
  <c r="E73" i="36"/>
  <c r="E89" i="36"/>
  <c r="E94" i="36"/>
  <c r="E95" i="36"/>
  <c r="E112" i="36"/>
  <c r="E115" i="36"/>
  <c r="E118" i="36"/>
  <c r="E164" i="36"/>
  <c r="E168" i="36"/>
  <c r="E173" i="36"/>
  <c r="E177" i="36"/>
  <c r="E184" i="36"/>
  <c r="E187" i="36"/>
  <c r="E207" i="36"/>
  <c r="E222" i="36"/>
  <c r="E238" i="36"/>
  <c r="E241" i="36"/>
  <c r="E169" i="36"/>
  <c r="E176" i="36"/>
  <c r="E211" i="36"/>
  <c r="E218" i="36"/>
  <c r="E245" i="36"/>
  <c r="E250" i="36"/>
  <c r="E264" i="36"/>
  <c r="E272" i="36"/>
  <c r="E280" i="36"/>
  <c r="E288" i="36"/>
  <c r="E296" i="36"/>
  <c r="E304" i="36"/>
  <c r="E144" i="36"/>
  <c r="E152" i="36"/>
  <c r="E160" i="36"/>
  <c r="E191" i="36"/>
  <c r="E196" i="36"/>
  <c r="E203" i="36"/>
  <c r="E223" i="36"/>
  <c r="E237" i="36"/>
  <c r="E242" i="36"/>
  <c r="E258" i="36"/>
  <c r="E265" i="36"/>
  <c r="E273" i="36"/>
  <c r="E281" i="36"/>
  <c r="E289" i="36"/>
  <c r="E297" i="36"/>
  <c r="E305" i="36"/>
  <c r="E165" i="36"/>
  <c r="E172" i="36"/>
  <c r="E183" i="36"/>
  <c r="E188" i="36"/>
  <c r="E214" i="36"/>
  <c r="E229" i="36"/>
  <c r="E234" i="36"/>
  <c r="E260" i="36"/>
  <c r="E268" i="36"/>
  <c r="E276" i="36"/>
  <c r="E284" i="36"/>
  <c r="E292" i="36"/>
  <c r="E300" i="36"/>
  <c r="E308" i="36"/>
  <c r="E148" i="36"/>
  <c r="E156" i="36"/>
  <c r="E180" i="36"/>
  <c r="E200" i="36"/>
  <c r="E206" i="36"/>
  <c r="E226" i="36"/>
  <c r="E253" i="36"/>
  <c r="E255" i="36"/>
  <c r="E261" i="36"/>
  <c r="E269" i="36"/>
  <c r="E277" i="36"/>
  <c r="E285" i="36"/>
  <c r="E293" i="36"/>
  <c r="E301" i="36"/>
  <c r="E240" i="36"/>
  <c r="E174" i="36"/>
  <c r="E251" i="36"/>
  <c r="E150" i="36"/>
  <c r="E182" i="36"/>
  <c r="E134" i="36"/>
  <c r="E126" i="36"/>
  <c r="E114" i="36"/>
  <c r="E244" i="36"/>
  <c r="E166" i="36"/>
  <c r="E18" i="36"/>
  <c r="E216" i="36"/>
  <c r="E154" i="36"/>
  <c r="E220" i="36"/>
  <c r="E178" i="36"/>
  <c r="E186" i="36"/>
  <c r="E212" i="36"/>
  <c r="E108" i="36"/>
  <c r="E42" i="36"/>
  <c r="E228" i="36"/>
  <c r="E204" i="36"/>
  <c r="E14" i="36"/>
  <c r="E49" i="36"/>
  <c r="E30" i="36"/>
  <c r="E248" i="36"/>
  <c r="E232" i="36"/>
  <c r="E158" i="36"/>
  <c r="E142" i="36"/>
  <c r="E236" i="36"/>
  <c r="E138" i="36"/>
  <c r="E130" i="36"/>
  <c r="E122" i="36"/>
  <c r="E10" i="36"/>
  <c r="E190" i="36"/>
  <c r="E26" i="36"/>
  <c r="E34" i="36"/>
  <c r="E194" i="36"/>
  <c r="E162" i="36"/>
  <c r="E146" i="36"/>
  <c r="E208" i="36"/>
  <c r="E198" i="36"/>
  <c r="E224" i="36"/>
  <c r="E170" i="36"/>
  <c r="E38" i="36"/>
  <c r="E22" i="36"/>
  <c r="E205" i="36"/>
  <c r="E199" i="36"/>
  <c r="E189" i="36"/>
  <c r="E257" i="36"/>
  <c r="E213" i="36"/>
  <c r="E202" i="36"/>
  <c r="E247" i="36"/>
  <c r="E231" i="36"/>
  <c r="E159" i="36"/>
  <c r="E163" i="36"/>
  <c r="E155" i="36"/>
  <c r="E147" i="36"/>
  <c r="E139" i="36"/>
  <c r="E131" i="36"/>
  <c r="E123" i="36"/>
  <c r="E87" i="36"/>
  <c r="E100" i="36"/>
  <c r="E91" i="36"/>
  <c r="E84" i="36"/>
  <c r="E76" i="36"/>
  <c r="E68" i="36"/>
  <c r="E60" i="36"/>
  <c r="E51" i="36"/>
  <c r="E17" i="36"/>
  <c r="E29" i="36"/>
  <c r="E221" i="36"/>
  <c r="E193" i="36"/>
  <c r="E171" i="36"/>
  <c r="E306" i="36"/>
  <c r="E302" i="36"/>
  <c r="E298" i="36"/>
  <c r="E294" i="36"/>
  <c r="E290" i="36"/>
  <c r="E286" i="36"/>
  <c r="E282" i="36"/>
  <c r="E278" i="36"/>
  <c r="E274" i="36"/>
  <c r="E270" i="36"/>
  <c r="E266" i="36"/>
  <c r="E262" i="36"/>
  <c r="E256" i="36"/>
  <c r="E217" i="36"/>
  <c r="E252" i="36"/>
  <c r="E243" i="36"/>
  <c r="E227" i="36"/>
  <c r="E175" i="36"/>
  <c r="E113" i="36"/>
  <c r="E105" i="36"/>
  <c r="E96" i="36"/>
  <c r="E54" i="36"/>
  <c r="E58" i="36"/>
  <c r="E33" i="36"/>
  <c r="E197" i="36"/>
  <c r="E181" i="36"/>
  <c r="E239" i="36"/>
  <c r="E225" i="36"/>
  <c r="E209" i="36"/>
  <c r="E167" i="36"/>
  <c r="E101" i="36"/>
  <c r="E97" i="36"/>
  <c r="E93" i="36"/>
  <c r="E88" i="36"/>
  <c r="E109" i="36"/>
  <c r="E151" i="36"/>
  <c r="E143" i="36"/>
  <c r="E135" i="36"/>
  <c r="E127" i="36"/>
  <c r="E110" i="36"/>
  <c r="E116" i="36"/>
  <c r="E80" i="36"/>
  <c r="E72" i="36"/>
  <c r="E64" i="36"/>
  <c r="E37" i="36"/>
  <c r="E41" i="36"/>
  <c r="E185" i="36"/>
  <c r="E307" i="36"/>
  <c r="E303" i="36"/>
  <c r="E299" i="36"/>
  <c r="E295" i="36"/>
  <c r="E291" i="36"/>
  <c r="E287" i="36"/>
  <c r="E283" i="36"/>
  <c r="E279" i="36"/>
  <c r="E275" i="36"/>
  <c r="E271" i="36"/>
  <c r="E267" i="36"/>
  <c r="E263" i="36"/>
  <c r="E259" i="36"/>
  <c r="E235" i="36"/>
  <c r="E117" i="36"/>
  <c r="E83" i="36"/>
  <c r="E79" i="36"/>
  <c r="E75" i="36"/>
  <c r="E71" i="36"/>
  <c r="E67" i="36"/>
  <c r="E63" i="36"/>
  <c r="E45" i="36"/>
  <c r="E55" i="36"/>
  <c r="E13" i="36"/>
  <c r="E50" i="36"/>
  <c r="E25" i="36"/>
  <c r="E46" i="36"/>
  <c r="E21" i="36"/>
  <c r="J11" i="36"/>
  <c r="J12" i="36"/>
  <c r="J16" i="36"/>
  <c r="J40" i="36"/>
  <c r="J50" i="36"/>
  <c r="J59" i="36"/>
  <c r="J61" i="36"/>
  <c r="J62" i="36"/>
  <c r="J77" i="36"/>
  <c r="J78" i="36"/>
  <c r="J34" i="36"/>
  <c r="J44" i="36"/>
  <c r="J52" i="36"/>
  <c r="J53" i="36"/>
  <c r="J56" i="36"/>
  <c r="J65" i="36"/>
  <c r="J66" i="36"/>
  <c r="J81" i="36"/>
  <c r="J82" i="36"/>
  <c r="J92" i="36"/>
  <c r="J36" i="36"/>
  <c r="J54" i="36"/>
  <c r="J69" i="36"/>
  <c r="J74" i="36"/>
  <c r="J86" i="36"/>
  <c r="J95" i="36"/>
  <c r="J100" i="36"/>
  <c r="J104" i="36"/>
  <c r="J115" i="36"/>
  <c r="J24" i="36"/>
  <c r="J28" i="36"/>
  <c r="J38" i="36"/>
  <c r="J42" i="36"/>
  <c r="J103" i="36"/>
  <c r="J109" i="36"/>
  <c r="J120" i="36"/>
  <c r="J124" i="36"/>
  <c r="J128" i="36"/>
  <c r="J132" i="36"/>
  <c r="J136" i="36"/>
  <c r="J140" i="36"/>
  <c r="J144" i="36"/>
  <c r="J148" i="36"/>
  <c r="J152" i="36"/>
  <c r="J156" i="36"/>
  <c r="J160" i="36"/>
  <c r="J174" i="36"/>
  <c r="J178" i="36"/>
  <c r="J180" i="36"/>
  <c r="J194" i="36"/>
  <c r="J196" i="36"/>
  <c r="J200" i="36"/>
  <c r="J201" i="36"/>
  <c r="J208" i="36"/>
  <c r="J214" i="36"/>
  <c r="J218" i="36"/>
  <c r="J232" i="36"/>
  <c r="J234" i="36"/>
  <c r="J248" i="36"/>
  <c r="J250" i="36"/>
  <c r="J252" i="36"/>
  <c r="J256" i="36"/>
  <c r="J261" i="36"/>
  <c r="J265" i="36"/>
  <c r="J269" i="36"/>
  <c r="J273" i="36"/>
  <c r="J277" i="36"/>
  <c r="J281" i="36"/>
  <c r="J285" i="36"/>
  <c r="J289" i="36"/>
  <c r="J293" i="36"/>
  <c r="J297" i="36"/>
  <c r="J301" i="36"/>
  <c r="J305" i="36"/>
  <c r="J20" i="36"/>
  <c r="J32" i="36"/>
  <c r="J70" i="36"/>
  <c r="J73" i="36"/>
  <c r="J85" i="36"/>
  <c r="J89" i="36"/>
  <c r="J96" i="36"/>
  <c r="J119" i="36"/>
  <c r="J30" i="36"/>
  <c r="J48" i="36"/>
  <c r="J99" i="36"/>
  <c r="J107" i="36"/>
  <c r="J111" i="36"/>
  <c r="J112" i="36"/>
  <c r="J117" i="36"/>
  <c r="J122" i="36"/>
  <c r="J126" i="36"/>
  <c r="J130" i="36"/>
  <c r="J134" i="36"/>
  <c r="J138" i="36"/>
  <c r="J142" i="36"/>
  <c r="J146" i="36"/>
  <c r="J150" i="36"/>
  <c r="J154" i="36"/>
  <c r="J158" i="36"/>
  <c r="J162" i="36"/>
  <c r="J172" i="36"/>
  <c r="J176" i="36"/>
  <c r="J186" i="36"/>
  <c r="J188" i="36"/>
  <c r="J206" i="36"/>
  <c r="J216" i="36"/>
  <c r="J220" i="36"/>
  <c r="J226" i="36"/>
  <c r="J240" i="36"/>
  <c r="J242" i="36"/>
  <c r="J258" i="36"/>
  <c r="J262" i="36"/>
  <c r="J266" i="36"/>
  <c r="J270" i="36"/>
  <c r="J274" i="36"/>
  <c r="J278" i="36"/>
  <c r="J282" i="36"/>
  <c r="J286" i="36"/>
  <c r="J290" i="36"/>
  <c r="J294" i="36"/>
  <c r="J298" i="36"/>
  <c r="J302" i="36"/>
  <c r="J306" i="36"/>
  <c r="J168" i="36"/>
  <c r="J198" i="36"/>
  <c r="J204" i="36"/>
  <c r="J210" i="36"/>
  <c r="J224" i="36"/>
  <c r="J244" i="36"/>
  <c r="J246" i="36"/>
  <c r="J166" i="36"/>
  <c r="J190" i="36"/>
  <c r="J192" i="36"/>
  <c r="J222" i="36"/>
  <c r="J236" i="36"/>
  <c r="J238" i="36"/>
  <c r="J255" i="36"/>
  <c r="J164" i="36"/>
  <c r="J182" i="36"/>
  <c r="J184" i="36"/>
  <c r="J228" i="36"/>
  <c r="J230" i="36"/>
  <c r="J170" i="36"/>
  <c r="J212" i="36"/>
  <c r="J254" i="36"/>
  <c r="J235" i="36"/>
  <c r="J231" i="36"/>
  <c r="J227" i="36"/>
  <c r="J221" i="36"/>
  <c r="J193" i="36"/>
  <c r="J171" i="36"/>
  <c r="J253" i="36"/>
  <c r="J245" i="36"/>
  <c r="J237" i="36"/>
  <c r="J229" i="36"/>
  <c r="J217" i="36"/>
  <c r="J175" i="36"/>
  <c r="J187" i="36"/>
  <c r="J110" i="36"/>
  <c r="J147" i="36"/>
  <c r="J131" i="36"/>
  <c r="J108" i="36"/>
  <c r="J177" i="36"/>
  <c r="J161" i="36"/>
  <c r="J114" i="36"/>
  <c r="J102" i="36"/>
  <c r="J83" i="36"/>
  <c r="J75" i="36"/>
  <c r="J67" i="36"/>
  <c r="J57" i="36"/>
  <c r="J45" i="36"/>
  <c r="J58" i="36"/>
  <c r="J55" i="36"/>
  <c r="J33" i="36"/>
  <c r="J46" i="36"/>
  <c r="J22" i="36"/>
  <c r="J14" i="36"/>
  <c r="J31" i="36"/>
  <c r="J23" i="36"/>
  <c r="J15" i="36"/>
  <c r="J197" i="36"/>
  <c r="J181" i="36"/>
  <c r="J308" i="36"/>
  <c r="J304" i="36"/>
  <c r="J300" i="36"/>
  <c r="J296" i="36"/>
  <c r="J292" i="36"/>
  <c r="J288" i="36"/>
  <c r="J284" i="36"/>
  <c r="J280" i="36"/>
  <c r="J276" i="36"/>
  <c r="J272" i="36"/>
  <c r="J268" i="36"/>
  <c r="J264" i="36"/>
  <c r="J260" i="36"/>
  <c r="J225" i="36"/>
  <c r="J209" i="36"/>
  <c r="J219" i="36"/>
  <c r="J211" i="36"/>
  <c r="J203" i="36"/>
  <c r="J183" i="36"/>
  <c r="J167" i="36"/>
  <c r="J101" i="36"/>
  <c r="J97" i="36"/>
  <c r="J93" i="36"/>
  <c r="J143" i="36"/>
  <c r="J127" i="36"/>
  <c r="J173" i="36"/>
  <c r="J157" i="36"/>
  <c r="J149" i="36"/>
  <c r="J141" i="36"/>
  <c r="J133" i="36"/>
  <c r="J125" i="36"/>
  <c r="J116" i="36"/>
  <c r="J113" i="36"/>
  <c r="J98" i="36"/>
  <c r="J80" i="36"/>
  <c r="J72" i="36"/>
  <c r="J64" i="36"/>
  <c r="J37" i="36"/>
  <c r="J41" i="36"/>
  <c r="J43" i="36"/>
  <c r="J49" i="36"/>
  <c r="J257" i="36"/>
  <c r="J185" i="36"/>
  <c r="J307" i="36"/>
  <c r="J303" i="36"/>
  <c r="J299" i="36"/>
  <c r="J295" i="36"/>
  <c r="J291" i="36"/>
  <c r="J287" i="36"/>
  <c r="J283" i="36"/>
  <c r="J279" i="36"/>
  <c r="J275" i="36"/>
  <c r="J271" i="36"/>
  <c r="J267" i="36"/>
  <c r="J263" i="36"/>
  <c r="J259" i="36"/>
  <c r="J241" i="36"/>
  <c r="J233" i="36"/>
  <c r="J202" i="36"/>
  <c r="J195" i="36"/>
  <c r="J179" i="36"/>
  <c r="J155" i="36"/>
  <c r="J139" i="36"/>
  <c r="J123" i="36"/>
  <c r="J106" i="36"/>
  <c r="J118" i="36"/>
  <c r="J90" i="36"/>
  <c r="J169" i="36"/>
  <c r="J94" i="36"/>
  <c r="J79" i="36"/>
  <c r="J71" i="36"/>
  <c r="J63" i="36"/>
  <c r="J39" i="36"/>
  <c r="J13" i="36"/>
  <c r="J25" i="36"/>
  <c r="J21" i="36"/>
  <c r="J26" i="36"/>
  <c r="J18" i="36"/>
  <c r="J27" i="36"/>
  <c r="J19" i="36"/>
  <c r="J247" i="36"/>
  <c r="J243" i="36"/>
  <c r="J239" i="36"/>
  <c r="J205" i="36"/>
  <c r="J199" i="36"/>
  <c r="J189" i="36"/>
  <c r="J249" i="36"/>
  <c r="J251" i="36"/>
  <c r="J213" i="36"/>
  <c r="J223" i="36"/>
  <c r="J215" i="36"/>
  <c r="J207" i="36"/>
  <c r="J159" i="36"/>
  <c r="J191" i="36"/>
  <c r="J163" i="36"/>
  <c r="J88" i="36"/>
  <c r="J151" i="36"/>
  <c r="J135" i="36"/>
  <c r="J105" i="36"/>
  <c r="J165" i="36"/>
  <c r="J153" i="36"/>
  <c r="J145" i="36"/>
  <c r="J137" i="36"/>
  <c r="J129" i="36"/>
  <c r="J121" i="36"/>
  <c r="J91" i="36"/>
  <c r="J87" i="36"/>
  <c r="J84" i="36"/>
  <c r="J76" i="36"/>
  <c r="J68" i="36"/>
  <c r="J60" i="36"/>
  <c r="J51" i="36"/>
  <c r="J17" i="36"/>
  <c r="J35" i="36"/>
  <c r="J29" i="36"/>
  <c r="J47" i="36"/>
  <c r="J10" i="36"/>
  <c r="H19" i="36"/>
  <c r="H22" i="36"/>
  <c r="H24" i="36"/>
  <c r="H26" i="36"/>
  <c r="H28" i="36"/>
  <c r="H32" i="36"/>
  <c r="H34" i="36"/>
  <c r="H46" i="36"/>
  <c r="H48" i="36"/>
  <c r="H68" i="36"/>
  <c r="H69" i="36"/>
  <c r="H84" i="36"/>
  <c r="H85" i="36"/>
  <c r="H91" i="36"/>
  <c r="H15" i="36"/>
  <c r="H18" i="36"/>
  <c r="H20" i="36"/>
  <c r="H30" i="36"/>
  <c r="H36" i="36"/>
  <c r="H38" i="36"/>
  <c r="H72" i="36"/>
  <c r="H73" i="36"/>
  <c r="H89" i="36"/>
  <c r="H42" i="36"/>
  <c r="H61" i="36"/>
  <c r="H65" i="36"/>
  <c r="H76" i="36"/>
  <c r="H80" i="36"/>
  <c r="H87" i="36"/>
  <c r="H98" i="36"/>
  <c r="H106" i="36"/>
  <c r="H109" i="36"/>
  <c r="H118" i="36"/>
  <c r="H119" i="36"/>
  <c r="H11" i="36"/>
  <c r="H47" i="36"/>
  <c r="H50" i="36"/>
  <c r="H94" i="36"/>
  <c r="H99" i="36"/>
  <c r="H105" i="36"/>
  <c r="H107" i="36"/>
  <c r="H110" i="36"/>
  <c r="H111" i="36"/>
  <c r="H114" i="36"/>
  <c r="H166" i="36"/>
  <c r="H170" i="36"/>
  <c r="H172" i="36"/>
  <c r="H176" i="36"/>
  <c r="H188" i="36"/>
  <c r="H190" i="36"/>
  <c r="H204" i="36"/>
  <c r="H206" i="36"/>
  <c r="H224" i="36"/>
  <c r="H226" i="36"/>
  <c r="H228" i="36"/>
  <c r="H242" i="36"/>
  <c r="H244" i="36"/>
  <c r="H257" i="36"/>
  <c r="H258" i="36"/>
  <c r="H14" i="36"/>
  <c r="H16" i="36"/>
  <c r="H52" i="36"/>
  <c r="H56" i="36"/>
  <c r="H59" i="36"/>
  <c r="H60" i="36"/>
  <c r="H64" i="36"/>
  <c r="H77" i="36"/>
  <c r="H81" i="36"/>
  <c r="H95" i="36"/>
  <c r="H102" i="36"/>
  <c r="H115" i="36"/>
  <c r="H117" i="36"/>
  <c r="H122" i="36"/>
  <c r="H126" i="36"/>
  <c r="H130" i="36"/>
  <c r="H134" i="36"/>
  <c r="H10" i="36"/>
  <c r="H23" i="36"/>
  <c r="H27" i="36"/>
  <c r="H40" i="36"/>
  <c r="H44" i="36"/>
  <c r="H54" i="36"/>
  <c r="H92" i="36"/>
  <c r="H103" i="36"/>
  <c r="H113" i="36"/>
  <c r="H124" i="36"/>
  <c r="H128" i="36"/>
  <c r="H132" i="36"/>
  <c r="H136" i="36"/>
  <c r="H140" i="36"/>
  <c r="H144" i="36"/>
  <c r="H148" i="36"/>
  <c r="H152" i="36"/>
  <c r="H156" i="36"/>
  <c r="H160" i="36"/>
  <c r="H180" i="36"/>
  <c r="H182" i="36"/>
  <c r="H196" i="36"/>
  <c r="H198" i="36"/>
  <c r="H200" i="36"/>
  <c r="H212" i="36"/>
  <c r="H214" i="36"/>
  <c r="H218" i="36"/>
  <c r="H234" i="36"/>
  <c r="H236" i="36"/>
  <c r="H250" i="36"/>
  <c r="H253" i="36"/>
  <c r="H261" i="36"/>
  <c r="H265" i="36"/>
  <c r="H269" i="36"/>
  <c r="H273" i="36"/>
  <c r="H277" i="36"/>
  <c r="H281" i="36"/>
  <c r="H285" i="36"/>
  <c r="H289" i="36"/>
  <c r="H293" i="36"/>
  <c r="H297" i="36"/>
  <c r="H301" i="36"/>
  <c r="H305" i="36"/>
  <c r="H146" i="36"/>
  <c r="H154" i="36"/>
  <c r="H162" i="36"/>
  <c r="H192" i="36"/>
  <c r="H222" i="36"/>
  <c r="H238" i="36"/>
  <c r="H248" i="36"/>
  <c r="H164" i="36"/>
  <c r="H174" i="36"/>
  <c r="H184" i="36"/>
  <c r="H194" i="36"/>
  <c r="H216" i="36"/>
  <c r="H230" i="36"/>
  <c r="H240" i="36"/>
  <c r="H264" i="36"/>
  <c r="H272" i="36"/>
  <c r="H280" i="36"/>
  <c r="H288" i="36"/>
  <c r="H296" i="36"/>
  <c r="H304" i="36"/>
  <c r="H138" i="36"/>
  <c r="H142" i="36"/>
  <c r="H150" i="36"/>
  <c r="H158" i="36"/>
  <c r="H186" i="36"/>
  <c r="H208" i="36"/>
  <c r="H232" i="36"/>
  <c r="H254" i="36"/>
  <c r="H256" i="36"/>
  <c r="H168" i="36"/>
  <c r="H178" i="36"/>
  <c r="H210" i="36"/>
  <c r="H220" i="36"/>
  <c r="H246" i="36"/>
  <c r="H252" i="36"/>
  <c r="H260" i="36"/>
  <c r="H268" i="36"/>
  <c r="H276" i="36"/>
  <c r="H284" i="36"/>
  <c r="H292" i="36"/>
  <c r="H300" i="36"/>
  <c r="H308" i="36"/>
  <c r="H202" i="36"/>
  <c r="H55" i="36"/>
  <c r="H185" i="36"/>
  <c r="H171" i="36"/>
  <c r="H241" i="36"/>
  <c r="H233" i="36"/>
  <c r="H306" i="36"/>
  <c r="H302" i="36"/>
  <c r="H298" i="36"/>
  <c r="H294" i="36"/>
  <c r="H290" i="36"/>
  <c r="H286" i="36"/>
  <c r="H282" i="36"/>
  <c r="H278" i="36"/>
  <c r="H274" i="36"/>
  <c r="H270" i="36"/>
  <c r="H266" i="36"/>
  <c r="H262" i="36"/>
  <c r="H249" i="36"/>
  <c r="H299" i="36"/>
  <c r="H283" i="36"/>
  <c r="H267" i="36"/>
  <c r="H175" i="36"/>
  <c r="H195" i="36"/>
  <c r="H179" i="36"/>
  <c r="H116" i="36"/>
  <c r="H173" i="36"/>
  <c r="H157" i="36"/>
  <c r="H141" i="36"/>
  <c r="H125" i="36"/>
  <c r="H112" i="36"/>
  <c r="H101" i="36"/>
  <c r="H90" i="36"/>
  <c r="H108" i="36"/>
  <c r="H151" i="36"/>
  <c r="H143" i="36"/>
  <c r="H135" i="36"/>
  <c r="H127" i="36"/>
  <c r="H104" i="36"/>
  <c r="H96" i="36"/>
  <c r="H39" i="36"/>
  <c r="H82" i="36"/>
  <c r="H66" i="36"/>
  <c r="H31" i="36"/>
  <c r="H247" i="36"/>
  <c r="H243" i="36"/>
  <c r="H239" i="36"/>
  <c r="H205" i="36"/>
  <c r="H189" i="36"/>
  <c r="H213" i="36"/>
  <c r="H295" i="36"/>
  <c r="H279" i="36"/>
  <c r="H263" i="36"/>
  <c r="H199" i="36"/>
  <c r="H223" i="36"/>
  <c r="H215" i="36"/>
  <c r="H207" i="36"/>
  <c r="H201" i="36"/>
  <c r="H191" i="36"/>
  <c r="H167" i="36"/>
  <c r="H177" i="36"/>
  <c r="H161" i="36"/>
  <c r="H153" i="36"/>
  <c r="H137" i="36"/>
  <c r="H121" i="36"/>
  <c r="H97" i="36"/>
  <c r="H120" i="36"/>
  <c r="H58" i="36"/>
  <c r="H35" i="36"/>
  <c r="H78" i="36"/>
  <c r="H62" i="36"/>
  <c r="H235" i="36"/>
  <c r="H231" i="36"/>
  <c r="H227" i="36"/>
  <c r="H221" i="36"/>
  <c r="H193" i="36"/>
  <c r="H245" i="36"/>
  <c r="H237" i="36"/>
  <c r="H229" i="36"/>
  <c r="H217" i="36"/>
  <c r="H307" i="36"/>
  <c r="H291" i="36"/>
  <c r="H275" i="36"/>
  <c r="H259" i="36"/>
  <c r="H187" i="36"/>
  <c r="H165" i="36"/>
  <c r="H149" i="36"/>
  <c r="H133" i="36"/>
  <c r="H93" i="36"/>
  <c r="H155" i="36"/>
  <c r="H147" i="36"/>
  <c r="H139" i="36"/>
  <c r="H131" i="36"/>
  <c r="H123" i="36"/>
  <c r="H83" i="36"/>
  <c r="H79" i="36"/>
  <c r="H75" i="36"/>
  <c r="H71" i="36"/>
  <c r="H67" i="36"/>
  <c r="H63" i="36"/>
  <c r="H51" i="36"/>
  <c r="H45" i="36"/>
  <c r="H33" i="36"/>
  <c r="H13" i="36"/>
  <c r="H74" i="36"/>
  <c r="H53" i="36"/>
  <c r="H25" i="36"/>
  <c r="H49" i="36"/>
  <c r="H21" i="36"/>
  <c r="H12" i="36"/>
  <c r="H197" i="36"/>
  <c r="H181" i="36"/>
  <c r="H255" i="36"/>
  <c r="H303" i="36"/>
  <c r="H287" i="36"/>
  <c r="H271" i="36"/>
  <c r="H251" i="36"/>
  <c r="H225" i="36"/>
  <c r="H209" i="36"/>
  <c r="H159" i="36"/>
  <c r="H219" i="36"/>
  <c r="H211" i="36"/>
  <c r="H203" i="36"/>
  <c r="H183" i="36"/>
  <c r="H163" i="36"/>
  <c r="H169" i="36"/>
  <c r="H145" i="36"/>
  <c r="H129" i="36"/>
  <c r="H88" i="36"/>
  <c r="H100" i="36"/>
  <c r="H57" i="36"/>
  <c r="H37" i="36"/>
  <c r="H41" i="36"/>
  <c r="H17" i="36"/>
  <c r="H43" i="36"/>
  <c r="H29" i="36"/>
  <c r="H86" i="36"/>
  <c r="H70" i="36"/>
  <c r="D10" i="36"/>
  <c r="D14" i="36"/>
  <c r="D23" i="36"/>
  <c r="D24" i="36"/>
  <c r="D27" i="36"/>
  <c r="D28" i="36"/>
  <c r="D32" i="36"/>
  <c r="D47" i="36"/>
  <c r="D48" i="36"/>
  <c r="K48" i="36" s="1"/>
  <c r="E51" i="34" s="1"/>
  <c r="E45" i="12" s="1"/>
  <c r="D50" i="36"/>
  <c r="D60" i="36"/>
  <c r="D69" i="36"/>
  <c r="D76" i="36"/>
  <c r="D85" i="36"/>
  <c r="D92" i="36"/>
  <c r="D19" i="36"/>
  <c r="D20" i="36"/>
  <c r="K20" i="36" s="1"/>
  <c r="E23" i="34" s="1"/>
  <c r="E17" i="12" s="1"/>
  <c r="D34" i="36"/>
  <c r="D36" i="36"/>
  <c r="D54" i="36"/>
  <c r="D64" i="36"/>
  <c r="D73" i="36"/>
  <c r="D80" i="36"/>
  <c r="D89" i="36"/>
  <c r="D16" i="36"/>
  <c r="K16" i="36" s="1"/>
  <c r="E19" i="34" s="1"/>
  <c r="E13" i="12" s="1"/>
  <c r="D52" i="36"/>
  <c r="D56" i="36"/>
  <c r="D77" i="36"/>
  <c r="D81" i="36"/>
  <c r="D117" i="36"/>
  <c r="D119" i="36"/>
  <c r="D22" i="36"/>
  <c r="D26" i="36"/>
  <c r="K26" i="36" s="1"/>
  <c r="E29" i="34" s="1"/>
  <c r="E23" i="12" s="1"/>
  <c r="D30" i="36"/>
  <c r="D40" i="36"/>
  <c r="D44" i="36"/>
  <c r="D68" i="36"/>
  <c r="D98" i="36"/>
  <c r="D99" i="36"/>
  <c r="D106" i="36"/>
  <c r="D107" i="36"/>
  <c r="D109" i="36"/>
  <c r="D111" i="36"/>
  <c r="D172" i="36"/>
  <c r="D174" i="36"/>
  <c r="D176" i="36"/>
  <c r="D178" i="36"/>
  <c r="D188" i="36"/>
  <c r="D194" i="36"/>
  <c r="D206" i="36"/>
  <c r="D208" i="36"/>
  <c r="D226" i="36"/>
  <c r="D232" i="36"/>
  <c r="D242" i="36"/>
  <c r="D248" i="36"/>
  <c r="D253" i="36"/>
  <c r="D258" i="36"/>
  <c r="D15" i="36"/>
  <c r="D18" i="36"/>
  <c r="D61" i="36"/>
  <c r="D65" i="36"/>
  <c r="D94" i="36"/>
  <c r="D95" i="36"/>
  <c r="D115" i="36"/>
  <c r="D11" i="36"/>
  <c r="D38" i="36"/>
  <c r="D42" i="36"/>
  <c r="D72" i="36"/>
  <c r="D84" i="36"/>
  <c r="D102" i="36"/>
  <c r="D103" i="36"/>
  <c r="D114" i="36"/>
  <c r="D122" i="36"/>
  <c r="D124" i="36"/>
  <c r="D126" i="36"/>
  <c r="D128" i="36"/>
  <c r="D130" i="36"/>
  <c r="D132" i="36"/>
  <c r="D134" i="36"/>
  <c r="D136" i="36"/>
  <c r="D138" i="36"/>
  <c r="D140" i="36"/>
  <c r="D142" i="36"/>
  <c r="D144" i="36"/>
  <c r="D146" i="36"/>
  <c r="D148" i="36"/>
  <c r="D150" i="36"/>
  <c r="D152" i="36"/>
  <c r="D154" i="36"/>
  <c r="D156" i="36"/>
  <c r="D158" i="36"/>
  <c r="D160" i="36"/>
  <c r="D162" i="36"/>
  <c r="D180" i="36"/>
  <c r="D186" i="36"/>
  <c r="D196" i="36"/>
  <c r="D200" i="36"/>
  <c r="K200" i="36" s="1"/>
  <c r="E203" i="34" s="1"/>
  <c r="E197" i="12" s="1"/>
  <c r="D214" i="36"/>
  <c r="D216" i="36"/>
  <c r="D218" i="36"/>
  <c r="D220" i="36"/>
  <c r="D234" i="36"/>
  <c r="D240" i="36"/>
  <c r="D250" i="36"/>
  <c r="D260" i="36"/>
  <c r="D261" i="36"/>
  <c r="D264" i="36"/>
  <c r="D265" i="36"/>
  <c r="D268" i="36"/>
  <c r="D269" i="36"/>
  <c r="D272" i="36"/>
  <c r="D273" i="36"/>
  <c r="D276" i="36"/>
  <c r="D277" i="36"/>
  <c r="D280" i="36"/>
  <c r="D281" i="36"/>
  <c r="D284" i="36"/>
  <c r="D285" i="36"/>
  <c r="D288" i="36"/>
  <c r="D289" i="36"/>
  <c r="D292" i="36"/>
  <c r="D293" i="36"/>
  <c r="D296" i="36"/>
  <c r="D297" i="36"/>
  <c r="D300" i="36"/>
  <c r="D301" i="36"/>
  <c r="D304" i="36"/>
  <c r="D305" i="36"/>
  <c r="D308" i="36"/>
  <c r="D182" i="36"/>
  <c r="D228" i="36"/>
  <c r="D254" i="36"/>
  <c r="D168" i="36"/>
  <c r="D170" i="36"/>
  <c r="D210" i="36"/>
  <c r="D212" i="36"/>
  <c r="D246" i="36"/>
  <c r="D256" i="36"/>
  <c r="D192" i="36"/>
  <c r="D198" i="36"/>
  <c r="D204" i="36"/>
  <c r="D222" i="36"/>
  <c r="D224" i="36"/>
  <c r="D238" i="36"/>
  <c r="D244" i="36"/>
  <c r="D164" i="36"/>
  <c r="D166" i="36"/>
  <c r="D184" i="36"/>
  <c r="D190" i="36"/>
  <c r="D230" i="36"/>
  <c r="D236" i="36"/>
  <c r="D147" i="36"/>
  <c r="D298" i="36"/>
  <c r="D282" i="36"/>
  <c r="D266" i="36"/>
  <c r="D143" i="36"/>
  <c r="D302" i="36"/>
  <c r="D286" i="36"/>
  <c r="D263" i="36"/>
  <c r="D207" i="36"/>
  <c r="D105" i="36"/>
  <c r="D78" i="36"/>
  <c r="D211" i="36"/>
  <c r="D74" i="36"/>
  <c r="D66" i="36"/>
  <c r="D307" i="36"/>
  <c r="D291" i="36"/>
  <c r="D275" i="36"/>
  <c r="D259" i="36"/>
  <c r="D139" i="36"/>
  <c r="D295" i="36"/>
  <c r="D278" i="36"/>
  <c r="D262" i="36"/>
  <c r="D131" i="36"/>
  <c r="D123" i="36"/>
  <c r="D87" i="36"/>
  <c r="D279" i="36"/>
  <c r="D215" i="36"/>
  <c r="D306" i="36"/>
  <c r="D290" i="36"/>
  <c r="D274" i="36"/>
  <c r="D219" i="36"/>
  <c r="D294" i="36"/>
  <c r="D271" i="36"/>
  <c r="D203" i="36"/>
  <c r="D12" i="36"/>
  <c r="D62" i="36"/>
  <c r="D86" i="36"/>
  <c r="D46" i="36"/>
  <c r="D155" i="36"/>
  <c r="D299" i="36"/>
  <c r="D283" i="36"/>
  <c r="D267" i="36"/>
  <c r="D151" i="36"/>
  <c r="D303" i="36"/>
  <c r="D287" i="36"/>
  <c r="D270" i="36"/>
  <c r="D223" i="36"/>
  <c r="D135" i="36"/>
  <c r="D127" i="36"/>
  <c r="D118" i="36"/>
  <c r="D252" i="36"/>
  <c r="D51" i="36"/>
  <c r="D70" i="36"/>
  <c r="D82" i="36"/>
  <c r="D247" i="36"/>
  <c r="D243" i="36"/>
  <c r="D239" i="36"/>
  <c r="D205" i="36"/>
  <c r="D189" i="36"/>
  <c r="D249" i="36"/>
  <c r="D213" i="36"/>
  <c r="D202" i="36"/>
  <c r="D257" i="36"/>
  <c r="D201" i="36"/>
  <c r="D191" i="36"/>
  <c r="D167" i="36"/>
  <c r="D88" i="36"/>
  <c r="D169" i="36"/>
  <c r="D145" i="36"/>
  <c r="D129" i="36"/>
  <c r="D120" i="36"/>
  <c r="D110" i="36"/>
  <c r="D35" i="36"/>
  <c r="D235" i="36"/>
  <c r="K235" i="36" s="1"/>
  <c r="E238" i="34" s="1"/>
  <c r="E232" i="12" s="1"/>
  <c r="D231" i="36"/>
  <c r="D227" i="36"/>
  <c r="D221" i="36"/>
  <c r="D193" i="36"/>
  <c r="D245" i="36"/>
  <c r="D237" i="36"/>
  <c r="D229" i="36"/>
  <c r="D217" i="36"/>
  <c r="K217" i="36" s="1"/>
  <c r="E220" i="34" s="1"/>
  <c r="E214" i="12" s="1"/>
  <c r="D187" i="36"/>
  <c r="D173" i="36"/>
  <c r="D157" i="36"/>
  <c r="D141" i="36"/>
  <c r="D125" i="36"/>
  <c r="D101" i="36"/>
  <c r="D83" i="36"/>
  <c r="D79" i="36"/>
  <c r="D75" i="36"/>
  <c r="D71" i="36"/>
  <c r="D67" i="36"/>
  <c r="D63" i="36"/>
  <c r="D45" i="36"/>
  <c r="D55" i="36"/>
  <c r="D33" i="36"/>
  <c r="D13" i="36"/>
  <c r="K13" i="36" s="1"/>
  <c r="E16" i="34" s="1"/>
  <c r="E10" i="12" s="1"/>
  <c r="D53" i="36"/>
  <c r="D25" i="36"/>
  <c r="D49" i="36"/>
  <c r="D21" i="36"/>
  <c r="D31" i="36"/>
  <c r="D199" i="36"/>
  <c r="D197" i="36"/>
  <c r="D181" i="36"/>
  <c r="K181" i="36" s="1"/>
  <c r="E184" i="34" s="1"/>
  <c r="E178" i="12" s="1"/>
  <c r="D255" i="36"/>
  <c r="D251" i="36"/>
  <c r="D225" i="36"/>
  <c r="D209" i="36"/>
  <c r="D159" i="36"/>
  <c r="D183" i="36"/>
  <c r="D163" i="36"/>
  <c r="D177" i="36"/>
  <c r="K177" i="36" s="1"/>
  <c r="E180" i="34" s="1"/>
  <c r="E174" i="12" s="1"/>
  <c r="D161" i="36"/>
  <c r="D153" i="36"/>
  <c r="D137" i="36"/>
  <c r="D121" i="36"/>
  <c r="D113" i="36"/>
  <c r="D100" i="36"/>
  <c r="D97" i="36"/>
  <c r="D91" i="36"/>
  <c r="D57" i="36"/>
  <c r="D37" i="36"/>
  <c r="D41" i="36"/>
  <c r="D17" i="36"/>
  <c r="D43" i="36"/>
  <c r="D29" i="36"/>
  <c r="D185" i="36"/>
  <c r="D171" i="36"/>
  <c r="K171" i="36" s="1"/>
  <c r="E174" i="34" s="1"/>
  <c r="E168" i="12" s="1"/>
  <c r="D241" i="36"/>
  <c r="D233" i="36"/>
  <c r="D175" i="36"/>
  <c r="D195" i="36"/>
  <c r="D179" i="36"/>
  <c r="D116" i="36"/>
  <c r="D165" i="36"/>
  <c r="D149" i="36"/>
  <c r="K149" i="36" s="1"/>
  <c r="E152" i="34" s="1"/>
  <c r="E146" i="12" s="1"/>
  <c r="D133" i="36"/>
  <c r="D112" i="36"/>
  <c r="D90" i="36"/>
  <c r="D108" i="36"/>
  <c r="D104" i="36"/>
  <c r="D96" i="36"/>
  <c r="D93" i="36"/>
  <c r="D58" i="36"/>
  <c r="D39" i="36"/>
  <c r="D59" i="36"/>
  <c r="G13" i="36"/>
  <c r="G15" i="36"/>
  <c r="G18" i="36"/>
  <c r="G20" i="36"/>
  <c r="G30" i="36"/>
  <c r="G36" i="36"/>
  <c r="G38" i="36"/>
  <c r="G70" i="36"/>
  <c r="G72" i="36"/>
  <c r="G73" i="36"/>
  <c r="G75" i="36"/>
  <c r="G86" i="36"/>
  <c r="G89" i="36"/>
  <c r="G10" i="36"/>
  <c r="G11" i="36"/>
  <c r="G14" i="36"/>
  <c r="G16" i="36"/>
  <c r="G40" i="36"/>
  <c r="G42" i="36"/>
  <c r="G45" i="36"/>
  <c r="G60" i="36"/>
  <c r="G61" i="36"/>
  <c r="G63" i="36"/>
  <c r="G74" i="36"/>
  <c r="G76" i="36"/>
  <c r="G77" i="36"/>
  <c r="G79" i="36"/>
  <c r="G24" i="36"/>
  <c r="G28" i="36"/>
  <c r="G31" i="36"/>
  <c r="G46" i="36"/>
  <c r="G47" i="36"/>
  <c r="G49" i="36"/>
  <c r="G50" i="36"/>
  <c r="G55" i="36"/>
  <c r="G84" i="36"/>
  <c r="G94" i="36"/>
  <c r="G99" i="36"/>
  <c r="G107" i="36"/>
  <c r="G108" i="36"/>
  <c r="G111" i="36"/>
  <c r="G114" i="36"/>
  <c r="G25" i="36"/>
  <c r="G29" i="36"/>
  <c r="G32" i="36"/>
  <c r="G52" i="36"/>
  <c r="G56" i="36"/>
  <c r="G59" i="36"/>
  <c r="G62" i="36"/>
  <c r="G64" i="36"/>
  <c r="G66" i="36"/>
  <c r="G67" i="36"/>
  <c r="G81" i="36"/>
  <c r="G85" i="36"/>
  <c r="G95" i="36"/>
  <c r="G96" i="36"/>
  <c r="G102" i="36"/>
  <c r="G112" i="36"/>
  <c r="G115" i="36"/>
  <c r="G117" i="36"/>
  <c r="G122" i="36"/>
  <c r="G126" i="36"/>
  <c r="G130" i="36"/>
  <c r="G134" i="36"/>
  <c r="G138" i="36"/>
  <c r="G142" i="36"/>
  <c r="G146" i="36"/>
  <c r="G150" i="36"/>
  <c r="G154" i="36"/>
  <c r="G158" i="36"/>
  <c r="G162" i="36"/>
  <c r="G164" i="36"/>
  <c r="G165" i="36"/>
  <c r="G168" i="36"/>
  <c r="G169" i="36"/>
  <c r="G175" i="36"/>
  <c r="G183" i="36"/>
  <c r="G184" i="36"/>
  <c r="G186" i="36"/>
  <c r="G203" i="36"/>
  <c r="G216" i="36"/>
  <c r="G220" i="36"/>
  <c r="G222" i="36"/>
  <c r="G223" i="36"/>
  <c r="G237" i="36"/>
  <c r="G238" i="36"/>
  <c r="G240" i="36"/>
  <c r="G251" i="36"/>
  <c r="G260" i="36"/>
  <c r="G264" i="36"/>
  <c r="G268" i="36"/>
  <c r="G272" i="36"/>
  <c r="G276" i="36"/>
  <c r="G280" i="36"/>
  <c r="G284" i="36"/>
  <c r="G288" i="36"/>
  <c r="G292" i="36"/>
  <c r="G296" i="36"/>
  <c r="G300" i="36"/>
  <c r="G304" i="36"/>
  <c r="G308" i="36"/>
  <c r="G12" i="36"/>
  <c r="G22" i="36"/>
  <c r="G23" i="36"/>
  <c r="G26" i="36"/>
  <c r="G27" i="36"/>
  <c r="G34" i="36"/>
  <c r="G44" i="36"/>
  <c r="G48" i="36"/>
  <c r="G68" i="36"/>
  <c r="G91" i="36"/>
  <c r="G92" i="36"/>
  <c r="G103" i="36"/>
  <c r="G104" i="36"/>
  <c r="G121" i="36"/>
  <c r="G124" i="36"/>
  <c r="G125" i="36"/>
  <c r="G128" i="36"/>
  <c r="G129" i="36"/>
  <c r="G132" i="36"/>
  <c r="G133" i="36"/>
  <c r="G136" i="36"/>
  <c r="G137" i="36"/>
  <c r="G19" i="36"/>
  <c r="G53" i="36"/>
  <c r="G65" i="36"/>
  <c r="G69" i="36"/>
  <c r="G71" i="36"/>
  <c r="G78" i="36"/>
  <c r="G80" i="36"/>
  <c r="G82" i="36"/>
  <c r="G83" i="36"/>
  <c r="G98" i="36"/>
  <c r="G106" i="36"/>
  <c r="G109" i="36"/>
  <c r="G119" i="36"/>
  <c r="G120" i="36"/>
  <c r="G123" i="36"/>
  <c r="G127" i="36"/>
  <c r="G131" i="36"/>
  <c r="G135" i="36"/>
  <c r="G139" i="36"/>
  <c r="G143" i="36"/>
  <c r="G147" i="36"/>
  <c r="G151" i="36"/>
  <c r="G155" i="36"/>
  <c r="G159" i="36"/>
  <c r="G174" i="36"/>
  <c r="G178" i="36"/>
  <c r="G191" i="36"/>
  <c r="G192" i="36"/>
  <c r="G194" i="36"/>
  <c r="G201" i="36"/>
  <c r="G208" i="36"/>
  <c r="G210" i="36"/>
  <c r="G211" i="36"/>
  <c r="G217" i="36"/>
  <c r="G229" i="36"/>
  <c r="G230" i="36"/>
  <c r="G232" i="36"/>
  <c r="G245" i="36"/>
  <c r="G246" i="36"/>
  <c r="G248" i="36"/>
  <c r="G252" i="36"/>
  <c r="G254" i="36"/>
  <c r="G259" i="36"/>
  <c r="G263" i="36"/>
  <c r="G267" i="36"/>
  <c r="G271" i="36"/>
  <c r="G275" i="36"/>
  <c r="G279" i="36"/>
  <c r="G283" i="36"/>
  <c r="G287" i="36"/>
  <c r="G291" i="36"/>
  <c r="G295" i="36"/>
  <c r="G299" i="36"/>
  <c r="G303" i="36"/>
  <c r="G307" i="36"/>
  <c r="G148" i="36"/>
  <c r="G156" i="36"/>
  <c r="G166" i="36"/>
  <c r="G173" i="36"/>
  <c r="G180" i="36"/>
  <c r="G190" i="36"/>
  <c r="G200" i="36"/>
  <c r="G206" i="36"/>
  <c r="G215" i="36"/>
  <c r="G226" i="36"/>
  <c r="G236" i="36"/>
  <c r="G249" i="36"/>
  <c r="G255" i="36"/>
  <c r="G261" i="36"/>
  <c r="G269" i="36"/>
  <c r="G277" i="36"/>
  <c r="G285" i="36"/>
  <c r="G293" i="36"/>
  <c r="G301" i="36"/>
  <c r="G140" i="36"/>
  <c r="G141" i="36"/>
  <c r="G149" i="36"/>
  <c r="G157" i="36"/>
  <c r="G167" i="36"/>
  <c r="G176" i="36"/>
  <c r="G182" i="36"/>
  <c r="G195" i="36"/>
  <c r="G207" i="36"/>
  <c r="G218" i="36"/>
  <c r="G228" i="36"/>
  <c r="G241" i="36"/>
  <c r="G250" i="36"/>
  <c r="G262" i="36"/>
  <c r="G270" i="36"/>
  <c r="G278" i="36"/>
  <c r="G286" i="36"/>
  <c r="G294" i="36"/>
  <c r="G302" i="36"/>
  <c r="G144" i="36"/>
  <c r="G152" i="36"/>
  <c r="G160" i="36"/>
  <c r="G170" i="36"/>
  <c r="G177" i="36"/>
  <c r="G187" i="36"/>
  <c r="G196" i="36"/>
  <c r="G212" i="36"/>
  <c r="G219" i="36"/>
  <c r="G233" i="36"/>
  <c r="G242" i="36"/>
  <c r="G258" i="36"/>
  <c r="G265" i="36"/>
  <c r="G273" i="36"/>
  <c r="G281" i="36"/>
  <c r="G289" i="36"/>
  <c r="G297" i="36"/>
  <c r="G305" i="36"/>
  <c r="G145" i="36"/>
  <c r="G153" i="36"/>
  <c r="G161" i="36"/>
  <c r="G172" i="36"/>
  <c r="G179" i="36"/>
  <c r="G188" i="36"/>
  <c r="G198" i="36"/>
  <c r="G204" i="36"/>
  <c r="G214" i="36"/>
  <c r="G224" i="36"/>
  <c r="G234" i="36"/>
  <c r="G244" i="36"/>
  <c r="G266" i="36"/>
  <c r="G274" i="36"/>
  <c r="G282" i="36"/>
  <c r="G290" i="36"/>
  <c r="G298" i="36"/>
  <c r="G306" i="36"/>
  <c r="G213" i="36"/>
  <c r="G58" i="36"/>
  <c r="G163" i="36"/>
  <c r="G225" i="36"/>
  <c r="G209" i="36"/>
  <c r="G100" i="36"/>
  <c r="G21" i="36"/>
  <c r="G197" i="36"/>
  <c r="G181" i="36"/>
  <c r="G257" i="36"/>
  <c r="G253" i="36"/>
  <c r="G235" i="36"/>
  <c r="G221" i="36"/>
  <c r="G205" i="36"/>
  <c r="G116" i="36"/>
  <c r="G97" i="36"/>
  <c r="G54" i="36"/>
  <c r="G199" i="36"/>
  <c r="G185" i="36"/>
  <c r="G171" i="36"/>
  <c r="G256" i="36"/>
  <c r="G247" i="36"/>
  <c r="G231" i="36"/>
  <c r="G110" i="36"/>
  <c r="G93" i="36"/>
  <c r="G57" i="36"/>
  <c r="G51" i="36"/>
  <c r="G43" i="36"/>
  <c r="G189" i="36"/>
  <c r="G243" i="36"/>
  <c r="G227" i="36"/>
  <c r="G113" i="36"/>
  <c r="G90" i="36"/>
  <c r="G118" i="36"/>
  <c r="G105" i="36"/>
  <c r="G88" i="36"/>
  <c r="G33" i="36"/>
  <c r="G39" i="36"/>
  <c r="G193" i="36"/>
  <c r="G239" i="36"/>
  <c r="G202" i="36"/>
  <c r="G101" i="36"/>
  <c r="G87" i="36"/>
  <c r="G37" i="36"/>
  <c r="G41" i="36"/>
  <c r="G35" i="36"/>
  <c r="G17" i="36"/>
  <c r="L6" i="19"/>
  <c r="F6" i="49" s="1"/>
  <c r="G6" i="49" s="1"/>
  <c r="Z306" i="42"/>
  <c r="E306" i="11"/>
  <c r="D306" i="49"/>
  <c r="B306" i="11"/>
  <c r="F306" i="19"/>
  <c r="I306" i="19"/>
  <c r="J306" i="19"/>
  <c r="N306" i="19"/>
  <c r="C306" i="19"/>
  <c r="D306" i="19"/>
  <c r="E306" i="19"/>
  <c r="H306" i="19"/>
  <c r="G306" i="19"/>
  <c r="B305" i="25"/>
  <c r="E6" i="13"/>
  <c r="F6" i="13" s="1"/>
  <c r="D9" i="36"/>
  <c r="J9" i="36"/>
  <c r="I9" i="36"/>
  <c r="F9" i="36"/>
  <c r="H9" i="36"/>
  <c r="E9" i="36"/>
  <c r="G9" i="36"/>
  <c r="K108" i="36" l="1"/>
  <c r="E111" i="34" s="1"/>
  <c r="E105" i="12" s="1"/>
  <c r="K195" i="36"/>
  <c r="E198" i="34" s="1"/>
  <c r="E192" i="12" s="1"/>
  <c r="K209" i="36"/>
  <c r="E212" i="34" s="1"/>
  <c r="E206" i="12" s="1"/>
  <c r="K202" i="36"/>
  <c r="E205" i="34" s="1"/>
  <c r="E199" i="12" s="1"/>
  <c r="K81" i="36"/>
  <c r="E84" i="34" s="1"/>
  <c r="E78" i="12" s="1"/>
  <c r="K86" i="36"/>
  <c r="E89" i="34" s="1"/>
  <c r="E83" i="12" s="1"/>
  <c r="K74" i="36"/>
  <c r="E77" i="34" s="1"/>
  <c r="E71" i="12" s="1"/>
  <c r="K39" i="36"/>
  <c r="E42" i="34" s="1"/>
  <c r="E36" i="12" s="1"/>
  <c r="K104" i="36"/>
  <c r="E107" i="34" s="1"/>
  <c r="E101" i="12" s="1"/>
  <c r="K133" i="36"/>
  <c r="E136" i="34" s="1"/>
  <c r="E130" i="12" s="1"/>
  <c r="K241" i="36"/>
  <c r="E244" i="34" s="1"/>
  <c r="E238" i="12" s="1"/>
  <c r="K43" i="36"/>
  <c r="E46" i="34" s="1"/>
  <c r="E40" i="12" s="1"/>
  <c r="K57" i="36"/>
  <c r="E60" i="34" s="1"/>
  <c r="E54" i="12" s="1"/>
  <c r="K113" i="36"/>
  <c r="E116" i="34" s="1"/>
  <c r="E110" i="12" s="1"/>
  <c r="K161" i="36"/>
  <c r="E164" i="34" s="1"/>
  <c r="E158" i="12" s="1"/>
  <c r="K31" i="36"/>
  <c r="E34" i="34" s="1"/>
  <c r="E28" i="12" s="1"/>
  <c r="K53" i="36"/>
  <c r="E56" i="34" s="1"/>
  <c r="E50" i="12" s="1"/>
  <c r="K45" i="36"/>
  <c r="E48" i="34" s="1"/>
  <c r="E42" i="12" s="1"/>
  <c r="K125" i="36"/>
  <c r="E128" i="34" s="1"/>
  <c r="E122" i="12" s="1"/>
  <c r="K245" i="36"/>
  <c r="E248" i="34" s="1"/>
  <c r="E242" i="12" s="1"/>
  <c r="K120" i="36"/>
  <c r="E123" i="34" s="1"/>
  <c r="E117" i="12" s="1"/>
  <c r="K88" i="36"/>
  <c r="E91" i="34" s="1"/>
  <c r="E85" i="12" s="1"/>
  <c r="K189" i="36"/>
  <c r="E192" i="34" s="1"/>
  <c r="E186" i="12" s="1"/>
  <c r="K131" i="36"/>
  <c r="E134" i="34" s="1"/>
  <c r="E128" i="12" s="1"/>
  <c r="K164" i="36"/>
  <c r="E167" i="34" s="1"/>
  <c r="E161" i="12" s="1"/>
  <c r="K301" i="36"/>
  <c r="E304" i="34" s="1"/>
  <c r="E298" i="12" s="1"/>
  <c r="K293" i="36"/>
  <c r="E296" i="34" s="1"/>
  <c r="E290" i="12" s="1"/>
  <c r="K269" i="36"/>
  <c r="E272" i="34" s="1"/>
  <c r="E266" i="12" s="1"/>
  <c r="K261" i="36"/>
  <c r="E264" i="34" s="1"/>
  <c r="E258" i="12" s="1"/>
  <c r="K234" i="36"/>
  <c r="E237" i="34" s="1"/>
  <c r="E231" i="12" s="1"/>
  <c r="K156" i="36"/>
  <c r="E159" i="34" s="1"/>
  <c r="E153" i="12" s="1"/>
  <c r="K132" i="36"/>
  <c r="E135" i="34" s="1"/>
  <c r="E129" i="12" s="1"/>
  <c r="K124" i="36"/>
  <c r="E127" i="34" s="1"/>
  <c r="E121" i="12" s="1"/>
  <c r="K102" i="36"/>
  <c r="E105" i="34" s="1"/>
  <c r="E99" i="12" s="1"/>
  <c r="K28" i="36"/>
  <c r="E31" i="34" s="1"/>
  <c r="E25" i="12" s="1"/>
  <c r="K21" i="36"/>
  <c r="E24" i="34" s="1"/>
  <c r="E18" i="12" s="1"/>
  <c r="K63" i="36"/>
  <c r="E66" i="34" s="1"/>
  <c r="E60" i="12" s="1"/>
  <c r="K193" i="36"/>
  <c r="E196" i="34" s="1"/>
  <c r="E190" i="12" s="1"/>
  <c r="K46" i="36"/>
  <c r="E49" i="34" s="1"/>
  <c r="E43" i="12" s="1"/>
  <c r="K246" i="36"/>
  <c r="E249" i="34" s="1"/>
  <c r="E243" i="12" s="1"/>
  <c r="K11" i="36"/>
  <c r="E14" i="34" s="1"/>
  <c r="E8" i="12" s="1"/>
  <c r="K93" i="36"/>
  <c r="E96" i="34" s="1"/>
  <c r="E90" i="12" s="1"/>
  <c r="K90" i="36"/>
  <c r="E93" i="34" s="1"/>
  <c r="E87" i="12" s="1"/>
  <c r="K165" i="36"/>
  <c r="E168" i="34" s="1"/>
  <c r="E162" i="12" s="1"/>
  <c r="K175" i="36"/>
  <c r="E178" i="34" s="1"/>
  <c r="E172" i="12" s="1"/>
  <c r="K185" i="36"/>
  <c r="E188" i="34" s="1"/>
  <c r="E182" i="12" s="1"/>
  <c r="K41" i="36"/>
  <c r="E44" i="34" s="1"/>
  <c r="E38" i="12" s="1"/>
  <c r="K97" i="36"/>
  <c r="E100" i="34" s="1"/>
  <c r="E94" i="12" s="1"/>
  <c r="K137" i="36"/>
  <c r="E140" i="34" s="1"/>
  <c r="E134" i="12" s="1"/>
  <c r="K163" i="36"/>
  <c r="E166" i="34" s="1"/>
  <c r="E160" i="12" s="1"/>
  <c r="K225" i="36"/>
  <c r="E228" i="34" s="1"/>
  <c r="E222" i="12" s="1"/>
  <c r="K197" i="36"/>
  <c r="E200" i="34" s="1"/>
  <c r="E194" i="12" s="1"/>
  <c r="K49" i="36"/>
  <c r="E52" i="34" s="1"/>
  <c r="E46" i="12" s="1"/>
  <c r="K33" i="36"/>
  <c r="E36" i="34" s="1"/>
  <c r="E30" i="12" s="1"/>
  <c r="K67" i="36"/>
  <c r="E70" i="34" s="1"/>
  <c r="E64" i="12" s="1"/>
  <c r="K83" i="36"/>
  <c r="E86" i="34" s="1"/>
  <c r="E80" i="12" s="1"/>
  <c r="K157" i="36"/>
  <c r="E160" i="34" s="1"/>
  <c r="E154" i="12" s="1"/>
  <c r="K229" i="36"/>
  <c r="E232" i="34" s="1"/>
  <c r="E226" i="12" s="1"/>
  <c r="K221" i="36"/>
  <c r="E224" i="34" s="1"/>
  <c r="E218" i="12" s="1"/>
  <c r="K35" i="36"/>
  <c r="E38" i="34" s="1"/>
  <c r="E32" i="12" s="1"/>
  <c r="K145" i="36"/>
  <c r="E148" i="34" s="1"/>
  <c r="E142" i="12" s="1"/>
  <c r="K191" i="36"/>
  <c r="E194" i="34" s="1"/>
  <c r="E188" i="12" s="1"/>
  <c r="K213" i="36"/>
  <c r="E216" i="34" s="1"/>
  <c r="E210" i="12" s="1"/>
  <c r="K239" i="36"/>
  <c r="E242" i="34" s="1"/>
  <c r="E236" i="12" s="1"/>
  <c r="K147" i="36"/>
  <c r="E150" i="34" s="1"/>
  <c r="E144" i="12" s="1"/>
  <c r="K184" i="36"/>
  <c r="E187" i="34" s="1"/>
  <c r="E181" i="12" s="1"/>
  <c r="K238" i="36"/>
  <c r="E241" i="34" s="1"/>
  <c r="E235" i="12" s="1"/>
  <c r="K254" i="36"/>
  <c r="E257" i="34" s="1"/>
  <c r="E251" i="12" s="1"/>
  <c r="K305" i="36"/>
  <c r="E308" i="34" s="1"/>
  <c r="E302" i="12" s="1"/>
  <c r="K297" i="36"/>
  <c r="E300" i="34" s="1"/>
  <c r="E294" i="12" s="1"/>
  <c r="K289" i="36"/>
  <c r="E292" i="34" s="1"/>
  <c r="E286" i="12" s="1"/>
  <c r="K281" i="36"/>
  <c r="E284" i="34" s="1"/>
  <c r="E278" i="12" s="1"/>
  <c r="K273" i="36"/>
  <c r="E276" i="34" s="1"/>
  <c r="E270" i="12" s="1"/>
  <c r="K265" i="36"/>
  <c r="E268" i="34" s="1"/>
  <c r="E262" i="12" s="1"/>
  <c r="K250" i="36"/>
  <c r="E253" i="34" s="1"/>
  <c r="E247" i="12" s="1"/>
  <c r="K218" i="36"/>
  <c r="E221" i="34" s="1"/>
  <c r="E215" i="12" s="1"/>
  <c r="K196" i="36"/>
  <c r="E199" i="34" s="1"/>
  <c r="E193" i="12" s="1"/>
  <c r="K160" i="36"/>
  <c r="E163" i="34" s="1"/>
  <c r="E157" i="12" s="1"/>
  <c r="K152" i="36"/>
  <c r="E155" i="34" s="1"/>
  <c r="E149" i="12" s="1"/>
  <c r="K144" i="36"/>
  <c r="E147" i="34" s="1"/>
  <c r="E141" i="12" s="1"/>
  <c r="K136" i="36"/>
  <c r="E139" i="34" s="1"/>
  <c r="E133" i="12" s="1"/>
  <c r="K128" i="36"/>
  <c r="E131" i="34" s="1"/>
  <c r="E125" i="12" s="1"/>
  <c r="K115" i="36"/>
  <c r="E118" i="34" s="1"/>
  <c r="E112" i="12" s="1"/>
  <c r="K61" i="36"/>
  <c r="E64" i="34" s="1"/>
  <c r="E58" i="12" s="1"/>
  <c r="K226" i="36"/>
  <c r="E229" i="34" s="1"/>
  <c r="E223" i="12" s="1"/>
  <c r="K188" i="36"/>
  <c r="E191" i="34" s="1"/>
  <c r="E185" i="12" s="1"/>
  <c r="K172" i="36"/>
  <c r="E175" i="34" s="1"/>
  <c r="E169" i="12" s="1"/>
  <c r="K106" i="36"/>
  <c r="E109" i="34" s="1"/>
  <c r="E103" i="12" s="1"/>
  <c r="K44" i="36"/>
  <c r="E47" i="34" s="1"/>
  <c r="E41" i="12" s="1"/>
  <c r="K77" i="36"/>
  <c r="E80" i="34" s="1"/>
  <c r="E74" i="12" s="1"/>
  <c r="K89" i="36"/>
  <c r="E92" i="34" s="1"/>
  <c r="E86" i="12" s="1"/>
  <c r="K19" i="36"/>
  <c r="E22" i="34" s="1"/>
  <c r="E16" i="12" s="1"/>
  <c r="K69" i="36"/>
  <c r="E72" i="34" s="1"/>
  <c r="E66" i="12" s="1"/>
  <c r="K47" i="36"/>
  <c r="E50" i="34" s="1"/>
  <c r="E44" i="12" s="1"/>
  <c r="K24" i="36"/>
  <c r="E27" i="34" s="1"/>
  <c r="E21" i="12" s="1"/>
  <c r="K62" i="36"/>
  <c r="E65" i="34" s="1"/>
  <c r="E59" i="12" s="1"/>
  <c r="K295" i="36"/>
  <c r="E298" i="34" s="1"/>
  <c r="E292" i="12" s="1"/>
  <c r="K66" i="36"/>
  <c r="E69" i="34" s="1"/>
  <c r="E63" i="12" s="1"/>
  <c r="K94" i="36"/>
  <c r="E97" i="34" s="1"/>
  <c r="E91" i="12" s="1"/>
  <c r="K260" i="36"/>
  <c r="E263" i="34" s="1"/>
  <c r="E257" i="12" s="1"/>
  <c r="K276" i="36"/>
  <c r="E279" i="34" s="1"/>
  <c r="E273" i="12" s="1"/>
  <c r="K292" i="36"/>
  <c r="E295" i="34" s="1"/>
  <c r="E289" i="12" s="1"/>
  <c r="K308" i="36"/>
  <c r="E311" i="34" s="1"/>
  <c r="E305" i="12" s="1"/>
  <c r="K23" i="36"/>
  <c r="E26" i="34" s="1"/>
  <c r="E20" i="12" s="1"/>
  <c r="K117" i="36"/>
  <c r="E120" i="34" s="1"/>
  <c r="E114" i="12" s="1"/>
  <c r="K267" i="36"/>
  <c r="E270" i="34" s="1"/>
  <c r="E264" i="12" s="1"/>
  <c r="K283" i="36"/>
  <c r="E286" i="34" s="1"/>
  <c r="E280" i="12" s="1"/>
  <c r="K299" i="36"/>
  <c r="E302" i="34" s="1"/>
  <c r="E296" i="12" s="1"/>
  <c r="K80" i="36"/>
  <c r="E83" i="34" s="1"/>
  <c r="E77" i="12" s="1"/>
  <c r="K135" i="36"/>
  <c r="E138" i="34" s="1"/>
  <c r="E132" i="12" s="1"/>
  <c r="K54" i="36"/>
  <c r="E57" i="34" s="1"/>
  <c r="E51" i="12" s="1"/>
  <c r="K270" i="36"/>
  <c r="E273" i="34" s="1"/>
  <c r="E267" i="12" s="1"/>
  <c r="K286" i="36"/>
  <c r="E289" i="34" s="1"/>
  <c r="E283" i="12" s="1"/>
  <c r="K302" i="36"/>
  <c r="E305" i="34" s="1"/>
  <c r="E299" i="12" s="1"/>
  <c r="K60" i="36"/>
  <c r="E63" i="34" s="1"/>
  <c r="E57" i="12" s="1"/>
  <c r="K87" i="36"/>
  <c r="E90" i="34" s="1"/>
  <c r="E84" i="12" s="1"/>
  <c r="K211" i="36"/>
  <c r="E214" i="34" s="1"/>
  <c r="E208" i="12" s="1"/>
  <c r="K207" i="36"/>
  <c r="E210" i="34" s="1"/>
  <c r="E204" i="12" s="1"/>
  <c r="K258" i="36"/>
  <c r="E261" i="34" s="1"/>
  <c r="E255" i="12" s="1"/>
  <c r="K174" i="36"/>
  <c r="E177" i="34" s="1"/>
  <c r="E171" i="12" s="1"/>
  <c r="K244" i="36"/>
  <c r="E247" i="34" s="1"/>
  <c r="E241" i="12" s="1"/>
  <c r="K170" i="36"/>
  <c r="E173" i="34" s="1"/>
  <c r="E167" i="12" s="1"/>
  <c r="K212" i="36"/>
  <c r="E215" i="34" s="1"/>
  <c r="E209" i="12" s="1"/>
  <c r="K150" i="36"/>
  <c r="E153" i="34" s="1"/>
  <c r="E147" i="12" s="1"/>
  <c r="K154" i="36"/>
  <c r="E157" i="34" s="1"/>
  <c r="E151" i="12" s="1"/>
  <c r="K179" i="36"/>
  <c r="E182" i="34" s="1"/>
  <c r="E176" i="12" s="1"/>
  <c r="K59" i="36"/>
  <c r="E62" i="34" s="1"/>
  <c r="E56" i="12" s="1"/>
  <c r="K96" i="36"/>
  <c r="E99" i="34" s="1"/>
  <c r="E93" i="12" s="1"/>
  <c r="K112" i="36"/>
  <c r="E115" i="34" s="1"/>
  <c r="E109" i="12" s="1"/>
  <c r="K116" i="36"/>
  <c r="E119" i="34" s="1"/>
  <c r="E113" i="12" s="1"/>
  <c r="K233" i="36"/>
  <c r="E236" i="34" s="1"/>
  <c r="E230" i="12" s="1"/>
  <c r="K29" i="36"/>
  <c r="E32" i="34" s="1"/>
  <c r="E26" i="12" s="1"/>
  <c r="K37" i="36"/>
  <c r="E40" i="34" s="1"/>
  <c r="E34" i="12" s="1"/>
  <c r="K100" i="36"/>
  <c r="E103" i="34" s="1"/>
  <c r="E97" i="12" s="1"/>
  <c r="K153" i="36"/>
  <c r="E156" i="34" s="1"/>
  <c r="E150" i="12" s="1"/>
  <c r="K183" i="36"/>
  <c r="E186" i="34" s="1"/>
  <c r="E180" i="12" s="1"/>
  <c r="K251" i="36"/>
  <c r="E254" i="34" s="1"/>
  <c r="E248" i="12" s="1"/>
  <c r="K199" i="36"/>
  <c r="E202" i="34" s="1"/>
  <c r="E196" i="12" s="1"/>
  <c r="K25" i="36"/>
  <c r="E28" i="34" s="1"/>
  <c r="E22" i="12" s="1"/>
  <c r="K55" i="36"/>
  <c r="E58" i="34" s="1"/>
  <c r="E52" i="12" s="1"/>
  <c r="K71" i="36"/>
  <c r="E74" i="34" s="1"/>
  <c r="E68" i="12" s="1"/>
  <c r="K101" i="36"/>
  <c r="E104" i="34" s="1"/>
  <c r="E98" i="12" s="1"/>
  <c r="K173" i="36"/>
  <c r="E176" i="34" s="1"/>
  <c r="E170" i="12" s="1"/>
  <c r="K237" i="36"/>
  <c r="E240" i="34" s="1"/>
  <c r="E234" i="12" s="1"/>
  <c r="K227" i="36"/>
  <c r="E230" i="34" s="1"/>
  <c r="E224" i="12" s="1"/>
  <c r="K110" i="36"/>
  <c r="E113" i="34" s="1"/>
  <c r="E107" i="12" s="1"/>
  <c r="K169" i="36"/>
  <c r="E172" i="34" s="1"/>
  <c r="E166" i="12" s="1"/>
  <c r="K201" i="36"/>
  <c r="E204" i="34" s="1"/>
  <c r="E198" i="12" s="1"/>
  <c r="K249" i="36"/>
  <c r="E252" i="34" s="1"/>
  <c r="E246" i="12" s="1"/>
  <c r="K243" i="36"/>
  <c r="E246" i="34" s="1"/>
  <c r="E240" i="12" s="1"/>
  <c r="K236" i="36"/>
  <c r="E239" i="34" s="1"/>
  <c r="E233" i="12" s="1"/>
  <c r="K192" i="36"/>
  <c r="E195" i="34" s="1"/>
  <c r="E189" i="12" s="1"/>
  <c r="K210" i="36"/>
  <c r="E213" i="34" s="1"/>
  <c r="E207" i="12" s="1"/>
  <c r="K103" i="36"/>
  <c r="E106" i="34" s="1"/>
  <c r="E100" i="12" s="1"/>
  <c r="K95" i="36"/>
  <c r="E98" i="34" s="1"/>
  <c r="E92" i="12" s="1"/>
  <c r="K208" i="36"/>
  <c r="E211" i="34" s="1"/>
  <c r="E205" i="12" s="1"/>
  <c r="K111" i="36"/>
  <c r="E114" i="34" s="1"/>
  <c r="E108" i="12" s="1"/>
  <c r="K99" i="36"/>
  <c r="E102" i="34" s="1"/>
  <c r="E96" i="12" s="1"/>
  <c r="K40" i="36"/>
  <c r="E43" i="34" s="1"/>
  <c r="E37" i="12" s="1"/>
  <c r="K119" i="36"/>
  <c r="E122" i="34" s="1"/>
  <c r="E116" i="12" s="1"/>
  <c r="K56" i="36"/>
  <c r="E59" i="34" s="1"/>
  <c r="E53" i="12" s="1"/>
  <c r="K36" i="36"/>
  <c r="E39" i="34" s="1"/>
  <c r="E33" i="12" s="1"/>
  <c r="K32" i="36"/>
  <c r="E35" i="34" s="1"/>
  <c r="E29" i="12" s="1"/>
  <c r="K70" i="36"/>
  <c r="E73" i="34" s="1"/>
  <c r="E67" i="12" s="1"/>
  <c r="K12" i="36"/>
  <c r="E15" i="34" s="1"/>
  <c r="E9" i="12" s="1"/>
  <c r="K78" i="36"/>
  <c r="E81" i="34" s="1"/>
  <c r="E75" i="12" s="1"/>
  <c r="K82" i="36"/>
  <c r="E85" i="34" s="1"/>
  <c r="E79" i="12" s="1"/>
  <c r="K262" i="36"/>
  <c r="E265" i="34" s="1"/>
  <c r="E259" i="12" s="1"/>
  <c r="K278" i="36"/>
  <c r="E281" i="34" s="1"/>
  <c r="E275" i="12" s="1"/>
  <c r="K294" i="36"/>
  <c r="E297" i="34" s="1"/>
  <c r="E291" i="12" s="1"/>
  <c r="K264" i="36"/>
  <c r="E267" i="34" s="1"/>
  <c r="E261" i="12" s="1"/>
  <c r="K280" i="36"/>
  <c r="E283" i="34" s="1"/>
  <c r="E277" i="12" s="1"/>
  <c r="K296" i="36"/>
  <c r="E299" i="34" s="1"/>
  <c r="E293" i="12" s="1"/>
  <c r="K271" i="36"/>
  <c r="E274" i="34" s="1"/>
  <c r="E268" i="12" s="1"/>
  <c r="K287" i="36"/>
  <c r="E290" i="34" s="1"/>
  <c r="E284" i="12" s="1"/>
  <c r="K303" i="36"/>
  <c r="E306" i="34" s="1"/>
  <c r="E300" i="12" s="1"/>
  <c r="K143" i="36"/>
  <c r="E146" i="34" s="1"/>
  <c r="E140" i="12" s="1"/>
  <c r="K256" i="36"/>
  <c r="E259" i="34" s="1"/>
  <c r="E253" i="12" s="1"/>
  <c r="K274" i="36"/>
  <c r="E277" i="34" s="1"/>
  <c r="E271" i="12" s="1"/>
  <c r="K290" i="36"/>
  <c r="E293" i="34" s="1"/>
  <c r="E287" i="12" s="1"/>
  <c r="K306" i="36"/>
  <c r="E309" i="34" s="1"/>
  <c r="E303" i="12" s="1"/>
  <c r="K139" i="36"/>
  <c r="E142" i="34" s="1"/>
  <c r="E136" i="12" s="1"/>
  <c r="K68" i="36"/>
  <c r="E71" i="34" s="1"/>
  <c r="E65" i="12" s="1"/>
  <c r="K215" i="36"/>
  <c r="E218" i="34" s="1"/>
  <c r="E212" i="12" s="1"/>
  <c r="K126" i="36"/>
  <c r="E129" i="34" s="1"/>
  <c r="E123" i="12" s="1"/>
  <c r="K182" i="36"/>
  <c r="E185" i="34" s="1"/>
  <c r="E179" i="12" s="1"/>
  <c r="K186" i="36"/>
  <c r="E189" i="34" s="1"/>
  <c r="E183" i="12" s="1"/>
  <c r="K220" i="36"/>
  <c r="E223" i="34" s="1"/>
  <c r="E217" i="12" s="1"/>
  <c r="K166" i="36"/>
  <c r="E169" i="34" s="1"/>
  <c r="E163" i="12" s="1"/>
  <c r="K216" i="36"/>
  <c r="E219" i="34" s="1"/>
  <c r="E213" i="12" s="1"/>
  <c r="K159" i="36"/>
  <c r="E162" i="34" s="1"/>
  <c r="E156" i="12" s="1"/>
  <c r="K75" i="36"/>
  <c r="E78" i="34" s="1"/>
  <c r="E72" i="12" s="1"/>
  <c r="K187" i="36"/>
  <c r="E190" i="34" s="1"/>
  <c r="E184" i="12" s="1"/>
  <c r="K231" i="36"/>
  <c r="E234" i="34" s="1"/>
  <c r="E228" i="12" s="1"/>
  <c r="K257" i="36"/>
  <c r="E260" i="34" s="1"/>
  <c r="E254" i="12" s="1"/>
  <c r="K247" i="36"/>
  <c r="E250" i="34" s="1"/>
  <c r="E244" i="12" s="1"/>
  <c r="K230" i="36"/>
  <c r="E233" i="34" s="1"/>
  <c r="E227" i="12" s="1"/>
  <c r="K222" i="36"/>
  <c r="E225" i="34" s="1"/>
  <c r="E219" i="12" s="1"/>
  <c r="K285" i="36"/>
  <c r="E288" i="34" s="1"/>
  <c r="E282" i="12" s="1"/>
  <c r="K277" i="36"/>
  <c r="E280" i="34" s="1"/>
  <c r="E274" i="12" s="1"/>
  <c r="K214" i="36"/>
  <c r="E217" i="34" s="1"/>
  <c r="E211" i="12" s="1"/>
  <c r="K180" i="36"/>
  <c r="E183" i="34" s="1"/>
  <c r="E177" i="12" s="1"/>
  <c r="K148" i="36"/>
  <c r="E151" i="34" s="1"/>
  <c r="E145" i="12" s="1"/>
  <c r="K140" i="36"/>
  <c r="E143" i="34" s="1"/>
  <c r="E137" i="12" s="1"/>
  <c r="K38" i="36"/>
  <c r="E41" i="34" s="1"/>
  <c r="E35" i="12" s="1"/>
  <c r="K242" i="36"/>
  <c r="E245" i="34" s="1"/>
  <c r="E239" i="12" s="1"/>
  <c r="K206" i="36"/>
  <c r="E209" i="34" s="1"/>
  <c r="E203" i="12" s="1"/>
  <c r="K176" i="36"/>
  <c r="E179" i="34" s="1"/>
  <c r="E173" i="12" s="1"/>
  <c r="K52" i="36"/>
  <c r="E55" i="34" s="1"/>
  <c r="E49" i="12" s="1"/>
  <c r="K73" i="36"/>
  <c r="E76" i="34" s="1"/>
  <c r="E70" i="12" s="1"/>
  <c r="K85" i="36"/>
  <c r="E88" i="34" s="1"/>
  <c r="E82" i="12" s="1"/>
  <c r="K219" i="36"/>
  <c r="E222" i="34" s="1"/>
  <c r="E216" i="12" s="1"/>
  <c r="K263" i="36"/>
  <c r="E266" i="34" s="1"/>
  <c r="E260" i="12" s="1"/>
  <c r="K268" i="36"/>
  <c r="E271" i="34" s="1"/>
  <c r="E265" i="12" s="1"/>
  <c r="K284" i="36"/>
  <c r="E287" i="34" s="1"/>
  <c r="E281" i="12" s="1"/>
  <c r="K300" i="36"/>
  <c r="E303" i="34" s="1"/>
  <c r="E297" i="12" s="1"/>
  <c r="K50" i="36"/>
  <c r="E53" i="34" s="1"/>
  <c r="E47" i="12" s="1"/>
  <c r="K259" i="36"/>
  <c r="E262" i="34" s="1"/>
  <c r="E256" i="12" s="1"/>
  <c r="K275" i="36"/>
  <c r="E278" i="34" s="1"/>
  <c r="E272" i="12" s="1"/>
  <c r="K291" i="36"/>
  <c r="E294" i="34" s="1"/>
  <c r="E288" i="12" s="1"/>
  <c r="K307" i="36"/>
  <c r="E310" i="34" s="1"/>
  <c r="E304" i="12" s="1"/>
  <c r="K64" i="36"/>
  <c r="E67" i="34" s="1"/>
  <c r="E61" i="12" s="1"/>
  <c r="K151" i="36"/>
  <c r="E154" i="34" s="1"/>
  <c r="E148" i="12" s="1"/>
  <c r="K105" i="36"/>
  <c r="E108" i="34" s="1"/>
  <c r="E102" i="12" s="1"/>
  <c r="K92" i="36"/>
  <c r="E95" i="34" s="1"/>
  <c r="E89" i="12" s="1"/>
  <c r="K18" i="36"/>
  <c r="E21" i="34" s="1"/>
  <c r="E15" i="12" s="1"/>
  <c r="K76" i="36"/>
  <c r="E79" i="34" s="1"/>
  <c r="E73" i="12" s="1"/>
  <c r="K14" i="36"/>
  <c r="E17" i="34" s="1"/>
  <c r="E11" i="12" s="1"/>
  <c r="K118" i="36"/>
  <c r="E121" i="34" s="1"/>
  <c r="E115" i="12" s="1"/>
  <c r="K223" i="36"/>
  <c r="E226" i="34" s="1"/>
  <c r="E220" i="12" s="1"/>
  <c r="K142" i="36"/>
  <c r="E145" i="34" s="1"/>
  <c r="E139" i="12" s="1"/>
  <c r="K198" i="36"/>
  <c r="E201" i="34" s="1"/>
  <c r="E195" i="12" s="1"/>
  <c r="K232" i="36"/>
  <c r="E235" i="34" s="1"/>
  <c r="E229" i="12" s="1"/>
  <c r="K30" i="36"/>
  <c r="E33" i="34" s="1"/>
  <c r="E27" i="12" s="1"/>
  <c r="K190" i="36"/>
  <c r="E193" i="34" s="1"/>
  <c r="E187" i="12" s="1"/>
  <c r="K122" i="36"/>
  <c r="E125" i="34" s="1"/>
  <c r="E119" i="12" s="1"/>
  <c r="K178" i="36"/>
  <c r="E181" i="34" s="1"/>
  <c r="E175" i="12" s="1"/>
  <c r="K224" i="36"/>
  <c r="E227" i="34" s="1"/>
  <c r="E221" i="12" s="1"/>
  <c r="K255" i="36"/>
  <c r="E258" i="34" s="1"/>
  <c r="E252" i="12" s="1"/>
  <c r="K58" i="36"/>
  <c r="E61" i="34" s="1"/>
  <c r="E55" i="12" s="1"/>
  <c r="K17" i="36"/>
  <c r="E20" i="34" s="1"/>
  <c r="E14" i="12" s="1"/>
  <c r="K91" i="36"/>
  <c r="E94" i="34" s="1"/>
  <c r="E88" i="12" s="1"/>
  <c r="K121" i="36"/>
  <c r="E124" i="34" s="1"/>
  <c r="E118" i="12" s="1"/>
  <c r="K79" i="36"/>
  <c r="E82" i="34" s="1"/>
  <c r="E76" i="12" s="1"/>
  <c r="K141" i="36"/>
  <c r="E144" i="34" s="1"/>
  <c r="E138" i="12" s="1"/>
  <c r="K129" i="36"/>
  <c r="E132" i="34" s="1"/>
  <c r="E126" i="12" s="1"/>
  <c r="K167" i="36"/>
  <c r="E170" i="34" s="1"/>
  <c r="E164" i="12" s="1"/>
  <c r="K205" i="36"/>
  <c r="E208" i="34" s="1"/>
  <c r="E202" i="12" s="1"/>
  <c r="K168" i="36"/>
  <c r="E171" i="34" s="1"/>
  <c r="E165" i="12" s="1"/>
  <c r="K162" i="36"/>
  <c r="E165" i="34" s="1"/>
  <c r="E159" i="12" s="1"/>
  <c r="K146" i="36"/>
  <c r="E149" i="34" s="1"/>
  <c r="E143" i="12" s="1"/>
  <c r="K130" i="36"/>
  <c r="E133" i="34" s="1"/>
  <c r="E127" i="12" s="1"/>
  <c r="K65" i="36"/>
  <c r="E68" i="34" s="1"/>
  <c r="E62" i="12" s="1"/>
  <c r="K107" i="36"/>
  <c r="E110" i="34" s="1"/>
  <c r="E104" i="12" s="1"/>
  <c r="K27" i="36"/>
  <c r="E30" i="34" s="1"/>
  <c r="E24" i="12" s="1"/>
  <c r="K279" i="36"/>
  <c r="E282" i="34" s="1"/>
  <c r="E276" i="12" s="1"/>
  <c r="K98" i="36"/>
  <c r="E101" i="34" s="1"/>
  <c r="E95" i="12" s="1"/>
  <c r="K272" i="36"/>
  <c r="E275" i="34" s="1"/>
  <c r="E269" i="12" s="1"/>
  <c r="K288" i="36"/>
  <c r="E291" i="34" s="1"/>
  <c r="E285" i="12" s="1"/>
  <c r="K304" i="36"/>
  <c r="E307" i="34" s="1"/>
  <c r="E301" i="12" s="1"/>
  <c r="K15" i="36"/>
  <c r="E18" i="34" s="1"/>
  <c r="E12" i="12" s="1"/>
  <c r="K72" i="36"/>
  <c r="E75" i="34" s="1"/>
  <c r="E69" i="12" s="1"/>
  <c r="K127" i="36"/>
  <c r="E130" i="34" s="1"/>
  <c r="E124" i="12" s="1"/>
  <c r="K109" i="36"/>
  <c r="E112" i="34" s="1"/>
  <c r="E106" i="12" s="1"/>
  <c r="K252" i="36"/>
  <c r="E255" i="34" s="1"/>
  <c r="E249" i="12" s="1"/>
  <c r="K266" i="36"/>
  <c r="E269" i="34" s="1"/>
  <c r="E263" i="12" s="1"/>
  <c r="K282" i="36"/>
  <c r="E285" i="34" s="1"/>
  <c r="E279" i="12" s="1"/>
  <c r="K298" i="36"/>
  <c r="E301" i="34" s="1"/>
  <c r="E295" i="12" s="1"/>
  <c r="K84" i="36"/>
  <c r="E87" i="34" s="1"/>
  <c r="E81" i="12" s="1"/>
  <c r="K123" i="36"/>
  <c r="E126" i="34" s="1"/>
  <c r="E120" i="12" s="1"/>
  <c r="K155" i="36"/>
  <c r="E158" i="34" s="1"/>
  <c r="E152" i="12" s="1"/>
  <c r="K114" i="36"/>
  <c r="E117" i="34" s="1"/>
  <c r="E111" i="12" s="1"/>
  <c r="K253" i="36"/>
  <c r="E256" i="34" s="1"/>
  <c r="E250" i="12" s="1"/>
  <c r="K51" i="36"/>
  <c r="E54" i="34" s="1"/>
  <c r="E48" i="12" s="1"/>
  <c r="K203" i="36"/>
  <c r="E206" i="34" s="1"/>
  <c r="E200" i="12" s="1"/>
  <c r="K22" i="36"/>
  <c r="E25" i="34" s="1"/>
  <c r="E19" i="12" s="1"/>
  <c r="K10" i="36"/>
  <c r="E13" i="34" s="1"/>
  <c r="E7" i="12" s="1"/>
  <c r="K34" i="36"/>
  <c r="E37" i="34" s="1"/>
  <c r="E31" i="12" s="1"/>
  <c r="K158" i="36"/>
  <c r="E161" i="34" s="1"/>
  <c r="E155" i="12" s="1"/>
  <c r="K228" i="36"/>
  <c r="E231" i="34" s="1"/>
  <c r="E225" i="12" s="1"/>
  <c r="K204" i="36"/>
  <c r="E207" i="34" s="1"/>
  <c r="E201" i="12" s="1"/>
  <c r="K248" i="36"/>
  <c r="E251" i="34" s="1"/>
  <c r="E245" i="12" s="1"/>
  <c r="K42" i="36"/>
  <c r="E45" i="34" s="1"/>
  <c r="E39" i="12" s="1"/>
  <c r="K134" i="36"/>
  <c r="E137" i="34" s="1"/>
  <c r="E131" i="12" s="1"/>
  <c r="K138" i="36"/>
  <c r="E141" i="34" s="1"/>
  <c r="E135" i="12" s="1"/>
  <c r="K194" i="36"/>
  <c r="E197" i="34" s="1"/>
  <c r="E191" i="12" s="1"/>
  <c r="K240" i="36"/>
  <c r="E243" i="34" s="1"/>
  <c r="E237" i="12" s="1"/>
  <c r="K9" i="36"/>
  <c r="L306" i="19"/>
  <c r="P6" i="19"/>
  <c r="O306" i="19"/>
  <c r="I309" i="36"/>
  <c r="E309" i="36"/>
  <c r="J309" i="36"/>
  <c r="H309" i="36"/>
  <c r="F309" i="36"/>
  <c r="D309" i="36"/>
  <c r="G309" i="36"/>
  <c r="K309" i="36" l="1"/>
  <c r="G306" i="49"/>
  <c r="R6" i="19"/>
  <c r="E12" i="34"/>
  <c r="F306" i="49"/>
  <c r="D305" i="25"/>
  <c r="H7" i="49" l="1"/>
  <c r="H11" i="49"/>
  <c r="I11" i="49" s="1"/>
  <c r="H15" i="49"/>
  <c r="I15" i="49" s="1"/>
  <c r="H19" i="49"/>
  <c r="I19" i="49" s="1"/>
  <c r="H23" i="49"/>
  <c r="I23" i="49" s="1"/>
  <c r="H27" i="49"/>
  <c r="I27" i="49" s="1"/>
  <c r="H31" i="49"/>
  <c r="I31" i="49" s="1"/>
  <c r="H35" i="49"/>
  <c r="I35" i="49" s="1"/>
  <c r="H39" i="49"/>
  <c r="I39" i="49" s="1"/>
  <c r="H43" i="49"/>
  <c r="I43" i="49" s="1"/>
  <c r="H47" i="49"/>
  <c r="I47" i="49" s="1"/>
  <c r="H51" i="49"/>
  <c r="I51" i="49" s="1"/>
  <c r="H55" i="49"/>
  <c r="I55" i="49" s="1"/>
  <c r="H8" i="49"/>
  <c r="I8" i="49" s="1"/>
  <c r="H12" i="49"/>
  <c r="I12" i="49" s="1"/>
  <c r="H16" i="49"/>
  <c r="I16" i="49" s="1"/>
  <c r="H20" i="49"/>
  <c r="I20" i="49" s="1"/>
  <c r="H24" i="49"/>
  <c r="I24" i="49" s="1"/>
  <c r="H28" i="49"/>
  <c r="I28" i="49" s="1"/>
  <c r="H32" i="49"/>
  <c r="I32" i="49" s="1"/>
  <c r="H36" i="49"/>
  <c r="I36" i="49" s="1"/>
  <c r="H40" i="49"/>
  <c r="I40" i="49" s="1"/>
  <c r="H44" i="49"/>
  <c r="I44" i="49" s="1"/>
  <c r="H48" i="49"/>
  <c r="I48" i="49" s="1"/>
  <c r="H52" i="49"/>
  <c r="I52" i="49" s="1"/>
  <c r="H56" i="49"/>
  <c r="I56" i="49" s="1"/>
  <c r="H60" i="49"/>
  <c r="I60" i="49" s="1"/>
  <c r="H64" i="49"/>
  <c r="I64" i="49" s="1"/>
  <c r="H68" i="49"/>
  <c r="I68" i="49" s="1"/>
  <c r="H72" i="49"/>
  <c r="I72" i="49" s="1"/>
  <c r="H9" i="49"/>
  <c r="I9" i="49" s="1"/>
  <c r="H13" i="49"/>
  <c r="I13" i="49" s="1"/>
  <c r="H17" i="49"/>
  <c r="I17" i="49" s="1"/>
  <c r="H21" i="49"/>
  <c r="I21" i="49" s="1"/>
  <c r="H25" i="49"/>
  <c r="I25" i="49" s="1"/>
  <c r="H29" i="49"/>
  <c r="I29" i="49" s="1"/>
  <c r="H33" i="49"/>
  <c r="I33" i="49" s="1"/>
  <c r="H37" i="49"/>
  <c r="I37" i="49" s="1"/>
  <c r="H41" i="49"/>
  <c r="I41" i="49" s="1"/>
  <c r="H45" i="49"/>
  <c r="I45" i="49" s="1"/>
  <c r="H49" i="49"/>
  <c r="I49" i="49" s="1"/>
  <c r="H53" i="49"/>
  <c r="I53" i="49" s="1"/>
  <c r="H57" i="49"/>
  <c r="I57" i="49" s="1"/>
  <c r="H61" i="49"/>
  <c r="I61" i="49" s="1"/>
  <c r="H65" i="49"/>
  <c r="I65" i="49" s="1"/>
  <c r="H69" i="49"/>
  <c r="I69" i="49" s="1"/>
  <c r="H73" i="49"/>
  <c r="I73" i="49" s="1"/>
  <c r="H10" i="49"/>
  <c r="I10" i="49" s="1"/>
  <c r="H18" i="49"/>
  <c r="I18" i="49" s="1"/>
  <c r="H34" i="49"/>
  <c r="I34" i="49" s="1"/>
  <c r="H50" i="49"/>
  <c r="I50" i="49" s="1"/>
  <c r="H62" i="49"/>
  <c r="I62" i="49" s="1"/>
  <c r="H63" i="49"/>
  <c r="I63" i="49" s="1"/>
  <c r="H70" i="49"/>
  <c r="I70" i="49" s="1"/>
  <c r="H71" i="49"/>
  <c r="I71" i="49" s="1"/>
  <c r="H79" i="49"/>
  <c r="I79" i="49" s="1"/>
  <c r="H83" i="49"/>
  <c r="I83" i="49" s="1"/>
  <c r="H87" i="49"/>
  <c r="I87" i="49" s="1"/>
  <c r="H91" i="49"/>
  <c r="I91" i="49" s="1"/>
  <c r="H95" i="49"/>
  <c r="I95" i="49" s="1"/>
  <c r="H99" i="49"/>
  <c r="I99" i="49" s="1"/>
  <c r="H103" i="49"/>
  <c r="I103" i="49" s="1"/>
  <c r="H107" i="49"/>
  <c r="I107" i="49" s="1"/>
  <c r="H111" i="49"/>
  <c r="H115" i="49"/>
  <c r="H119" i="49"/>
  <c r="I119" i="49" s="1"/>
  <c r="H123" i="49"/>
  <c r="H127" i="49"/>
  <c r="I127" i="49" s="1"/>
  <c r="H22" i="49"/>
  <c r="I22" i="49" s="1"/>
  <c r="H38" i="49"/>
  <c r="I38" i="49" s="1"/>
  <c r="H54" i="49"/>
  <c r="I54" i="49" s="1"/>
  <c r="H80" i="49"/>
  <c r="I80" i="49" s="1"/>
  <c r="H84" i="49"/>
  <c r="I84" i="49" s="1"/>
  <c r="H88" i="49"/>
  <c r="I88" i="49" s="1"/>
  <c r="H92" i="49"/>
  <c r="I92" i="49" s="1"/>
  <c r="H96" i="49"/>
  <c r="I96" i="49" s="1"/>
  <c r="H100" i="49"/>
  <c r="I100" i="49" s="1"/>
  <c r="H104" i="49"/>
  <c r="I104" i="49" s="1"/>
  <c r="H108" i="49"/>
  <c r="H112" i="49"/>
  <c r="I112" i="49" s="1"/>
  <c r="H116" i="49"/>
  <c r="H120" i="49"/>
  <c r="H124" i="49"/>
  <c r="H14" i="49"/>
  <c r="H26" i="49"/>
  <c r="I26" i="49" s="1"/>
  <c r="H42" i="49"/>
  <c r="I42" i="49" s="1"/>
  <c r="H58" i="49"/>
  <c r="I58" i="49" s="1"/>
  <c r="H59" i="49"/>
  <c r="I59" i="49" s="1"/>
  <c r="H66" i="49"/>
  <c r="I66" i="49" s="1"/>
  <c r="H67" i="49"/>
  <c r="I67" i="49" s="1"/>
  <c r="H74" i="49"/>
  <c r="I74" i="49" s="1"/>
  <c r="H75" i="49"/>
  <c r="I75" i="49" s="1"/>
  <c r="H76" i="49"/>
  <c r="I76" i="49" s="1"/>
  <c r="H77" i="49"/>
  <c r="I77" i="49" s="1"/>
  <c r="H81" i="49"/>
  <c r="I81" i="49" s="1"/>
  <c r="H85" i="49"/>
  <c r="I85" i="49" s="1"/>
  <c r="H89" i="49"/>
  <c r="I89" i="49" s="1"/>
  <c r="H93" i="49"/>
  <c r="I93" i="49" s="1"/>
  <c r="H97" i="49"/>
  <c r="I97" i="49" s="1"/>
  <c r="H101" i="49"/>
  <c r="I101" i="49" s="1"/>
  <c r="H30" i="49"/>
  <c r="I30" i="49" s="1"/>
  <c r="H46" i="49"/>
  <c r="I46" i="49" s="1"/>
  <c r="H82" i="49"/>
  <c r="I82" i="49" s="1"/>
  <c r="H90" i="49"/>
  <c r="I90" i="49" s="1"/>
  <c r="H98" i="49"/>
  <c r="I98" i="49" s="1"/>
  <c r="H121" i="49"/>
  <c r="H122" i="49"/>
  <c r="H125" i="49"/>
  <c r="H126" i="49"/>
  <c r="I126" i="49" s="1"/>
  <c r="H129" i="49"/>
  <c r="H133" i="49"/>
  <c r="I133" i="49" s="1"/>
  <c r="H137" i="49"/>
  <c r="H141" i="49"/>
  <c r="I141" i="49" s="1"/>
  <c r="H145" i="49"/>
  <c r="I145" i="49" s="1"/>
  <c r="H149" i="49"/>
  <c r="I149" i="49" s="1"/>
  <c r="H153" i="49"/>
  <c r="I153" i="49" s="1"/>
  <c r="H157" i="49"/>
  <c r="I157" i="49" s="1"/>
  <c r="H161" i="49"/>
  <c r="I161" i="49" s="1"/>
  <c r="H165" i="49"/>
  <c r="I165" i="49" s="1"/>
  <c r="H169" i="49"/>
  <c r="I169" i="49" s="1"/>
  <c r="H173" i="49"/>
  <c r="I173" i="49" s="1"/>
  <c r="H177" i="49"/>
  <c r="I177" i="49" s="1"/>
  <c r="H181" i="49"/>
  <c r="I181" i="49" s="1"/>
  <c r="H185" i="49"/>
  <c r="I185" i="49" s="1"/>
  <c r="H113" i="49"/>
  <c r="H114" i="49"/>
  <c r="H117" i="49"/>
  <c r="I117" i="49" s="1"/>
  <c r="H118" i="49"/>
  <c r="H130" i="49"/>
  <c r="H134" i="49"/>
  <c r="I134" i="49" s="1"/>
  <c r="H138" i="49"/>
  <c r="I138" i="49" s="1"/>
  <c r="H142" i="49"/>
  <c r="H146" i="49"/>
  <c r="H150" i="49"/>
  <c r="H154" i="49"/>
  <c r="I154" i="49" s="1"/>
  <c r="H158" i="49"/>
  <c r="I158" i="49" s="1"/>
  <c r="H162" i="49"/>
  <c r="I162" i="49" s="1"/>
  <c r="H166" i="49"/>
  <c r="I166" i="49" s="1"/>
  <c r="H170" i="49"/>
  <c r="I170" i="49" s="1"/>
  <c r="H174" i="49"/>
  <c r="I174" i="49" s="1"/>
  <c r="H178" i="49"/>
  <c r="I178" i="49" s="1"/>
  <c r="H182" i="49"/>
  <c r="I182" i="49" s="1"/>
  <c r="H186" i="49"/>
  <c r="I186" i="49" s="1"/>
  <c r="H78" i="49"/>
  <c r="I78" i="49" s="1"/>
  <c r="H86" i="49"/>
  <c r="I86" i="49" s="1"/>
  <c r="H94" i="49"/>
  <c r="I94" i="49" s="1"/>
  <c r="H102" i="49"/>
  <c r="I102" i="49" s="1"/>
  <c r="H109" i="49"/>
  <c r="I109" i="49" s="1"/>
  <c r="H110" i="49"/>
  <c r="I110" i="49" s="1"/>
  <c r="H131" i="49"/>
  <c r="I131" i="49" s="1"/>
  <c r="H135" i="49"/>
  <c r="I135" i="49" s="1"/>
  <c r="H139" i="49"/>
  <c r="I139" i="49" s="1"/>
  <c r="H143" i="49"/>
  <c r="H147" i="49"/>
  <c r="H151" i="49"/>
  <c r="I151" i="49" s="1"/>
  <c r="H155" i="49"/>
  <c r="I155" i="49" s="1"/>
  <c r="H159" i="49"/>
  <c r="I159" i="49" s="1"/>
  <c r="H163" i="49"/>
  <c r="I163" i="49" s="1"/>
  <c r="H167" i="49"/>
  <c r="I167" i="49" s="1"/>
  <c r="H171" i="49"/>
  <c r="I171" i="49" s="1"/>
  <c r="H175" i="49"/>
  <c r="I175" i="49" s="1"/>
  <c r="H105" i="49"/>
  <c r="I105" i="49" s="1"/>
  <c r="H106" i="49"/>
  <c r="H128" i="49"/>
  <c r="H132" i="49"/>
  <c r="I132" i="49" s="1"/>
  <c r="H136" i="49"/>
  <c r="I136" i="49" s="1"/>
  <c r="H140" i="49"/>
  <c r="I140" i="49" s="1"/>
  <c r="H144" i="49"/>
  <c r="H148" i="49"/>
  <c r="H152" i="49"/>
  <c r="I152" i="49" s="1"/>
  <c r="H156" i="49"/>
  <c r="I156" i="49" s="1"/>
  <c r="H160" i="49"/>
  <c r="I160" i="49" s="1"/>
  <c r="H164" i="49"/>
  <c r="I164" i="49" s="1"/>
  <c r="H168" i="49"/>
  <c r="I168" i="49" s="1"/>
  <c r="H172" i="49"/>
  <c r="I172" i="49" s="1"/>
  <c r="H176" i="49"/>
  <c r="I176" i="49" s="1"/>
  <c r="H180" i="49"/>
  <c r="I180" i="49" s="1"/>
  <c r="H183" i="49"/>
  <c r="I183" i="49" s="1"/>
  <c r="H184" i="49"/>
  <c r="H189" i="49"/>
  <c r="I189" i="49" s="1"/>
  <c r="H190" i="49"/>
  <c r="I190" i="49" s="1"/>
  <c r="H194" i="49"/>
  <c r="I194" i="49" s="1"/>
  <c r="H198" i="49"/>
  <c r="I198" i="49" s="1"/>
  <c r="H202" i="49"/>
  <c r="I202" i="49" s="1"/>
  <c r="H206" i="49"/>
  <c r="I206" i="49" s="1"/>
  <c r="H210" i="49"/>
  <c r="I210" i="49" s="1"/>
  <c r="H214" i="49"/>
  <c r="I214" i="49" s="1"/>
  <c r="H218" i="49"/>
  <c r="I218" i="49" s="1"/>
  <c r="H222" i="49"/>
  <c r="I222" i="49" s="1"/>
  <c r="H226" i="49"/>
  <c r="I226" i="49" s="1"/>
  <c r="H230" i="49"/>
  <c r="I230" i="49" s="1"/>
  <c r="H234" i="49"/>
  <c r="I234" i="49" s="1"/>
  <c r="H238" i="49"/>
  <c r="I238" i="49" s="1"/>
  <c r="H242" i="49"/>
  <c r="I242" i="49" s="1"/>
  <c r="H191" i="49"/>
  <c r="I191" i="49" s="1"/>
  <c r="H195" i="49"/>
  <c r="H199" i="49"/>
  <c r="I199" i="49" s="1"/>
  <c r="H203" i="49"/>
  <c r="I203" i="49" s="1"/>
  <c r="H207" i="49"/>
  <c r="I207" i="49" s="1"/>
  <c r="H211" i="49"/>
  <c r="I211" i="49" s="1"/>
  <c r="H215" i="49"/>
  <c r="I215" i="49" s="1"/>
  <c r="H219" i="49"/>
  <c r="I219" i="49" s="1"/>
  <c r="H223" i="49"/>
  <c r="I223" i="49" s="1"/>
  <c r="H227" i="49"/>
  <c r="I227" i="49" s="1"/>
  <c r="H231" i="49"/>
  <c r="I231" i="49" s="1"/>
  <c r="H235" i="49"/>
  <c r="I235" i="49" s="1"/>
  <c r="H239" i="49"/>
  <c r="I239" i="49" s="1"/>
  <c r="H243" i="49"/>
  <c r="I243" i="49" s="1"/>
  <c r="H247" i="49"/>
  <c r="I247" i="49" s="1"/>
  <c r="H251" i="49"/>
  <c r="I251" i="49" s="1"/>
  <c r="H192" i="49"/>
  <c r="I192" i="49" s="1"/>
  <c r="H196" i="49"/>
  <c r="H200" i="49"/>
  <c r="I200" i="49" s="1"/>
  <c r="H204" i="49"/>
  <c r="I204" i="49" s="1"/>
  <c r="H208" i="49"/>
  <c r="I208" i="49" s="1"/>
  <c r="H212" i="49"/>
  <c r="I212" i="49" s="1"/>
  <c r="H216" i="49"/>
  <c r="I216" i="49" s="1"/>
  <c r="H220" i="49"/>
  <c r="I220" i="49" s="1"/>
  <c r="H224" i="49"/>
  <c r="I224" i="49" s="1"/>
  <c r="H228" i="49"/>
  <c r="I228" i="49" s="1"/>
  <c r="H232" i="49"/>
  <c r="I232" i="49" s="1"/>
  <c r="H236" i="49"/>
  <c r="I236" i="49" s="1"/>
  <c r="H240" i="49"/>
  <c r="I240" i="49" s="1"/>
  <c r="H244" i="49"/>
  <c r="I244" i="49" s="1"/>
  <c r="H248" i="49"/>
  <c r="I248" i="49" s="1"/>
  <c r="H252" i="49"/>
  <c r="I252" i="49" s="1"/>
  <c r="H188" i="49"/>
  <c r="I188" i="49" s="1"/>
  <c r="H193" i="49"/>
  <c r="I193" i="49" s="1"/>
  <c r="H205" i="49"/>
  <c r="I205" i="49" s="1"/>
  <c r="H221" i="49"/>
  <c r="I221" i="49" s="1"/>
  <c r="H237" i="49"/>
  <c r="I237" i="49" s="1"/>
  <c r="H257" i="49"/>
  <c r="I257" i="49" s="1"/>
  <c r="H261" i="49"/>
  <c r="I261" i="49" s="1"/>
  <c r="H265" i="49"/>
  <c r="I265" i="49" s="1"/>
  <c r="H269" i="49"/>
  <c r="H273" i="49"/>
  <c r="H277" i="49"/>
  <c r="I277" i="49" s="1"/>
  <c r="H281" i="49"/>
  <c r="I281" i="49" s="1"/>
  <c r="H285" i="49"/>
  <c r="I285" i="49" s="1"/>
  <c r="H289" i="49"/>
  <c r="I289" i="49" s="1"/>
  <c r="H293" i="49"/>
  <c r="I293" i="49" s="1"/>
  <c r="H297" i="49"/>
  <c r="H301" i="49"/>
  <c r="I301" i="49" s="1"/>
  <c r="H305" i="49"/>
  <c r="I305" i="49" s="1"/>
  <c r="H209" i="49"/>
  <c r="I209" i="49" s="1"/>
  <c r="H225" i="49"/>
  <c r="I225" i="49" s="1"/>
  <c r="H241" i="49"/>
  <c r="I241" i="49" s="1"/>
  <c r="H246" i="49"/>
  <c r="I246" i="49" s="1"/>
  <c r="H253" i="49"/>
  <c r="I253" i="49" s="1"/>
  <c r="H254" i="49"/>
  <c r="I254" i="49" s="1"/>
  <c r="H258" i="49"/>
  <c r="I258" i="49" s="1"/>
  <c r="H262" i="49"/>
  <c r="I262" i="49" s="1"/>
  <c r="H266" i="49"/>
  <c r="I266" i="49" s="1"/>
  <c r="H270" i="49"/>
  <c r="H274" i="49"/>
  <c r="H278" i="49"/>
  <c r="H282" i="49"/>
  <c r="H286" i="49"/>
  <c r="I286" i="49" s="1"/>
  <c r="H290" i="49"/>
  <c r="I290" i="49" s="1"/>
  <c r="H294" i="49"/>
  <c r="H298" i="49"/>
  <c r="H302" i="49"/>
  <c r="I302" i="49" s="1"/>
  <c r="H179" i="49"/>
  <c r="I179" i="49" s="1"/>
  <c r="H187" i="49"/>
  <c r="I187" i="49" s="1"/>
  <c r="H197" i="49"/>
  <c r="I197" i="49" s="1"/>
  <c r="H213" i="49"/>
  <c r="I213" i="49" s="1"/>
  <c r="H229" i="49"/>
  <c r="I229" i="49" s="1"/>
  <c r="H245" i="49"/>
  <c r="I245" i="49" s="1"/>
  <c r="H255" i="49"/>
  <c r="I255" i="49" s="1"/>
  <c r="H259" i="49"/>
  <c r="I259" i="49" s="1"/>
  <c r="H263" i="49"/>
  <c r="I263" i="49" s="1"/>
  <c r="H267" i="49"/>
  <c r="H271" i="49"/>
  <c r="H275" i="49"/>
  <c r="H279" i="49"/>
  <c r="I279" i="49" s="1"/>
  <c r="H283" i="49"/>
  <c r="I283" i="49" s="1"/>
  <c r="H287" i="49"/>
  <c r="H291" i="49"/>
  <c r="I291" i="49" s="1"/>
  <c r="H295" i="49"/>
  <c r="I295" i="49" s="1"/>
  <c r="H299" i="49"/>
  <c r="I299" i="49" s="1"/>
  <c r="H303" i="49"/>
  <c r="I303" i="49" s="1"/>
  <c r="H201" i="49"/>
  <c r="I201" i="49" s="1"/>
  <c r="H217" i="49"/>
  <c r="I217" i="49" s="1"/>
  <c r="H233" i="49"/>
  <c r="I233" i="49" s="1"/>
  <c r="H249" i="49"/>
  <c r="I249" i="49" s="1"/>
  <c r="H250" i="49"/>
  <c r="I250" i="49" s="1"/>
  <c r="H256" i="49"/>
  <c r="I256" i="49" s="1"/>
  <c r="H260" i="49"/>
  <c r="I260" i="49" s="1"/>
  <c r="H264" i="49"/>
  <c r="I264" i="49" s="1"/>
  <c r="H268" i="49"/>
  <c r="H272" i="49"/>
  <c r="H276" i="49"/>
  <c r="I276" i="49" s="1"/>
  <c r="H280" i="49"/>
  <c r="I280" i="49" s="1"/>
  <c r="H284" i="49"/>
  <c r="I284" i="49" s="1"/>
  <c r="H288" i="49"/>
  <c r="H292" i="49"/>
  <c r="I292" i="49" s="1"/>
  <c r="H296" i="49"/>
  <c r="H300" i="49"/>
  <c r="I300" i="49" s="1"/>
  <c r="H304" i="49"/>
  <c r="E5" i="25"/>
  <c r="AK6" i="42"/>
  <c r="E51" i="48"/>
  <c r="F28" i="48"/>
  <c r="J6" i="49"/>
  <c r="AC6" i="42"/>
  <c r="AM6" i="42"/>
  <c r="AE6" i="42"/>
  <c r="C6" i="33"/>
  <c r="E6" i="33" s="1"/>
  <c r="C12" i="9"/>
  <c r="C312" i="9" s="1"/>
  <c r="H6" i="49"/>
  <c r="E312" i="34"/>
  <c r="C6" i="39"/>
  <c r="C6" i="12"/>
  <c r="E6" i="12" s="1"/>
  <c r="C6" i="13"/>
  <c r="C6" i="11" l="1"/>
  <c r="C12" i="34"/>
  <c r="D6" i="37"/>
  <c r="H306" i="49"/>
  <c r="I306" i="49" l="1"/>
  <c r="F6" i="11" l="1"/>
  <c r="G6" i="11" s="1"/>
  <c r="K6" i="11" l="1"/>
  <c r="L6" i="11" l="1"/>
  <c r="F306" i="42" l="1"/>
  <c r="M306" i="42" l="1"/>
  <c r="M306" i="19"/>
  <c r="T306" i="42" l="1"/>
  <c r="P306" i="19"/>
  <c r="R306" i="19" l="1"/>
  <c r="C306" i="12"/>
  <c r="E306" i="12" s="1"/>
  <c r="C306" i="13"/>
  <c r="H46" i="40" l="1"/>
  <c r="K47" i="40" s="1"/>
  <c r="B47" i="40" s="1"/>
  <c r="G312" i="34"/>
  <c r="G40" i="40"/>
  <c r="AK306" i="42"/>
  <c r="AM306" i="42"/>
  <c r="AC306" i="42"/>
  <c r="AE306" i="42"/>
  <c r="C306" i="39"/>
  <c r="E5" i="9"/>
  <c r="E305" i="25"/>
  <c r="C306" i="33"/>
  <c r="E306" i="33" s="1"/>
  <c r="J306" i="49"/>
  <c r="K5" i="49" s="1"/>
  <c r="Q306" i="19"/>
  <c r="C305" i="25" s="1"/>
  <c r="K8" i="49" l="1"/>
  <c r="L8" i="49" s="1"/>
  <c r="H7" i="25" s="1"/>
  <c r="J8" i="54" s="1"/>
  <c r="K8" i="54" s="1"/>
  <c r="K12" i="49"/>
  <c r="L12" i="49" s="1"/>
  <c r="H11" i="25" s="1"/>
  <c r="J12" i="54" s="1"/>
  <c r="K12" i="54" s="1"/>
  <c r="K16" i="49"/>
  <c r="L16" i="49" s="1"/>
  <c r="H15" i="25" s="1"/>
  <c r="J16" i="54" s="1"/>
  <c r="K16" i="54" s="1"/>
  <c r="K20" i="49"/>
  <c r="L20" i="49" s="1"/>
  <c r="H19" i="25" s="1"/>
  <c r="J20" i="54" s="1"/>
  <c r="K20" i="54" s="1"/>
  <c r="K24" i="49"/>
  <c r="L24" i="49" s="1"/>
  <c r="H23" i="25" s="1"/>
  <c r="J24" i="54" s="1"/>
  <c r="K24" i="54" s="1"/>
  <c r="K28" i="49"/>
  <c r="L28" i="49" s="1"/>
  <c r="H27" i="25" s="1"/>
  <c r="J28" i="54" s="1"/>
  <c r="K28" i="54" s="1"/>
  <c r="K32" i="49"/>
  <c r="L32" i="49" s="1"/>
  <c r="H31" i="25" s="1"/>
  <c r="J32" i="54" s="1"/>
  <c r="K32" i="54" s="1"/>
  <c r="K36" i="49"/>
  <c r="L36" i="49" s="1"/>
  <c r="H35" i="25" s="1"/>
  <c r="J36" i="54" s="1"/>
  <c r="K36" i="54" s="1"/>
  <c r="K40" i="49"/>
  <c r="L40" i="49" s="1"/>
  <c r="H39" i="25" s="1"/>
  <c r="J40" i="54" s="1"/>
  <c r="K40" i="54" s="1"/>
  <c r="K44" i="49"/>
  <c r="L44" i="49" s="1"/>
  <c r="H43" i="25" s="1"/>
  <c r="J44" i="54" s="1"/>
  <c r="K44" i="54" s="1"/>
  <c r="K48" i="49"/>
  <c r="L48" i="49" s="1"/>
  <c r="H47" i="25" s="1"/>
  <c r="J48" i="54" s="1"/>
  <c r="K48" i="54" s="1"/>
  <c r="K52" i="49"/>
  <c r="L52" i="49" s="1"/>
  <c r="H51" i="25" s="1"/>
  <c r="J52" i="54" s="1"/>
  <c r="K52" i="54" s="1"/>
  <c r="K56" i="49"/>
  <c r="L56" i="49" s="1"/>
  <c r="H55" i="25" s="1"/>
  <c r="J56" i="54" s="1"/>
  <c r="K56" i="54" s="1"/>
  <c r="K9" i="49"/>
  <c r="L9" i="49" s="1"/>
  <c r="H8" i="25" s="1"/>
  <c r="J9" i="54" s="1"/>
  <c r="K9" i="54" s="1"/>
  <c r="K13" i="49"/>
  <c r="L13" i="49" s="1"/>
  <c r="H12" i="25" s="1"/>
  <c r="J13" i="54" s="1"/>
  <c r="K13" i="54" s="1"/>
  <c r="K17" i="49"/>
  <c r="L17" i="49" s="1"/>
  <c r="H16" i="25" s="1"/>
  <c r="J17" i="54" s="1"/>
  <c r="K17" i="54" s="1"/>
  <c r="K21" i="49"/>
  <c r="L21" i="49" s="1"/>
  <c r="H20" i="25" s="1"/>
  <c r="J21" i="54" s="1"/>
  <c r="K21" i="54" s="1"/>
  <c r="K25" i="49"/>
  <c r="L25" i="49" s="1"/>
  <c r="H24" i="25" s="1"/>
  <c r="J25" i="54" s="1"/>
  <c r="K25" i="54" s="1"/>
  <c r="K29" i="49"/>
  <c r="L29" i="49" s="1"/>
  <c r="H28" i="25" s="1"/>
  <c r="J29" i="54" s="1"/>
  <c r="K29" i="54" s="1"/>
  <c r="K33" i="49"/>
  <c r="L33" i="49" s="1"/>
  <c r="H32" i="25" s="1"/>
  <c r="J33" i="54" s="1"/>
  <c r="K33" i="54" s="1"/>
  <c r="K37" i="49"/>
  <c r="L37" i="49" s="1"/>
  <c r="H36" i="25" s="1"/>
  <c r="J37" i="54" s="1"/>
  <c r="K37" i="54" s="1"/>
  <c r="K41" i="49"/>
  <c r="L41" i="49" s="1"/>
  <c r="H40" i="25" s="1"/>
  <c r="J41" i="54" s="1"/>
  <c r="K41" i="54" s="1"/>
  <c r="K45" i="49"/>
  <c r="L45" i="49" s="1"/>
  <c r="H44" i="25" s="1"/>
  <c r="J45" i="54" s="1"/>
  <c r="K45" i="54" s="1"/>
  <c r="K49" i="49"/>
  <c r="L49" i="49" s="1"/>
  <c r="H48" i="25" s="1"/>
  <c r="J49" i="54" s="1"/>
  <c r="K49" i="54" s="1"/>
  <c r="K53" i="49"/>
  <c r="L53" i="49" s="1"/>
  <c r="H52" i="25" s="1"/>
  <c r="J53" i="54" s="1"/>
  <c r="K53" i="54" s="1"/>
  <c r="K57" i="49"/>
  <c r="L57" i="49" s="1"/>
  <c r="H56" i="25" s="1"/>
  <c r="J57" i="54" s="1"/>
  <c r="K57" i="54" s="1"/>
  <c r="K61" i="49"/>
  <c r="L61" i="49" s="1"/>
  <c r="H60" i="25" s="1"/>
  <c r="J61" i="54" s="1"/>
  <c r="K61" i="54" s="1"/>
  <c r="K65" i="49"/>
  <c r="L65" i="49" s="1"/>
  <c r="H64" i="25" s="1"/>
  <c r="J65" i="54" s="1"/>
  <c r="K65" i="54" s="1"/>
  <c r="K69" i="49"/>
  <c r="L69" i="49" s="1"/>
  <c r="H68" i="25" s="1"/>
  <c r="J69" i="54" s="1"/>
  <c r="K69" i="54" s="1"/>
  <c r="K73" i="49"/>
  <c r="L73" i="49" s="1"/>
  <c r="H72" i="25" s="1"/>
  <c r="J73" i="54" s="1"/>
  <c r="K73" i="54" s="1"/>
  <c r="K10" i="49"/>
  <c r="L10" i="49" s="1"/>
  <c r="H9" i="25" s="1"/>
  <c r="J10" i="54" s="1"/>
  <c r="K10" i="54" s="1"/>
  <c r="K14" i="49"/>
  <c r="L14" i="49" s="1"/>
  <c r="H13" i="25" s="1"/>
  <c r="J14" i="54" s="1"/>
  <c r="K14" i="54" s="1"/>
  <c r="K18" i="49"/>
  <c r="L18" i="49" s="1"/>
  <c r="H17" i="25" s="1"/>
  <c r="J18" i="54" s="1"/>
  <c r="K18" i="54" s="1"/>
  <c r="K22" i="49"/>
  <c r="L22" i="49" s="1"/>
  <c r="H21" i="25" s="1"/>
  <c r="J22" i="54" s="1"/>
  <c r="K22" i="54" s="1"/>
  <c r="K26" i="49"/>
  <c r="L26" i="49" s="1"/>
  <c r="H25" i="25" s="1"/>
  <c r="J26" i="54" s="1"/>
  <c r="K26" i="54" s="1"/>
  <c r="K30" i="49"/>
  <c r="L30" i="49" s="1"/>
  <c r="H29" i="25" s="1"/>
  <c r="J30" i="54" s="1"/>
  <c r="K30" i="54" s="1"/>
  <c r="K34" i="49"/>
  <c r="L34" i="49" s="1"/>
  <c r="H33" i="25" s="1"/>
  <c r="J34" i="54" s="1"/>
  <c r="K34" i="54" s="1"/>
  <c r="K38" i="49"/>
  <c r="L38" i="49" s="1"/>
  <c r="H37" i="25" s="1"/>
  <c r="J38" i="54" s="1"/>
  <c r="K38" i="54" s="1"/>
  <c r="K42" i="49"/>
  <c r="L42" i="49" s="1"/>
  <c r="H41" i="25" s="1"/>
  <c r="J42" i="54" s="1"/>
  <c r="K42" i="54" s="1"/>
  <c r="K46" i="49"/>
  <c r="L46" i="49" s="1"/>
  <c r="H45" i="25" s="1"/>
  <c r="J46" i="54" s="1"/>
  <c r="K46" i="54" s="1"/>
  <c r="K50" i="49"/>
  <c r="L50" i="49" s="1"/>
  <c r="H49" i="25" s="1"/>
  <c r="J50" i="54" s="1"/>
  <c r="K50" i="54" s="1"/>
  <c r="K54" i="49"/>
  <c r="L54" i="49" s="1"/>
  <c r="H53" i="25" s="1"/>
  <c r="J54" i="54" s="1"/>
  <c r="K54" i="54" s="1"/>
  <c r="K58" i="49"/>
  <c r="L58" i="49" s="1"/>
  <c r="H57" i="25" s="1"/>
  <c r="J58" i="54" s="1"/>
  <c r="K58" i="54" s="1"/>
  <c r="K62" i="49"/>
  <c r="L62" i="49" s="1"/>
  <c r="H61" i="25" s="1"/>
  <c r="J62" i="54" s="1"/>
  <c r="K62" i="54" s="1"/>
  <c r="K66" i="49"/>
  <c r="L66" i="49" s="1"/>
  <c r="H65" i="25" s="1"/>
  <c r="J66" i="54" s="1"/>
  <c r="K66" i="54" s="1"/>
  <c r="K70" i="49"/>
  <c r="L70" i="49" s="1"/>
  <c r="H69" i="25" s="1"/>
  <c r="J70" i="54" s="1"/>
  <c r="K70" i="54" s="1"/>
  <c r="K74" i="49"/>
  <c r="L74" i="49" s="1"/>
  <c r="H73" i="25" s="1"/>
  <c r="J74" i="54" s="1"/>
  <c r="K74" i="54" s="1"/>
  <c r="K11" i="49"/>
  <c r="L11" i="49" s="1"/>
  <c r="H10" i="25" s="1"/>
  <c r="J11" i="54" s="1"/>
  <c r="K11" i="54" s="1"/>
  <c r="K19" i="49"/>
  <c r="L19" i="49" s="1"/>
  <c r="H18" i="25" s="1"/>
  <c r="J19" i="54" s="1"/>
  <c r="K19" i="54" s="1"/>
  <c r="K35" i="49"/>
  <c r="L35" i="49" s="1"/>
  <c r="H34" i="25" s="1"/>
  <c r="J35" i="54" s="1"/>
  <c r="K35" i="54" s="1"/>
  <c r="K51" i="49"/>
  <c r="L51" i="49" s="1"/>
  <c r="H50" i="25" s="1"/>
  <c r="J51" i="54" s="1"/>
  <c r="K51" i="54" s="1"/>
  <c r="K59" i="49"/>
  <c r="L59" i="49" s="1"/>
  <c r="H58" i="25" s="1"/>
  <c r="J59" i="54" s="1"/>
  <c r="K59" i="54" s="1"/>
  <c r="K67" i="49"/>
  <c r="L67" i="49" s="1"/>
  <c r="H66" i="25" s="1"/>
  <c r="J67" i="54" s="1"/>
  <c r="K67" i="54" s="1"/>
  <c r="K75" i="49"/>
  <c r="L75" i="49" s="1"/>
  <c r="H74" i="25" s="1"/>
  <c r="J75" i="54" s="1"/>
  <c r="K75" i="54" s="1"/>
  <c r="K76" i="49"/>
  <c r="L76" i="49" s="1"/>
  <c r="H75" i="25" s="1"/>
  <c r="J76" i="54" s="1"/>
  <c r="K76" i="54" s="1"/>
  <c r="K80" i="49"/>
  <c r="L80" i="49" s="1"/>
  <c r="H79" i="25" s="1"/>
  <c r="J80" i="54" s="1"/>
  <c r="K80" i="54" s="1"/>
  <c r="K84" i="49"/>
  <c r="L84" i="49" s="1"/>
  <c r="H83" i="25" s="1"/>
  <c r="J84" i="54" s="1"/>
  <c r="K84" i="54" s="1"/>
  <c r="K88" i="49"/>
  <c r="L88" i="49" s="1"/>
  <c r="H87" i="25" s="1"/>
  <c r="J88" i="54" s="1"/>
  <c r="K88" i="54" s="1"/>
  <c r="K92" i="49"/>
  <c r="L92" i="49" s="1"/>
  <c r="H91" i="25" s="1"/>
  <c r="J92" i="54" s="1"/>
  <c r="K92" i="54" s="1"/>
  <c r="K96" i="49"/>
  <c r="L96" i="49" s="1"/>
  <c r="H95" i="25" s="1"/>
  <c r="J96" i="54" s="1"/>
  <c r="K96" i="54" s="1"/>
  <c r="K100" i="49"/>
  <c r="L100" i="49" s="1"/>
  <c r="H99" i="25" s="1"/>
  <c r="J100" i="54" s="1"/>
  <c r="K100" i="54" s="1"/>
  <c r="K104" i="49"/>
  <c r="L104" i="49" s="1"/>
  <c r="H103" i="25" s="1"/>
  <c r="J104" i="54" s="1"/>
  <c r="K104" i="54" s="1"/>
  <c r="K108" i="49"/>
  <c r="L108" i="49" s="1"/>
  <c r="H107" i="25" s="1"/>
  <c r="J108" i="54" s="1"/>
  <c r="K108" i="54" s="1"/>
  <c r="K112" i="49"/>
  <c r="L112" i="49" s="1"/>
  <c r="H111" i="25" s="1"/>
  <c r="J112" i="54" s="1"/>
  <c r="K112" i="54" s="1"/>
  <c r="K116" i="49"/>
  <c r="L116" i="49" s="1"/>
  <c r="H115" i="25" s="1"/>
  <c r="J116" i="54" s="1"/>
  <c r="K116" i="54" s="1"/>
  <c r="K120" i="49"/>
  <c r="L120" i="49" s="1"/>
  <c r="H119" i="25" s="1"/>
  <c r="J120" i="54" s="1"/>
  <c r="K120" i="54" s="1"/>
  <c r="K124" i="49"/>
  <c r="L124" i="49" s="1"/>
  <c r="H123" i="25" s="1"/>
  <c r="J124" i="54" s="1"/>
  <c r="K124" i="54" s="1"/>
  <c r="K23" i="49"/>
  <c r="L23" i="49" s="1"/>
  <c r="H22" i="25" s="1"/>
  <c r="J23" i="54" s="1"/>
  <c r="K23" i="54" s="1"/>
  <c r="K39" i="49"/>
  <c r="L39" i="49" s="1"/>
  <c r="H38" i="25" s="1"/>
  <c r="J39" i="54" s="1"/>
  <c r="K39" i="54" s="1"/>
  <c r="K55" i="49"/>
  <c r="L55" i="49" s="1"/>
  <c r="H54" i="25" s="1"/>
  <c r="J55" i="54" s="1"/>
  <c r="K55" i="54" s="1"/>
  <c r="K64" i="49"/>
  <c r="L64" i="49" s="1"/>
  <c r="H63" i="25" s="1"/>
  <c r="J64" i="54" s="1"/>
  <c r="K64" i="54" s="1"/>
  <c r="K72" i="49"/>
  <c r="L72" i="49" s="1"/>
  <c r="H71" i="25" s="1"/>
  <c r="J72" i="54" s="1"/>
  <c r="K72" i="54" s="1"/>
  <c r="K77" i="49"/>
  <c r="L77" i="49" s="1"/>
  <c r="H76" i="25" s="1"/>
  <c r="J77" i="54" s="1"/>
  <c r="K77" i="54" s="1"/>
  <c r="K81" i="49"/>
  <c r="L81" i="49" s="1"/>
  <c r="H80" i="25" s="1"/>
  <c r="J81" i="54" s="1"/>
  <c r="K81" i="54" s="1"/>
  <c r="K85" i="49"/>
  <c r="L85" i="49" s="1"/>
  <c r="H84" i="25" s="1"/>
  <c r="J85" i="54" s="1"/>
  <c r="K85" i="54" s="1"/>
  <c r="K89" i="49"/>
  <c r="L89" i="49" s="1"/>
  <c r="H88" i="25" s="1"/>
  <c r="J89" i="54" s="1"/>
  <c r="K89" i="54" s="1"/>
  <c r="K93" i="49"/>
  <c r="L93" i="49" s="1"/>
  <c r="H92" i="25" s="1"/>
  <c r="J93" i="54" s="1"/>
  <c r="K93" i="54" s="1"/>
  <c r="K97" i="49"/>
  <c r="L97" i="49" s="1"/>
  <c r="H96" i="25" s="1"/>
  <c r="J97" i="54" s="1"/>
  <c r="K97" i="54" s="1"/>
  <c r="K101" i="49"/>
  <c r="L101" i="49" s="1"/>
  <c r="H100" i="25" s="1"/>
  <c r="J101" i="54" s="1"/>
  <c r="K101" i="54" s="1"/>
  <c r="K105" i="49"/>
  <c r="L105" i="49" s="1"/>
  <c r="H104" i="25" s="1"/>
  <c r="J105" i="54" s="1"/>
  <c r="K105" i="54" s="1"/>
  <c r="K109" i="49"/>
  <c r="L109" i="49" s="1"/>
  <c r="H108" i="25" s="1"/>
  <c r="J109" i="54" s="1"/>
  <c r="K109" i="54" s="1"/>
  <c r="K113" i="49"/>
  <c r="L113" i="49" s="1"/>
  <c r="H112" i="25" s="1"/>
  <c r="J113" i="54" s="1"/>
  <c r="K113" i="54" s="1"/>
  <c r="K117" i="49"/>
  <c r="L117" i="49" s="1"/>
  <c r="H116" i="25" s="1"/>
  <c r="J117" i="54" s="1"/>
  <c r="K117" i="54" s="1"/>
  <c r="K121" i="49"/>
  <c r="L121" i="49" s="1"/>
  <c r="H120" i="25" s="1"/>
  <c r="J121" i="54" s="1"/>
  <c r="K121" i="54" s="1"/>
  <c r="K125" i="49"/>
  <c r="L125" i="49" s="1"/>
  <c r="H124" i="25" s="1"/>
  <c r="J125" i="54" s="1"/>
  <c r="K125" i="54" s="1"/>
  <c r="K7" i="49"/>
  <c r="L7" i="49" s="1"/>
  <c r="H6" i="25" s="1"/>
  <c r="J7" i="54" s="1"/>
  <c r="K7" i="54" s="1"/>
  <c r="K27" i="49"/>
  <c r="L27" i="49" s="1"/>
  <c r="H26" i="25" s="1"/>
  <c r="J27" i="54" s="1"/>
  <c r="K27" i="54" s="1"/>
  <c r="K43" i="49"/>
  <c r="L43" i="49" s="1"/>
  <c r="H42" i="25" s="1"/>
  <c r="J43" i="54" s="1"/>
  <c r="K43" i="54" s="1"/>
  <c r="K63" i="49"/>
  <c r="L63" i="49" s="1"/>
  <c r="H62" i="25" s="1"/>
  <c r="J63" i="54" s="1"/>
  <c r="K63" i="54" s="1"/>
  <c r="K71" i="49"/>
  <c r="L71" i="49" s="1"/>
  <c r="H70" i="25" s="1"/>
  <c r="J71" i="54" s="1"/>
  <c r="K71" i="54" s="1"/>
  <c r="K78" i="49"/>
  <c r="L78" i="49" s="1"/>
  <c r="H77" i="25" s="1"/>
  <c r="J78" i="54" s="1"/>
  <c r="K78" i="54" s="1"/>
  <c r="K82" i="49"/>
  <c r="L82" i="49" s="1"/>
  <c r="H81" i="25" s="1"/>
  <c r="J82" i="54" s="1"/>
  <c r="K82" i="54" s="1"/>
  <c r="K86" i="49"/>
  <c r="L86" i="49" s="1"/>
  <c r="H85" i="25" s="1"/>
  <c r="J86" i="54" s="1"/>
  <c r="K86" i="54" s="1"/>
  <c r="K90" i="49"/>
  <c r="L90" i="49" s="1"/>
  <c r="H89" i="25" s="1"/>
  <c r="J90" i="54" s="1"/>
  <c r="K90" i="54" s="1"/>
  <c r="K94" i="49"/>
  <c r="L94" i="49" s="1"/>
  <c r="H93" i="25" s="1"/>
  <c r="J94" i="54" s="1"/>
  <c r="K94" i="54" s="1"/>
  <c r="K98" i="49"/>
  <c r="L98" i="49" s="1"/>
  <c r="H97" i="25" s="1"/>
  <c r="J98" i="54" s="1"/>
  <c r="K98" i="54" s="1"/>
  <c r="K102" i="49"/>
  <c r="L102" i="49" s="1"/>
  <c r="H101" i="25" s="1"/>
  <c r="J102" i="54" s="1"/>
  <c r="K102" i="54" s="1"/>
  <c r="K15" i="49"/>
  <c r="L15" i="49" s="1"/>
  <c r="H14" i="25" s="1"/>
  <c r="J15" i="54" s="1"/>
  <c r="K15" i="54" s="1"/>
  <c r="K31" i="49"/>
  <c r="L31" i="49" s="1"/>
  <c r="H30" i="25" s="1"/>
  <c r="J31" i="54" s="1"/>
  <c r="K31" i="54" s="1"/>
  <c r="K47" i="49"/>
  <c r="L47" i="49" s="1"/>
  <c r="H46" i="25" s="1"/>
  <c r="J47" i="54" s="1"/>
  <c r="K47" i="54" s="1"/>
  <c r="K60" i="49"/>
  <c r="L60" i="49" s="1"/>
  <c r="H59" i="25" s="1"/>
  <c r="J60" i="54" s="1"/>
  <c r="K60" i="54" s="1"/>
  <c r="K68" i="49"/>
  <c r="L68" i="49" s="1"/>
  <c r="H67" i="25" s="1"/>
  <c r="J68" i="54" s="1"/>
  <c r="K68" i="54" s="1"/>
  <c r="K83" i="49"/>
  <c r="L83" i="49" s="1"/>
  <c r="H82" i="25" s="1"/>
  <c r="J83" i="54" s="1"/>
  <c r="K83" i="54" s="1"/>
  <c r="K91" i="49"/>
  <c r="L91" i="49" s="1"/>
  <c r="H90" i="25" s="1"/>
  <c r="J91" i="54" s="1"/>
  <c r="K91" i="54" s="1"/>
  <c r="K99" i="49"/>
  <c r="L99" i="49" s="1"/>
  <c r="H98" i="25" s="1"/>
  <c r="J99" i="54" s="1"/>
  <c r="K99" i="54" s="1"/>
  <c r="K110" i="49"/>
  <c r="L110" i="49" s="1"/>
  <c r="H109" i="25" s="1"/>
  <c r="J110" i="54" s="1"/>
  <c r="K110" i="54" s="1"/>
  <c r="K111" i="49"/>
  <c r="L111" i="49" s="1"/>
  <c r="H110" i="25" s="1"/>
  <c r="J111" i="54" s="1"/>
  <c r="K111" i="54" s="1"/>
  <c r="F65" i="48" s="1"/>
  <c r="K114" i="49"/>
  <c r="L114" i="49" s="1"/>
  <c r="H113" i="25" s="1"/>
  <c r="J114" i="54" s="1"/>
  <c r="K114" i="54" s="1"/>
  <c r="K115" i="49"/>
  <c r="L115" i="49" s="1"/>
  <c r="H114" i="25" s="1"/>
  <c r="J115" i="54" s="1"/>
  <c r="K115" i="54" s="1"/>
  <c r="K118" i="49"/>
  <c r="L118" i="49" s="1"/>
  <c r="H117" i="25" s="1"/>
  <c r="J118" i="54" s="1"/>
  <c r="K118" i="54" s="1"/>
  <c r="K130" i="49"/>
  <c r="L130" i="49" s="1"/>
  <c r="H129" i="25" s="1"/>
  <c r="J130" i="54" s="1"/>
  <c r="K130" i="54" s="1"/>
  <c r="K134" i="49"/>
  <c r="L134" i="49" s="1"/>
  <c r="H133" i="25" s="1"/>
  <c r="J134" i="54" s="1"/>
  <c r="K134" i="54" s="1"/>
  <c r="K138" i="49"/>
  <c r="L138" i="49" s="1"/>
  <c r="H137" i="25" s="1"/>
  <c r="J138" i="54" s="1"/>
  <c r="K138" i="54" s="1"/>
  <c r="K142" i="49"/>
  <c r="L142" i="49" s="1"/>
  <c r="H141" i="25" s="1"/>
  <c r="J142" i="54" s="1"/>
  <c r="K142" i="54" s="1"/>
  <c r="K146" i="49"/>
  <c r="L146" i="49" s="1"/>
  <c r="H145" i="25" s="1"/>
  <c r="J146" i="54" s="1"/>
  <c r="K146" i="54" s="1"/>
  <c r="K150" i="49"/>
  <c r="L150" i="49" s="1"/>
  <c r="H149" i="25" s="1"/>
  <c r="J150" i="54" s="1"/>
  <c r="K150" i="54" s="1"/>
  <c r="K154" i="49"/>
  <c r="L154" i="49" s="1"/>
  <c r="H153" i="25" s="1"/>
  <c r="J154" i="54" s="1"/>
  <c r="K154" i="54" s="1"/>
  <c r="K158" i="49"/>
  <c r="L158" i="49" s="1"/>
  <c r="H157" i="25" s="1"/>
  <c r="J158" i="54" s="1"/>
  <c r="K158" i="54" s="1"/>
  <c r="K162" i="49"/>
  <c r="L162" i="49" s="1"/>
  <c r="H161" i="25" s="1"/>
  <c r="J162" i="54" s="1"/>
  <c r="K162" i="54" s="1"/>
  <c r="K166" i="49"/>
  <c r="L166" i="49" s="1"/>
  <c r="H165" i="25" s="1"/>
  <c r="J166" i="54" s="1"/>
  <c r="K166" i="54" s="1"/>
  <c r="K170" i="49"/>
  <c r="L170" i="49" s="1"/>
  <c r="H169" i="25" s="1"/>
  <c r="J170" i="54" s="1"/>
  <c r="K170" i="54" s="1"/>
  <c r="K174" i="49"/>
  <c r="L174" i="49" s="1"/>
  <c r="H173" i="25" s="1"/>
  <c r="J174" i="54" s="1"/>
  <c r="K174" i="54" s="1"/>
  <c r="K178" i="49"/>
  <c r="L178" i="49" s="1"/>
  <c r="H177" i="25" s="1"/>
  <c r="J178" i="54" s="1"/>
  <c r="K178" i="54" s="1"/>
  <c r="K182" i="49"/>
  <c r="L182" i="49" s="1"/>
  <c r="H181" i="25" s="1"/>
  <c r="J182" i="54" s="1"/>
  <c r="K182" i="54" s="1"/>
  <c r="K186" i="49"/>
  <c r="L186" i="49" s="1"/>
  <c r="H185" i="25" s="1"/>
  <c r="J186" i="54" s="1"/>
  <c r="K186" i="54" s="1"/>
  <c r="K107" i="49"/>
  <c r="L107" i="49" s="1"/>
  <c r="H106" i="25" s="1"/>
  <c r="J107" i="54" s="1"/>
  <c r="K107" i="54" s="1"/>
  <c r="K127" i="49"/>
  <c r="L127" i="49" s="1"/>
  <c r="H126" i="25" s="1"/>
  <c r="J127" i="54" s="1"/>
  <c r="K127" i="54" s="1"/>
  <c r="K131" i="49"/>
  <c r="L131" i="49" s="1"/>
  <c r="H130" i="25" s="1"/>
  <c r="J131" i="54" s="1"/>
  <c r="K131" i="54" s="1"/>
  <c r="K135" i="49"/>
  <c r="L135" i="49" s="1"/>
  <c r="H134" i="25" s="1"/>
  <c r="J135" i="54" s="1"/>
  <c r="K135" i="54" s="1"/>
  <c r="K139" i="49"/>
  <c r="L139" i="49" s="1"/>
  <c r="H138" i="25" s="1"/>
  <c r="J139" i="54" s="1"/>
  <c r="K139" i="54" s="1"/>
  <c r="K143" i="49"/>
  <c r="L143" i="49" s="1"/>
  <c r="H142" i="25" s="1"/>
  <c r="J143" i="54" s="1"/>
  <c r="K143" i="54" s="1"/>
  <c r="K147" i="49"/>
  <c r="L147" i="49" s="1"/>
  <c r="H146" i="25" s="1"/>
  <c r="J147" i="54" s="1"/>
  <c r="K147" i="54" s="1"/>
  <c r="K151" i="49"/>
  <c r="L151" i="49" s="1"/>
  <c r="H150" i="25" s="1"/>
  <c r="J151" i="54" s="1"/>
  <c r="K151" i="54" s="1"/>
  <c r="K155" i="49"/>
  <c r="L155" i="49" s="1"/>
  <c r="H154" i="25" s="1"/>
  <c r="J155" i="54" s="1"/>
  <c r="K155" i="54" s="1"/>
  <c r="K159" i="49"/>
  <c r="L159" i="49" s="1"/>
  <c r="H158" i="25" s="1"/>
  <c r="J159" i="54" s="1"/>
  <c r="K159" i="54" s="1"/>
  <c r="K163" i="49"/>
  <c r="L163" i="49" s="1"/>
  <c r="H162" i="25" s="1"/>
  <c r="J163" i="54" s="1"/>
  <c r="K163" i="54" s="1"/>
  <c r="K167" i="49"/>
  <c r="L167" i="49" s="1"/>
  <c r="H166" i="25" s="1"/>
  <c r="J167" i="54" s="1"/>
  <c r="K167" i="54" s="1"/>
  <c r="K171" i="49"/>
  <c r="L171" i="49" s="1"/>
  <c r="H170" i="25" s="1"/>
  <c r="J171" i="54" s="1"/>
  <c r="K171" i="54" s="1"/>
  <c r="K175" i="49"/>
  <c r="L175" i="49" s="1"/>
  <c r="H174" i="25" s="1"/>
  <c r="J175" i="54" s="1"/>
  <c r="K175" i="54" s="1"/>
  <c r="K179" i="49"/>
  <c r="L179" i="49" s="1"/>
  <c r="H178" i="25" s="1"/>
  <c r="J179" i="54" s="1"/>
  <c r="K179" i="54" s="1"/>
  <c r="K183" i="49"/>
  <c r="L183" i="49" s="1"/>
  <c r="H182" i="25" s="1"/>
  <c r="J183" i="54" s="1"/>
  <c r="K183" i="54" s="1"/>
  <c r="K187" i="49"/>
  <c r="L187" i="49" s="1"/>
  <c r="H186" i="25" s="1"/>
  <c r="J187" i="54" s="1"/>
  <c r="K187" i="54" s="1"/>
  <c r="K79" i="49"/>
  <c r="L79" i="49" s="1"/>
  <c r="H78" i="25" s="1"/>
  <c r="J79" i="54" s="1"/>
  <c r="K79" i="54" s="1"/>
  <c r="K87" i="49"/>
  <c r="L87" i="49" s="1"/>
  <c r="H86" i="25" s="1"/>
  <c r="J87" i="54" s="1"/>
  <c r="K87" i="54" s="1"/>
  <c r="K95" i="49"/>
  <c r="L95" i="49" s="1"/>
  <c r="H94" i="25" s="1"/>
  <c r="J95" i="54" s="1"/>
  <c r="K95" i="54" s="1"/>
  <c r="K103" i="49"/>
  <c r="L103" i="49" s="1"/>
  <c r="H102" i="25" s="1"/>
  <c r="J103" i="54" s="1"/>
  <c r="K103" i="54" s="1"/>
  <c r="K106" i="49"/>
  <c r="L106" i="49" s="1"/>
  <c r="H105" i="25" s="1"/>
  <c r="J106" i="54" s="1"/>
  <c r="K106" i="54" s="1"/>
  <c r="K126" i="49"/>
  <c r="L126" i="49" s="1"/>
  <c r="H125" i="25" s="1"/>
  <c r="J126" i="54" s="1"/>
  <c r="K126" i="54" s="1"/>
  <c r="K128" i="49"/>
  <c r="L128" i="49" s="1"/>
  <c r="H127" i="25" s="1"/>
  <c r="J128" i="54" s="1"/>
  <c r="K128" i="54" s="1"/>
  <c r="K132" i="49"/>
  <c r="L132" i="49" s="1"/>
  <c r="H131" i="25" s="1"/>
  <c r="J132" i="54" s="1"/>
  <c r="K132" i="54" s="1"/>
  <c r="K136" i="49"/>
  <c r="L136" i="49" s="1"/>
  <c r="H135" i="25" s="1"/>
  <c r="J136" i="54" s="1"/>
  <c r="K136" i="54" s="1"/>
  <c r="K140" i="49"/>
  <c r="L140" i="49" s="1"/>
  <c r="H139" i="25" s="1"/>
  <c r="J140" i="54" s="1"/>
  <c r="K140" i="54" s="1"/>
  <c r="K144" i="49"/>
  <c r="L144" i="49" s="1"/>
  <c r="H143" i="25" s="1"/>
  <c r="J144" i="54" s="1"/>
  <c r="K144" i="54" s="1"/>
  <c r="K148" i="49"/>
  <c r="L148" i="49" s="1"/>
  <c r="H147" i="25" s="1"/>
  <c r="J148" i="54" s="1"/>
  <c r="K148" i="54" s="1"/>
  <c r="K152" i="49"/>
  <c r="L152" i="49" s="1"/>
  <c r="H151" i="25" s="1"/>
  <c r="J152" i="54" s="1"/>
  <c r="K152" i="54" s="1"/>
  <c r="K156" i="49"/>
  <c r="L156" i="49" s="1"/>
  <c r="H155" i="25" s="1"/>
  <c r="J156" i="54" s="1"/>
  <c r="K156" i="54" s="1"/>
  <c r="K160" i="49"/>
  <c r="L160" i="49" s="1"/>
  <c r="H159" i="25" s="1"/>
  <c r="J160" i="54" s="1"/>
  <c r="K160" i="54" s="1"/>
  <c r="K164" i="49"/>
  <c r="L164" i="49" s="1"/>
  <c r="H163" i="25" s="1"/>
  <c r="J164" i="54" s="1"/>
  <c r="K164" i="54" s="1"/>
  <c r="K168" i="49"/>
  <c r="L168" i="49" s="1"/>
  <c r="H167" i="25" s="1"/>
  <c r="J168" i="54" s="1"/>
  <c r="K168" i="54" s="1"/>
  <c r="K172" i="49"/>
  <c r="L172" i="49" s="1"/>
  <c r="H171" i="25" s="1"/>
  <c r="J172" i="54" s="1"/>
  <c r="K172" i="54" s="1"/>
  <c r="K176" i="49"/>
  <c r="L176" i="49" s="1"/>
  <c r="H175" i="25" s="1"/>
  <c r="J176" i="54" s="1"/>
  <c r="K176" i="54" s="1"/>
  <c r="K119" i="49"/>
  <c r="L119" i="49" s="1"/>
  <c r="H118" i="25" s="1"/>
  <c r="J119" i="54" s="1"/>
  <c r="K119" i="54" s="1"/>
  <c r="K122" i="49"/>
  <c r="L122" i="49" s="1"/>
  <c r="H121" i="25" s="1"/>
  <c r="J122" i="54" s="1"/>
  <c r="K122" i="54" s="1"/>
  <c r="K123" i="49"/>
  <c r="L123" i="49" s="1"/>
  <c r="H122" i="25" s="1"/>
  <c r="J123" i="54" s="1"/>
  <c r="K123" i="54" s="1"/>
  <c r="K129" i="49"/>
  <c r="L129" i="49" s="1"/>
  <c r="H128" i="25" s="1"/>
  <c r="J129" i="54" s="1"/>
  <c r="K129" i="54" s="1"/>
  <c r="K133" i="49"/>
  <c r="L133" i="49" s="1"/>
  <c r="H132" i="25" s="1"/>
  <c r="J133" i="54" s="1"/>
  <c r="K133" i="54" s="1"/>
  <c r="K137" i="49"/>
  <c r="L137" i="49" s="1"/>
  <c r="H136" i="25" s="1"/>
  <c r="J137" i="54" s="1"/>
  <c r="K137" i="54" s="1"/>
  <c r="K141" i="49"/>
  <c r="L141" i="49" s="1"/>
  <c r="H140" i="25" s="1"/>
  <c r="J141" i="54" s="1"/>
  <c r="K141" i="54" s="1"/>
  <c r="K145" i="49"/>
  <c r="L145" i="49" s="1"/>
  <c r="H144" i="25" s="1"/>
  <c r="J145" i="54" s="1"/>
  <c r="K145" i="54" s="1"/>
  <c r="K149" i="49"/>
  <c r="L149" i="49" s="1"/>
  <c r="H148" i="25" s="1"/>
  <c r="J149" i="54" s="1"/>
  <c r="K149" i="54" s="1"/>
  <c r="K153" i="49"/>
  <c r="L153" i="49" s="1"/>
  <c r="H152" i="25" s="1"/>
  <c r="J153" i="54" s="1"/>
  <c r="K153" i="54" s="1"/>
  <c r="K157" i="49"/>
  <c r="L157" i="49" s="1"/>
  <c r="H156" i="25" s="1"/>
  <c r="J157" i="54" s="1"/>
  <c r="K157" i="54" s="1"/>
  <c r="K161" i="49"/>
  <c r="L161" i="49" s="1"/>
  <c r="H160" i="25" s="1"/>
  <c r="J161" i="54" s="1"/>
  <c r="K161" i="54" s="1"/>
  <c r="K165" i="49"/>
  <c r="L165" i="49" s="1"/>
  <c r="H164" i="25" s="1"/>
  <c r="J165" i="54" s="1"/>
  <c r="K165" i="54" s="1"/>
  <c r="K169" i="49"/>
  <c r="L169" i="49" s="1"/>
  <c r="H168" i="25" s="1"/>
  <c r="J169" i="54" s="1"/>
  <c r="K169" i="54" s="1"/>
  <c r="K173" i="49"/>
  <c r="L173" i="49" s="1"/>
  <c r="H172" i="25" s="1"/>
  <c r="J173" i="54" s="1"/>
  <c r="K173" i="54" s="1"/>
  <c r="K177" i="49"/>
  <c r="L177" i="49" s="1"/>
  <c r="H176" i="25" s="1"/>
  <c r="J177" i="54" s="1"/>
  <c r="K177" i="54" s="1"/>
  <c r="K181" i="49"/>
  <c r="L181" i="49" s="1"/>
  <c r="H180" i="25" s="1"/>
  <c r="J181" i="54" s="1"/>
  <c r="K181" i="54" s="1"/>
  <c r="K191" i="49"/>
  <c r="L191" i="49" s="1"/>
  <c r="H190" i="25" s="1"/>
  <c r="J191" i="54" s="1"/>
  <c r="K191" i="54" s="1"/>
  <c r="K195" i="49"/>
  <c r="L195" i="49" s="1"/>
  <c r="H194" i="25" s="1"/>
  <c r="J195" i="54" s="1"/>
  <c r="K195" i="54" s="1"/>
  <c r="K199" i="49"/>
  <c r="L199" i="49" s="1"/>
  <c r="H198" i="25" s="1"/>
  <c r="J199" i="54" s="1"/>
  <c r="K199" i="54" s="1"/>
  <c r="K203" i="49"/>
  <c r="L203" i="49" s="1"/>
  <c r="H202" i="25" s="1"/>
  <c r="J203" i="54" s="1"/>
  <c r="K203" i="54" s="1"/>
  <c r="K207" i="49"/>
  <c r="L207" i="49" s="1"/>
  <c r="H206" i="25" s="1"/>
  <c r="J207" i="54" s="1"/>
  <c r="K207" i="54" s="1"/>
  <c r="K211" i="49"/>
  <c r="L211" i="49" s="1"/>
  <c r="H210" i="25" s="1"/>
  <c r="J211" i="54" s="1"/>
  <c r="K211" i="54" s="1"/>
  <c r="K215" i="49"/>
  <c r="L215" i="49" s="1"/>
  <c r="H214" i="25" s="1"/>
  <c r="J215" i="54" s="1"/>
  <c r="K215" i="54" s="1"/>
  <c r="K219" i="49"/>
  <c r="L219" i="49" s="1"/>
  <c r="H218" i="25" s="1"/>
  <c r="J219" i="54" s="1"/>
  <c r="K219" i="54" s="1"/>
  <c r="K223" i="49"/>
  <c r="L223" i="49" s="1"/>
  <c r="H222" i="25" s="1"/>
  <c r="J223" i="54" s="1"/>
  <c r="K223" i="54" s="1"/>
  <c r="K227" i="49"/>
  <c r="L227" i="49" s="1"/>
  <c r="H226" i="25" s="1"/>
  <c r="J227" i="54" s="1"/>
  <c r="K227" i="54" s="1"/>
  <c r="K231" i="49"/>
  <c r="L231" i="49" s="1"/>
  <c r="H230" i="25" s="1"/>
  <c r="J231" i="54" s="1"/>
  <c r="K231" i="54" s="1"/>
  <c r="K235" i="49"/>
  <c r="L235" i="49" s="1"/>
  <c r="H234" i="25" s="1"/>
  <c r="J235" i="54" s="1"/>
  <c r="K235" i="54" s="1"/>
  <c r="K239" i="49"/>
  <c r="L239" i="49" s="1"/>
  <c r="H238" i="25" s="1"/>
  <c r="J239" i="54" s="1"/>
  <c r="K239" i="54" s="1"/>
  <c r="K243" i="49"/>
  <c r="L243" i="49" s="1"/>
  <c r="H242" i="25" s="1"/>
  <c r="J243" i="54" s="1"/>
  <c r="K243" i="54" s="1"/>
  <c r="K192" i="49"/>
  <c r="L192" i="49" s="1"/>
  <c r="H191" i="25" s="1"/>
  <c r="J192" i="54" s="1"/>
  <c r="K192" i="54" s="1"/>
  <c r="K196" i="49"/>
  <c r="L196" i="49" s="1"/>
  <c r="H195" i="25" s="1"/>
  <c r="J196" i="54" s="1"/>
  <c r="K196" i="54" s="1"/>
  <c r="K200" i="49"/>
  <c r="L200" i="49" s="1"/>
  <c r="H199" i="25" s="1"/>
  <c r="J200" i="54" s="1"/>
  <c r="K200" i="54" s="1"/>
  <c r="K204" i="49"/>
  <c r="L204" i="49" s="1"/>
  <c r="H203" i="25" s="1"/>
  <c r="J204" i="54" s="1"/>
  <c r="K204" i="54" s="1"/>
  <c r="K208" i="49"/>
  <c r="L208" i="49" s="1"/>
  <c r="H207" i="25" s="1"/>
  <c r="J208" i="54" s="1"/>
  <c r="K208" i="54" s="1"/>
  <c r="K212" i="49"/>
  <c r="L212" i="49" s="1"/>
  <c r="H211" i="25" s="1"/>
  <c r="J212" i="54" s="1"/>
  <c r="K212" i="54" s="1"/>
  <c r="K216" i="49"/>
  <c r="L216" i="49" s="1"/>
  <c r="H215" i="25" s="1"/>
  <c r="J216" i="54" s="1"/>
  <c r="K216" i="54" s="1"/>
  <c r="K220" i="49"/>
  <c r="L220" i="49" s="1"/>
  <c r="H219" i="25" s="1"/>
  <c r="J220" i="54" s="1"/>
  <c r="K220" i="54" s="1"/>
  <c r="K224" i="49"/>
  <c r="L224" i="49" s="1"/>
  <c r="H223" i="25" s="1"/>
  <c r="J224" i="54" s="1"/>
  <c r="K224" i="54" s="1"/>
  <c r="K228" i="49"/>
  <c r="L228" i="49" s="1"/>
  <c r="H227" i="25" s="1"/>
  <c r="J228" i="54" s="1"/>
  <c r="K228" i="54" s="1"/>
  <c r="K232" i="49"/>
  <c r="L232" i="49" s="1"/>
  <c r="H231" i="25" s="1"/>
  <c r="J232" i="54" s="1"/>
  <c r="K232" i="54" s="1"/>
  <c r="K236" i="49"/>
  <c r="L236" i="49" s="1"/>
  <c r="H235" i="25" s="1"/>
  <c r="J236" i="54" s="1"/>
  <c r="K236" i="54" s="1"/>
  <c r="K240" i="49"/>
  <c r="L240" i="49" s="1"/>
  <c r="H239" i="25" s="1"/>
  <c r="J240" i="54" s="1"/>
  <c r="K240" i="54" s="1"/>
  <c r="K244" i="49"/>
  <c r="L244" i="49" s="1"/>
  <c r="H243" i="25" s="1"/>
  <c r="J244" i="54" s="1"/>
  <c r="K244" i="54" s="1"/>
  <c r="K248" i="49"/>
  <c r="L248" i="49" s="1"/>
  <c r="H247" i="25" s="1"/>
  <c r="J248" i="54" s="1"/>
  <c r="K248" i="54" s="1"/>
  <c r="K252" i="49"/>
  <c r="L252" i="49" s="1"/>
  <c r="H251" i="25" s="1"/>
  <c r="J252" i="54" s="1"/>
  <c r="K252" i="54" s="1"/>
  <c r="K185" i="49"/>
  <c r="L185" i="49" s="1"/>
  <c r="H184" i="25" s="1"/>
  <c r="J185" i="54" s="1"/>
  <c r="K185" i="54" s="1"/>
  <c r="K188" i="49"/>
  <c r="L188" i="49" s="1"/>
  <c r="H187" i="25" s="1"/>
  <c r="J188" i="54" s="1"/>
  <c r="K188" i="54" s="1"/>
  <c r="K189" i="49"/>
  <c r="L189" i="49" s="1"/>
  <c r="H188" i="25" s="1"/>
  <c r="J189" i="54" s="1"/>
  <c r="K189" i="54" s="1"/>
  <c r="K193" i="49"/>
  <c r="L193" i="49" s="1"/>
  <c r="H192" i="25" s="1"/>
  <c r="J193" i="54" s="1"/>
  <c r="K193" i="54" s="1"/>
  <c r="K197" i="49"/>
  <c r="L197" i="49" s="1"/>
  <c r="H196" i="25" s="1"/>
  <c r="J197" i="54" s="1"/>
  <c r="K197" i="54" s="1"/>
  <c r="K201" i="49"/>
  <c r="L201" i="49" s="1"/>
  <c r="H200" i="25" s="1"/>
  <c r="J201" i="54" s="1"/>
  <c r="K201" i="54" s="1"/>
  <c r="K205" i="49"/>
  <c r="L205" i="49" s="1"/>
  <c r="H204" i="25" s="1"/>
  <c r="J205" i="54" s="1"/>
  <c r="K205" i="54" s="1"/>
  <c r="K209" i="49"/>
  <c r="L209" i="49" s="1"/>
  <c r="H208" i="25" s="1"/>
  <c r="J209" i="54" s="1"/>
  <c r="K209" i="54" s="1"/>
  <c r="K213" i="49"/>
  <c r="L213" i="49" s="1"/>
  <c r="H212" i="25" s="1"/>
  <c r="J213" i="54" s="1"/>
  <c r="K213" i="54" s="1"/>
  <c r="K217" i="49"/>
  <c r="L217" i="49" s="1"/>
  <c r="H216" i="25" s="1"/>
  <c r="J217" i="54" s="1"/>
  <c r="K217" i="54" s="1"/>
  <c r="K221" i="49"/>
  <c r="L221" i="49" s="1"/>
  <c r="H220" i="25" s="1"/>
  <c r="J221" i="54" s="1"/>
  <c r="K221" i="54" s="1"/>
  <c r="K225" i="49"/>
  <c r="L225" i="49" s="1"/>
  <c r="H224" i="25" s="1"/>
  <c r="J225" i="54" s="1"/>
  <c r="K225" i="54" s="1"/>
  <c r="K229" i="49"/>
  <c r="L229" i="49" s="1"/>
  <c r="H228" i="25" s="1"/>
  <c r="J229" i="54" s="1"/>
  <c r="K229" i="54" s="1"/>
  <c r="K233" i="49"/>
  <c r="L233" i="49" s="1"/>
  <c r="H232" i="25" s="1"/>
  <c r="J233" i="54" s="1"/>
  <c r="K233" i="54" s="1"/>
  <c r="K237" i="49"/>
  <c r="L237" i="49" s="1"/>
  <c r="H236" i="25" s="1"/>
  <c r="J237" i="54" s="1"/>
  <c r="K237" i="54" s="1"/>
  <c r="K241" i="49"/>
  <c r="L241" i="49" s="1"/>
  <c r="H240" i="25" s="1"/>
  <c r="J241" i="54" s="1"/>
  <c r="K241" i="54" s="1"/>
  <c r="K245" i="49"/>
  <c r="L245" i="49" s="1"/>
  <c r="H244" i="25" s="1"/>
  <c r="J245" i="54" s="1"/>
  <c r="K245" i="54" s="1"/>
  <c r="K249" i="49"/>
  <c r="L249" i="49" s="1"/>
  <c r="H248" i="25" s="1"/>
  <c r="J249" i="54" s="1"/>
  <c r="K249" i="54" s="1"/>
  <c r="K253" i="49"/>
  <c r="L253" i="49" s="1"/>
  <c r="H252" i="25" s="1"/>
  <c r="J253" i="54" s="1"/>
  <c r="K253" i="54" s="1"/>
  <c r="K194" i="49"/>
  <c r="L194" i="49" s="1"/>
  <c r="H193" i="25" s="1"/>
  <c r="J194" i="54" s="1"/>
  <c r="K194" i="54" s="1"/>
  <c r="K206" i="49"/>
  <c r="L206" i="49" s="1"/>
  <c r="H205" i="25" s="1"/>
  <c r="J206" i="54" s="1"/>
  <c r="K206" i="54" s="1"/>
  <c r="K222" i="49"/>
  <c r="L222" i="49" s="1"/>
  <c r="H221" i="25" s="1"/>
  <c r="J222" i="54" s="1"/>
  <c r="K222" i="54" s="1"/>
  <c r="K238" i="49"/>
  <c r="L238" i="49" s="1"/>
  <c r="H237" i="25" s="1"/>
  <c r="J238" i="54" s="1"/>
  <c r="K238" i="54" s="1"/>
  <c r="K251" i="49"/>
  <c r="L251" i="49" s="1"/>
  <c r="H250" i="25" s="1"/>
  <c r="J251" i="54" s="1"/>
  <c r="K251" i="54" s="1"/>
  <c r="K254" i="49"/>
  <c r="L254" i="49" s="1"/>
  <c r="H253" i="25" s="1"/>
  <c r="J254" i="54" s="1"/>
  <c r="K254" i="54" s="1"/>
  <c r="K258" i="49"/>
  <c r="L258" i="49" s="1"/>
  <c r="H257" i="25" s="1"/>
  <c r="J258" i="54" s="1"/>
  <c r="K258" i="54" s="1"/>
  <c r="K262" i="49"/>
  <c r="L262" i="49" s="1"/>
  <c r="H261" i="25" s="1"/>
  <c r="J262" i="54" s="1"/>
  <c r="K262" i="54" s="1"/>
  <c r="K266" i="49"/>
  <c r="L266" i="49" s="1"/>
  <c r="H265" i="25" s="1"/>
  <c r="J266" i="54" s="1"/>
  <c r="K266" i="54" s="1"/>
  <c r="K270" i="49"/>
  <c r="L270" i="49" s="1"/>
  <c r="H269" i="25" s="1"/>
  <c r="J270" i="54" s="1"/>
  <c r="K270" i="54" s="1"/>
  <c r="K274" i="49"/>
  <c r="L274" i="49" s="1"/>
  <c r="H273" i="25" s="1"/>
  <c r="J274" i="54" s="1"/>
  <c r="K274" i="54" s="1"/>
  <c r="K278" i="49"/>
  <c r="L278" i="49" s="1"/>
  <c r="H277" i="25" s="1"/>
  <c r="J278" i="54" s="1"/>
  <c r="K278" i="54" s="1"/>
  <c r="K282" i="49"/>
  <c r="L282" i="49" s="1"/>
  <c r="H281" i="25" s="1"/>
  <c r="J282" i="54" s="1"/>
  <c r="K282" i="54" s="1"/>
  <c r="K286" i="49"/>
  <c r="L286" i="49" s="1"/>
  <c r="H285" i="25" s="1"/>
  <c r="J286" i="54" s="1"/>
  <c r="K286" i="54" s="1"/>
  <c r="K290" i="49"/>
  <c r="L290" i="49" s="1"/>
  <c r="H289" i="25" s="1"/>
  <c r="J290" i="54" s="1"/>
  <c r="K290" i="54" s="1"/>
  <c r="K294" i="49"/>
  <c r="L294" i="49" s="1"/>
  <c r="H293" i="25" s="1"/>
  <c r="J294" i="54" s="1"/>
  <c r="K294" i="54" s="1"/>
  <c r="K298" i="49"/>
  <c r="L298" i="49" s="1"/>
  <c r="H297" i="25" s="1"/>
  <c r="J298" i="54" s="1"/>
  <c r="K298" i="54" s="1"/>
  <c r="K302" i="49"/>
  <c r="L302" i="49" s="1"/>
  <c r="H301" i="25" s="1"/>
  <c r="J302" i="54" s="1"/>
  <c r="K302" i="54" s="1"/>
  <c r="K180" i="49"/>
  <c r="L180" i="49" s="1"/>
  <c r="H179" i="25" s="1"/>
  <c r="J180" i="54" s="1"/>
  <c r="K180" i="54" s="1"/>
  <c r="K210" i="49"/>
  <c r="L210" i="49" s="1"/>
  <c r="H209" i="25" s="1"/>
  <c r="J210" i="54" s="1"/>
  <c r="K210" i="54" s="1"/>
  <c r="K226" i="49"/>
  <c r="L226" i="49" s="1"/>
  <c r="H225" i="25" s="1"/>
  <c r="J226" i="54" s="1"/>
  <c r="K226" i="54" s="1"/>
  <c r="K242" i="49"/>
  <c r="L242" i="49" s="1"/>
  <c r="H241" i="25" s="1"/>
  <c r="J242" i="54" s="1"/>
  <c r="K242" i="54" s="1"/>
  <c r="K250" i="49"/>
  <c r="L250" i="49" s="1"/>
  <c r="H249" i="25" s="1"/>
  <c r="J250" i="54" s="1"/>
  <c r="K250" i="54" s="1"/>
  <c r="K255" i="49"/>
  <c r="L255" i="49" s="1"/>
  <c r="H254" i="25" s="1"/>
  <c r="J255" i="54" s="1"/>
  <c r="K255" i="54" s="1"/>
  <c r="K259" i="49"/>
  <c r="L259" i="49" s="1"/>
  <c r="H258" i="25" s="1"/>
  <c r="J259" i="54" s="1"/>
  <c r="K259" i="54" s="1"/>
  <c r="K263" i="49"/>
  <c r="L263" i="49" s="1"/>
  <c r="H262" i="25" s="1"/>
  <c r="J263" i="54" s="1"/>
  <c r="K263" i="54" s="1"/>
  <c r="K267" i="49"/>
  <c r="L267" i="49" s="1"/>
  <c r="H266" i="25" s="1"/>
  <c r="J267" i="54" s="1"/>
  <c r="K267" i="54" s="1"/>
  <c r="K271" i="49"/>
  <c r="L271" i="49" s="1"/>
  <c r="H270" i="25" s="1"/>
  <c r="J271" i="54" s="1"/>
  <c r="K271" i="54" s="1"/>
  <c r="K275" i="49"/>
  <c r="L275" i="49" s="1"/>
  <c r="H274" i="25" s="1"/>
  <c r="J275" i="54" s="1"/>
  <c r="K275" i="54" s="1"/>
  <c r="K279" i="49"/>
  <c r="L279" i="49" s="1"/>
  <c r="H278" i="25" s="1"/>
  <c r="J279" i="54" s="1"/>
  <c r="K279" i="54" s="1"/>
  <c r="K283" i="49"/>
  <c r="L283" i="49" s="1"/>
  <c r="H282" i="25" s="1"/>
  <c r="J283" i="54" s="1"/>
  <c r="K283" i="54" s="1"/>
  <c r="K287" i="49"/>
  <c r="L287" i="49" s="1"/>
  <c r="H286" i="25" s="1"/>
  <c r="J287" i="54" s="1"/>
  <c r="K287" i="54" s="1"/>
  <c r="K291" i="49"/>
  <c r="L291" i="49" s="1"/>
  <c r="H290" i="25" s="1"/>
  <c r="J291" i="54" s="1"/>
  <c r="K291" i="54" s="1"/>
  <c r="K295" i="49"/>
  <c r="L295" i="49" s="1"/>
  <c r="H294" i="25" s="1"/>
  <c r="J295" i="54" s="1"/>
  <c r="K295" i="54" s="1"/>
  <c r="K299" i="49"/>
  <c r="L299" i="49" s="1"/>
  <c r="H298" i="25" s="1"/>
  <c r="J299" i="54" s="1"/>
  <c r="K299" i="54" s="1"/>
  <c r="K303" i="49"/>
  <c r="L303" i="49" s="1"/>
  <c r="H302" i="25" s="1"/>
  <c r="J303" i="54" s="1"/>
  <c r="K303" i="54" s="1"/>
  <c r="K184" i="49"/>
  <c r="L184" i="49" s="1"/>
  <c r="H183" i="25" s="1"/>
  <c r="J184" i="54" s="1"/>
  <c r="K184" i="54" s="1"/>
  <c r="K190" i="49"/>
  <c r="L190" i="49" s="1"/>
  <c r="H189" i="25" s="1"/>
  <c r="J190" i="54" s="1"/>
  <c r="K190" i="54" s="1"/>
  <c r="K198" i="49"/>
  <c r="L198" i="49" s="1"/>
  <c r="H197" i="25" s="1"/>
  <c r="J198" i="54" s="1"/>
  <c r="K198" i="54" s="1"/>
  <c r="K214" i="49"/>
  <c r="L214" i="49" s="1"/>
  <c r="H213" i="25" s="1"/>
  <c r="J214" i="54" s="1"/>
  <c r="K214" i="54" s="1"/>
  <c r="K230" i="49"/>
  <c r="L230" i="49" s="1"/>
  <c r="H229" i="25" s="1"/>
  <c r="J230" i="54" s="1"/>
  <c r="K230" i="54" s="1"/>
  <c r="K247" i="49"/>
  <c r="L247" i="49" s="1"/>
  <c r="H246" i="25" s="1"/>
  <c r="J247" i="54" s="1"/>
  <c r="K247" i="54" s="1"/>
  <c r="K256" i="49"/>
  <c r="L256" i="49" s="1"/>
  <c r="H255" i="25" s="1"/>
  <c r="J256" i="54" s="1"/>
  <c r="K256" i="54" s="1"/>
  <c r="K260" i="49"/>
  <c r="L260" i="49" s="1"/>
  <c r="H259" i="25" s="1"/>
  <c r="J260" i="54" s="1"/>
  <c r="K260" i="54" s="1"/>
  <c r="K264" i="49"/>
  <c r="L264" i="49" s="1"/>
  <c r="H263" i="25" s="1"/>
  <c r="J264" i="54" s="1"/>
  <c r="K264" i="54" s="1"/>
  <c r="K268" i="49"/>
  <c r="L268" i="49" s="1"/>
  <c r="H267" i="25" s="1"/>
  <c r="J268" i="54" s="1"/>
  <c r="K268" i="54" s="1"/>
  <c r="K272" i="49"/>
  <c r="L272" i="49" s="1"/>
  <c r="H271" i="25" s="1"/>
  <c r="J272" i="54" s="1"/>
  <c r="K272" i="54" s="1"/>
  <c r="K276" i="49"/>
  <c r="L276" i="49" s="1"/>
  <c r="H275" i="25" s="1"/>
  <c r="J276" i="54" s="1"/>
  <c r="K276" i="54" s="1"/>
  <c r="K280" i="49"/>
  <c r="L280" i="49" s="1"/>
  <c r="H279" i="25" s="1"/>
  <c r="J280" i="54" s="1"/>
  <c r="K280" i="54" s="1"/>
  <c r="K284" i="49"/>
  <c r="L284" i="49" s="1"/>
  <c r="H283" i="25" s="1"/>
  <c r="J284" i="54" s="1"/>
  <c r="K284" i="54" s="1"/>
  <c r="K288" i="49"/>
  <c r="L288" i="49" s="1"/>
  <c r="H287" i="25" s="1"/>
  <c r="J288" i="54" s="1"/>
  <c r="K288" i="54" s="1"/>
  <c r="K292" i="49"/>
  <c r="L292" i="49" s="1"/>
  <c r="H291" i="25" s="1"/>
  <c r="J292" i="54" s="1"/>
  <c r="K292" i="54" s="1"/>
  <c r="K296" i="49"/>
  <c r="L296" i="49" s="1"/>
  <c r="H295" i="25" s="1"/>
  <c r="J296" i="54" s="1"/>
  <c r="K296" i="54" s="1"/>
  <c r="K300" i="49"/>
  <c r="L300" i="49" s="1"/>
  <c r="H299" i="25" s="1"/>
  <c r="J300" i="54" s="1"/>
  <c r="K300" i="54" s="1"/>
  <c r="K304" i="49"/>
  <c r="L304" i="49" s="1"/>
  <c r="H303" i="25" s="1"/>
  <c r="J304" i="54" s="1"/>
  <c r="K304" i="54" s="1"/>
  <c r="K202" i="49"/>
  <c r="L202" i="49" s="1"/>
  <c r="H201" i="25" s="1"/>
  <c r="J202" i="54" s="1"/>
  <c r="K202" i="54" s="1"/>
  <c r="K218" i="49"/>
  <c r="L218" i="49" s="1"/>
  <c r="H217" i="25" s="1"/>
  <c r="J218" i="54" s="1"/>
  <c r="K218" i="54" s="1"/>
  <c r="K234" i="49"/>
  <c r="L234" i="49" s="1"/>
  <c r="H233" i="25" s="1"/>
  <c r="J234" i="54" s="1"/>
  <c r="K234" i="54" s="1"/>
  <c r="K246" i="49"/>
  <c r="L246" i="49" s="1"/>
  <c r="H245" i="25" s="1"/>
  <c r="J246" i="54" s="1"/>
  <c r="K246" i="54" s="1"/>
  <c r="K257" i="49"/>
  <c r="L257" i="49" s="1"/>
  <c r="H256" i="25" s="1"/>
  <c r="J257" i="54" s="1"/>
  <c r="K257" i="54" s="1"/>
  <c r="K261" i="49"/>
  <c r="L261" i="49" s="1"/>
  <c r="H260" i="25" s="1"/>
  <c r="J261" i="54" s="1"/>
  <c r="K261" i="54" s="1"/>
  <c r="K265" i="49"/>
  <c r="L265" i="49" s="1"/>
  <c r="H264" i="25" s="1"/>
  <c r="J265" i="54" s="1"/>
  <c r="K265" i="54" s="1"/>
  <c r="K269" i="49"/>
  <c r="L269" i="49" s="1"/>
  <c r="H268" i="25" s="1"/>
  <c r="J269" i="54" s="1"/>
  <c r="K269" i="54" s="1"/>
  <c r="K273" i="49"/>
  <c r="L273" i="49" s="1"/>
  <c r="H272" i="25" s="1"/>
  <c r="J273" i="54" s="1"/>
  <c r="K273" i="54" s="1"/>
  <c r="K277" i="49"/>
  <c r="L277" i="49" s="1"/>
  <c r="H276" i="25" s="1"/>
  <c r="J277" i="54" s="1"/>
  <c r="K277" i="54" s="1"/>
  <c r="K281" i="49"/>
  <c r="L281" i="49" s="1"/>
  <c r="H280" i="25" s="1"/>
  <c r="J281" i="54" s="1"/>
  <c r="K281" i="54" s="1"/>
  <c r="K285" i="49"/>
  <c r="L285" i="49" s="1"/>
  <c r="H284" i="25" s="1"/>
  <c r="J285" i="54" s="1"/>
  <c r="K285" i="54" s="1"/>
  <c r="K289" i="49"/>
  <c r="L289" i="49" s="1"/>
  <c r="H288" i="25" s="1"/>
  <c r="J289" i="54" s="1"/>
  <c r="K289" i="54" s="1"/>
  <c r="K293" i="49"/>
  <c r="L293" i="49" s="1"/>
  <c r="H292" i="25" s="1"/>
  <c r="J293" i="54" s="1"/>
  <c r="K293" i="54" s="1"/>
  <c r="K297" i="49"/>
  <c r="L297" i="49" s="1"/>
  <c r="H296" i="25" s="1"/>
  <c r="J297" i="54" s="1"/>
  <c r="K297" i="54" s="1"/>
  <c r="K301" i="49"/>
  <c r="L301" i="49" s="1"/>
  <c r="H300" i="25" s="1"/>
  <c r="J301" i="54" s="1"/>
  <c r="K301" i="54" s="1"/>
  <c r="K305" i="49"/>
  <c r="L305" i="49" s="1"/>
  <c r="H304" i="25" s="1"/>
  <c r="J305" i="54" s="1"/>
  <c r="K305" i="54" s="1"/>
  <c r="F9" i="33"/>
  <c r="F17" i="33"/>
  <c r="F25" i="33"/>
  <c r="F33" i="33"/>
  <c r="F41" i="33"/>
  <c r="F49" i="33"/>
  <c r="F19" i="33"/>
  <c r="F35" i="33"/>
  <c r="F52" i="33"/>
  <c r="F27" i="33"/>
  <c r="F43" i="33"/>
  <c r="F77" i="33"/>
  <c r="F65" i="33"/>
  <c r="F81" i="33"/>
  <c r="F84" i="33"/>
  <c r="F93" i="33"/>
  <c r="F101" i="33"/>
  <c r="F109" i="33"/>
  <c r="F117" i="33"/>
  <c r="F89" i="33"/>
  <c r="F97" i="33"/>
  <c r="F105" i="33"/>
  <c r="F135" i="33"/>
  <c r="F175" i="33"/>
  <c r="F194" i="33"/>
  <c r="F254" i="33"/>
  <c r="F258" i="33"/>
  <c r="F270" i="33"/>
  <c r="F274" i="33"/>
  <c r="F290" i="33"/>
  <c r="F127" i="33"/>
  <c r="F143" i="33"/>
  <c r="F162" i="33"/>
  <c r="F191" i="33"/>
  <c r="F197" i="33"/>
  <c r="F205" i="33"/>
  <c r="F215" i="33"/>
  <c r="F178" i="33"/>
  <c r="F159" i="33"/>
  <c r="F188" i="33"/>
  <c r="F262" i="33"/>
  <c r="F266" i="33"/>
  <c r="F278" i="33"/>
  <c r="F282" i="33"/>
  <c r="F286" i="33"/>
  <c r="F294" i="33"/>
  <c r="F298" i="33"/>
  <c r="F302" i="33"/>
  <c r="F299" i="33"/>
  <c r="F224" i="33"/>
  <c r="F222" i="33"/>
  <c r="F250" i="33"/>
  <c r="F219" i="33"/>
  <c r="F259" i="33"/>
  <c r="F225" i="33"/>
  <c r="F221" i="33"/>
  <c r="F263" i="33"/>
  <c r="F249" i="33"/>
  <c r="F246" i="33"/>
  <c r="F243" i="33"/>
  <c r="F232" i="33"/>
  <c r="F213" i="33"/>
  <c r="F241" i="33"/>
  <c r="F288" i="33"/>
  <c r="F245" i="33"/>
  <c r="F214" i="33"/>
  <c r="F200" i="33"/>
  <c r="F181" i="33"/>
  <c r="F183" i="33"/>
  <c r="F170" i="33"/>
  <c r="F160" i="33"/>
  <c r="F164" i="33"/>
  <c r="F121" i="33"/>
  <c r="F96" i="33"/>
  <c r="F94" i="33"/>
  <c r="F138" i="33"/>
  <c r="F122" i="33"/>
  <c r="F51" i="33"/>
  <c r="F98" i="33"/>
  <c r="F54" i="33"/>
  <c r="F16" i="33"/>
  <c r="F70" i="33"/>
  <c r="F58" i="33"/>
  <c r="F22" i="33"/>
  <c r="F82" i="33"/>
  <c r="F63" i="33"/>
  <c r="F275" i="33"/>
  <c r="F242" i="33"/>
  <c r="F235" i="33"/>
  <c r="F293" i="33"/>
  <c r="F292" i="33"/>
  <c r="F285" i="33"/>
  <c r="F284" i="33"/>
  <c r="F277" i="33"/>
  <c r="F260" i="33"/>
  <c r="F237" i="33"/>
  <c r="F231" i="33"/>
  <c r="F218" i="33"/>
  <c r="F172" i="33"/>
  <c r="F251" i="33"/>
  <c r="F303" i="33"/>
  <c r="F287" i="33"/>
  <c r="F255" i="33"/>
  <c r="F230" i="33"/>
  <c r="F156" i="33"/>
  <c r="F281" i="33"/>
  <c r="F280" i="33"/>
  <c r="F273" i="33"/>
  <c r="F257" i="33"/>
  <c r="F256" i="33"/>
  <c r="F240" i="33"/>
  <c r="F229" i="33"/>
  <c r="F223" i="33"/>
  <c r="F192" i="33"/>
  <c r="F168" i="33"/>
  <c r="F155" i="33"/>
  <c r="F186" i="33"/>
  <c r="F176" i="33"/>
  <c r="F107" i="33"/>
  <c r="F153" i="33"/>
  <c r="F211" i="33"/>
  <c r="F203" i="33"/>
  <c r="F187" i="33"/>
  <c r="F185" i="33"/>
  <c r="F157" i="33"/>
  <c r="F142" i="33"/>
  <c r="F202" i="33"/>
  <c r="F80" i="33"/>
  <c r="F130" i="33"/>
  <c r="F141" i="33"/>
  <c r="F118" i="33"/>
  <c r="F147" i="33"/>
  <c r="F64" i="33"/>
  <c r="F62" i="33"/>
  <c r="F90" i="33"/>
  <c r="F108" i="33"/>
  <c r="F92" i="33"/>
  <c r="F71" i="33"/>
  <c r="F72" i="33"/>
  <c r="F55" i="33"/>
  <c r="F50" i="33"/>
  <c r="F20" i="33"/>
  <c r="F30" i="33"/>
  <c r="F28" i="33"/>
  <c r="F26" i="33"/>
  <c r="F268" i="33"/>
  <c r="F261" i="33"/>
  <c r="F220" i="33"/>
  <c r="F283" i="33"/>
  <c r="F297" i="33"/>
  <c r="F239" i="33"/>
  <c r="F204" i="33"/>
  <c r="F177" i="33"/>
  <c r="F110" i="33"/>
  <c r="F206" i="33"/>
  <c r="F180" i="33"/>
  <c r="F163" i="33"/>
  <c r="F152" i="33"/>
  <c r="F151" i="33"/>
  <c r="F113" i="33"/>
  <c r="F217" i="33"/>
  <c r="F208" i="33"/>
  <c r="F169" i="33"/>
  <c r="F167" i="33"/>
  <c r="F154" i="33"/>
  <c r="F99" i="33"/>
  <c r="F128" i="33"/>
  <c r="F61" i="33"/>
  <c r="F106" i="33"/>
  <c r="F44" i="33"/>
  <c r="F60" i="33"/>
  <c r="F48" i="33"/>
  <c r="F15" i="33"/>
  <c r="F39" i="33"/>
  <c r="F23" i="33"/>
  <c r="F12" i="33"/>
  <c r="F234" i="33"/>
  <c r="F271" i="33"/>
  <c r="F233" i="33"/>
  <c r="F227" i="33"/>
  <c r="F272" i="33"/>
  <c r="F216" i="33"/>
  <c r="F165" i="33"/>
  <c r="F124" i="33"/>
  <c r="F184" i="33"/>
  <c r="F115" i="33"/>
  <c r="F114" i="33"/>
  <c r="F132" i="33"/>
  <c r="F69" i="33"/>
  <c r="F59" i="33"/>
  <c r="F76" i="33"/>
  <c r="F75" i="33"/>
  <c r="F42" i="33"/>
  <c r="F301" i="33"/>
  <c r="F238" i="33"/>
  <c r="F305" i="33"/>
  <c r="F289" i="33"/>
  <c r="F265" i="33"/>
  <c r="F212" i="33"/>
  <c r="F126" i="33"/>
  <c r="F134" i="33"/>
  <c r="F123" i="33"/>
  <c r="F57" i="33"/>
  <c r="F38" i="33"/>
  <c r="F46" i="33"/>
  <c r="F18" i="33"/>
  <c r="F269" i="33"/>
  <c r="F252" i="33"/>
  <c r="F247" i="33"/>
  <c r="F236" i="33"/>
  <c r="F279" i="33"/>
  <c r="F264" i="33"/>
  <c r="F228" i="33"/>
  <c r="F226" i="33"/>
  <c r="F91" i="33"/>
  <c r="F189" i="33"/>
  <c r="F196" i="33"/>
  <c r="F198" i="33"/>
  <c r="F125" i="33"/>
  <c r="F104" i="33"/>
  <c r="F74" i="33"/>
  <c r="F148" i="33"/>
  <c r="F116" i="33"/>
  <c r="F102" i="33"/>
  <c r="F131" i="33"/>
  <c r="F32" i="33"/>
  <c r="F85" i="33"/>
  <c r="F53" i="33"/>
  <c r="F66" i="33"/>
  <c r="F68" i="33"/>
  <c r="F36" i="33"/>
  <c r="F10" i="33"/>
  <c r="F40" i="33"/>
  <c r="F24" i="33"/>
  <c r="F14" i="33"/>
  <c r="F8" i="33"/>
  <c r="F267" i="33"/>
  <c r="F276" i="33"/>
  <c r="F201" i="33"/>
  <c r="F295" i="33"/>
  <c r="F244" i="33"/>
  <c r="F129" i="33"/>
  <c r="F179" i="33"/>
  <c r="F133" i="33"/>
  <c r="F171" i="33"/>
  <c r="F120" i="33"/>
  <c r="F146" i="33"/>
  <c r="F139" i="33"/>
  <c r="F100" i="33"/>
  <c r="F253" i="33"/>
  <c r="F248" i="33"/>
  <c r="F291" i="33"/>
  <c r="F195" i="33"/>
  <c r="F210" i="33"/>
  <c r="F173" i="33"/>
  <c r="F140" i="33"/>
  <c r="F149" i="33"/>
  <c r="F209" i="33"/>
  <c r="F136" i="33"/>
  <c r="F88" i="33"/>
  <c r="F144" i="33"/>
  <c r="F112" i="33"/>
  <c r="F150" i="33"/>
  <c r="F73" i="33"/>
  <c r="F78" i="33"/>
  <c r="F31" i="33"/>
  <c r="F34" i="33"/>
  <c r="F45" i="33"/>
  <c r="F161" i="33"/>
  <c r="F56" i="33"/>
  <c r="F166" i="33"/>
  <c r="F86" i="33"/>
  <c r="F11" i="33"/>
  <c r="F158" i="33"/>
  <c r="F190" i="33"/>
  <c r="F21" i="33"/>
  <c r="F111" i="33"/>
  <c r="F29" i="33"/>
  <c r="F300" i="33"/>
  <c r="F174" i="33"/>
  <c r="F87" i="33"/>
  <c r="F199" i="33"/>
  <c r="F83" i="33"/>
  <c r="F7" i="33"/>
  <c r="F137" i="33"/>
  <c r="F37" i="33"/>
  <c r="F103" i="33"/>
  <c r="F145" i="33"/>
  <c r="F79" i="33"/>
  <c r="F95" i="33"/>
  <c r="F296" i="33"/>
  <c r="F119" i="33"/>
  <c r="F193" i="33"/>
  <c r="F47" i="33"/>
  <c r="F13" i="33"/>
  <c r="F304" i="33"/>
  <c r="F67" i="33"/>
  <c r="F182" i="33"/>
  <c r="F207" i="33"/>
  <c r="C312" i="34"/>
  <c r="K6" i="49"/>
  <c r="F306" i="37"/>
  <c r="E306" i="13"/>
  <c r="F306" i="13" s="1"/>
  <c r="C306" i="11"/>
  <c r="H158" i="37" l="1"/>
  <c r="H161" i="37"/>
  <c r="H7" i="37"/>
  <c r="H11" i="37"/>
  <c r="H15" i="37"/>
  <c r="H19" i="37"/>
  <c r="H23" i="37"/>
  <c r="H27" i="37"/>
  <c r="H31" i="37"/>
  <c r="H35" i="37"/>
  <c r="H39" i="37"/>
  <c r="H43" i="37"/>
  <c r="H47" i="37"/>
  <c r="H51" i="37"/>
  <c r="H55" i="37"/>
  <c r="H59" i="37"/>
  <c r="H63" i="37"/>
  <c r="H76" i="37"/>
  <c r="H80" i="37"/>
  <c r="H141" i="37"/>
  <c r="H243" i="37"/>
  <c r="H247" i="37"/>
  <c r="H146" i="37"/>
  <c r="H148" i="37"/>
  <c r="H154" i="37"/>
  <c r="H157" i="37"/>
  <c r="H162" i="37"/>
  <c r="H8" i="37"/>
  <c r="H12" i="37"/>
  <c r="H16" i="37"/>
  <c r="H20" i="37"/>
  <c r="H24" i="37"/>
  <c r="H28" i="37"/>
  <c r="H32" i="37"/>
  <c r="H36" i="37"/>
  <c r="H40" i="37"/>
  <c r="H44" i="37"/>
  <c r="H48" i="37"/>
  <c r="H52" i="37"/>
  <c r="H56" i="37"/>
  <c r="H60" i="37"/>
  <c r="H64" i="37"/>
  <c r="H75" i="37"/>
  <c r="H79" i="37"/>
  <c r="H156" i="37"/>
  <c r="H164" i="37"/>
  <c r="H168" i="37"/>
  <c r="H172" i="37"/>
  <c r="H176" i="37"/>
  <c r="H180" i="37"/>
  <c r="H184" i="37"/>
  <c r="H188" i="37"/>
  <c r="H192" i="37"/>
  <c r="H196" i="37"/>
  <c r="H200" i="37"/>
  <c r="H204" i="37"/>
  <c r="H208" i="37"/>
  <c r="H212" i="37"/>
  <c r="H216" i="37"/>
  <c r="H220" i="37"/>
  <c r="H224" i="37"/>
  <c r="H228" i="37"/>
  <c r="H232" i="37"/>
  <c r="H236" i="37"/>
  <c r="H244" i="37"/>
  <c r="H248" i="37"/>
  <c r="H250" i="37"/>
  <c r="H252" i="37"/>
  <c r="H254" i="37"/>
  <c r="H256" i="37"/>
  <c r="H258" i="37"/>
  <c r="H266" i="37"/>
  <c r="H240" i="37"/>
  <c r="H251" i="37"/>
  <c r="H255" i="37"/>
  <c r="H262" i="37"/>
  <c r="H270" i="37"/>
  <c r="H274" i="37"/>
  <c r="H278" i="37"/>
  <c r="H282" i="37"/>
  <c r="H286" i="37"/>
  <c r="H290" i="37"/>
  <c r="H294" i="37"/>
  <c r="H298" i="37"/>
  <c r="H302" i="37"/>
  <c r="H303" i="37"/>
  <c r="H287" i="37"/>
  <c r="H271" i="37"/>
  <c r="H263" i="37"/>
  <c r="H304" i="37"/>
  <c r="H288" i="37"/>
  <c r="H272" i="37"/>
  <c r="H235" i="37"/>
  <c r="H219" i="37"/>
  <c r="H203" i="37"/>
  <c r="H187" i="37"/>
  <c r="H171" i="37"/>
  <c r="H153" i="37"/>
  <c r="H138" i="37"/>
  <c r="H130" i="37"/>
  <c r="H122" i="37"/>
  <c r="H114" i="37"/>
  <c r="H106" i="37"/>
  <c r="H98" i="37"/>
  <c r="H91" i="37"/>
  <c r="H83" i="37"/>
  <c r="H67" i="37"/>
  <c r="H301" i="37"/>
  <c r="H285" i="37"/>
  <c r="H239" i="37"/>
  <c r="H62" i="37"/>
  <c r="H46" i="37"/>
  <c r="H30" i="37"/>
  <c r="H14" i="37"/>
  <c r="H238" i="37"/>
  <c r="H222" i="37"/>
  <c r="H206" i="37"/>
  <c r="H190" i="37"/>
  <c r="H174" i="37"/>
  <c r="H150" i="37"/>
  <c r="H73" i="37"/>
  <c r="H237" i="37"/>
  <c r="H221" i="37"/>
  <c r="H205" i="37"/>
  <c r="H189" i="37"/>
  <c r="H173" i="37"/>
  <c r="H144" i="37"/>
  <c r="H124" i="37"/>
  <c r="H108" i="37"/>
  <c r="H92" i="37"/>
  <c r="H155" i="37"/>
  <c r="H139" i="37"/>
  <c r="H123" i="37"/>
  <c r="H107" i="37"/>
  <c r="H89" i="37"/>
  <c r="H33" i="37"/>
  <c r="H61" i="37"/>
  <c r="H29" i="37"/>
  <c r="H299" i="37"/>
  <c r="H283" i="37"/>
  <c r="H268" i="37"/>
  <c r="H260" i="37"/>
  <c r="H300" i="37"/>
  <c r="H284" i="37"/>
  <c r="H257" i="37"/>
  <c r="H231" i="37"/>
  <c r="H215" i="37"/>
  <c r="H199" i="37"/>
  <c r="H183" i="37"/>
  <c r="H167" i="37"/>
  <c r="H149" i="37"/>
  <c r="H137" i="37"/>
  <c r="H129" i="37"/>
  <c r="H121" i="37"/>
  <c r="H113" i="37"/>
  <c r="H105" i="37"/>
  <c r="H97" i="37"/>
  <c r="H88" i="37"/>
  <c r="H72" i="37"/>
  <c r="H265" i="37"/>
  <c r="H297" i="37"/>
  <c r="H281" i="37"/>
  <c r="H81" i="37"/>
  <c r="H58" i="37"/>
  <c r="H42" i="37"/>
  <c r="H26" i="37"/>
  <c r="H10" i="37"/>
  <c r="H234" i="37"/>
  <c r="H218" i="37"/>
  <c r="H202" i="37"/>
  <c r="H186" i="37"/>
  <c r="H170" i="37"/>
  <c r="H142" i="37"/>
  <c r="H69" i="37"/>
  <c r="H233" i="37"/>
  <c r="H217" i="37"/>
  <c r="H201" i="37"/>
  <c r="H185" i="37"/>
  <c r="H169" i="37"/>
  <c r="H136" i="37"/>
  <c r="H120" i="37"/>
  <c r="H104" i="37"/>
  <c r="H82" i="37"/>
  <c r="H151" i="37"/>
  <c r="H135" i="37"/>
  <c r="H119" i="37"/>
  <c r="H103" i="37"/>
  <c r="H85" i="37"/>
  <c r="H57" i="37"/>
  <c r="H25" i="37"/>
  <c r="H53" i="37"/>
  <c r="H21" i="37"/>
  <c r="H295" i="37"/>
  <c r="H279" i="37"/>
  <c r="H267" i="37"/>
  <c r="H259" i="37"/>
  <c r="H269" i="37"/>
  <c r="H296" i="37"/>
  <c r="H280" i="37"/>
  <c r="H253" i="37"/>
  <c r="H227" i="37"/>
  <c r="H211" i="37"/>
  <c r="H195" i="37"/>
  <c r="H179" i="37"/>
  <c r="H163" i="37"/>
  <c r="H145" i="37"/>
  <c r="H134" i="37"/>
  <c r="H126" i="37"/>
  <c r="H118" i="37"/>
  <c r="H110" i="37"/>
  <c r="H102" i="37"/>
  <c r="H94" i="37"/>
  <c r="H87" i="37"/>
  <c r="H71" i="37"/>
  <c r="H293" i="37"/>
  <c r="H277" i="37"/>
  <c r="H77" i="37"/>
  <c r="H54" i="37"/>
  <c r="H38" i="37"/>
  <c r="H22" i="37"/>
  <c r="H246" i="37"/>
  <c r="H230" i="37"/>
  <c r="H214" i="37"/>
  <c r="H198" i="37"/>
  <c r="H182" i="37"/>
  <c r="H166" i="37"/>
  <c r="H90" i="37"/>
  <c r="H245" i="37"/>
  <c r="H229" i="37"/>
  <c r="H213" i="37"/>
  <c r="H197" i="37"/>
  <c r="H181" i="37"/>
  <c r="H165" i="37"/>
  <c r="H132" i="37"/>
  <c r="H116" i="37"/>
  <c r="H100" i="37"/>
  <c r="H78" i="37"/>
  <c r="H147" i="37"/>
  <c r="H131" i="37"/>
  <c r="H115" i="37"/>
  <c r="H99" i="37"/>
  <c r="H74" i="37"/>
  <c r="H49" i="37"/>
  <c r="H17" i="37"/>
  <c r="H45" i="37"/>
  <c r="H13" i="37"/>
  <c r="H291" i="37"/>
  <c r="H275" i="37"/>
  <c r="H264" i="37"/>
  <c r="H261" i="37"/>
  <c r="H292" i="37"/>
  <c r="H276" i="37"/>
  <c r="H249" i="37"/>
  <c r="H223" i="37"/>
  <c r="H207" i="37"/>
  <c r="H191" i="37"/>
  <c r="H175" i="37"/>
  <c r="H160" i="37"/>
  <c r="H140" i="37"/>
  <c r="H133" i="37"/>
  <c r="H125" i="37"/>
  <c r="H117" i="37"/>
  <c r="H109" i="37"/>
  <c r="H101" i="37"/>
  <c r="H93" i="37"/>
  <c r="H84" i="37"/>
  <c r="H68" i="37"/>
  <c r="H305" i="37"/>
  <c r="H289" i="37"/>
  <c r="H273" i="37"/>
  <c r="H66" i="37"/>
  <c r="H50" i="37"/>
  <c r="H34" i="37"/>
  <c r="H18" i="37"/>
  <c r="H242" i="37"/>
  <c r="H226" i="37"/>
  <c r="H210" i="37"/>
  <c r="H194" i="37"/>
  <c r="H178" i="37"/>
  <c r="H159" i="37"/>
  <c r="H86" i="37"/>
  <c r="H241" i="37"/>
  <c r="H225" i="37"/>
  <c r="H209" i="37"/>
  <c r="H193" i="37"/>
  <c r="H177" i="37"/>
  <c r="H152" i="37"/>
  <c r="H128" i="37"/>
  <c r="H112" i="37"/>
  <c r="H96" i="37"/>
  <c r="H65" i="37"/>
  <c r="H143" i="37"/>
  <c r="H127" i="37"/>
  <c r="H111" i="37"/>
  <c r="H95" i="37"/>
  <c r="H70" i="37"/>
  <c r="H41" i="37"/>
  <c r="H9" i="37"/>
  <c r="H37" i="37"/>
  <c r="K306" i="49"/>
  <c r="E52" i="48"/>
  <c r="F52" i="48" s="1"/>
  <c r="F54" i="48" s="1"/>
  <c r="E11" i="34"/>
  <c r="D7" i="34"/>
  <c r="L6" i="49"/>
  <c r="H306" i="37"/>
  <c r="H6" i="37"/>
  <c r="I5" i="13"/>
  <c r="K306" i="11"/>
  <c r="J3" i="33"/>
  <c r="F6" i="33"/>
  <c r="I3" i="33"/>
  <c r="D306" i="37"/>
  <c r="K3" i="33"/>
  <c r="H3" i="33"/>
  <c r="G3" i="33"/>
  <c r="F306" i="11"/>
  <c r="D5" i="9"/>
  <c r="D6" i="9"/>
  <c r="E9" i="37" l="1"/>
  <c r="G9" i="37" s="1"/>
  <c r="I9" i="37" s="1"/>
  <c r="F15" i="34" s="1"/>
  <c r="F9" i="12" s="1"/>
  <c r="E13" i="37"/>
  <c r="G13" i="37" s="1"/>
  <c r="I13" i="37" s="1"/>
  <c r="F19" i="34" s="1"/>
  <c r="F13" i="12" s="1"/>
  <c r="E17" i="37"/>
  <c r="G17" i="37" s="1"/>
  <c r="I17" i="37" s="1"/>
  <c r="F23" i="34" s="1"/>
  <c r="F17" i="12" s="1"/>
  <c r="E21" i="37"/>
  <c r="G21" i="37" s="1"/>
  <c r="I21" i="37" s="1"/>
  <c r="F27" i="34" s="1"/>
  <c r="F21" i="12" s="1"/>
  <c r="E25" i="37"/>
  <c r="G25" i="37" s="1"/>
  <c r="I25" i="37" s="1"/>
  <c r="F31" i="34" s="1"/>
  <c r="F25" i="12" s="1"/>
  <c r="E29" i="37"/>
  <c r="G29" i="37" s="1"/>
  <c r="I29" i="37" s="1"/>
  <c r="F35" i="34" s="1"/>
  <c r="F29" i="12" s="1"/>
  <c r="E33" i="37"/>
  <c r="G33" i="37" s="1"/>
  <c r="I33" i="37" s="1"/>
  <c r="F39" i="34" s="1"/>
  <c r="F33" i="12" s="1"/>
  <c r="E37" i="37"/>
  <c r="G37" i="37" s="1"/>
  <c r="I37" i="37" s="1"/>
  <c r="F43" i="34" s="1"/>
  <c r="F37" i="12" s="1"/>
  <c r="E41" i="37"/>
  <c r="G41" i="37" s="1"/>
  <c r="I41" i="37" s="1"/>
  <c r="F47" i="34" s="1"/>
  <c r="F41" i="12" s="1"/>
  <c r="E45" i="37"/>
  <c r="G45" i="37" s="1"/>
  <c r="I45" i="37" s="1"/>
  <c r="F51" i="34" s="1"/>
  <c r="F45" i="12" s="1"/>
  <c r="E49" i="37"/>
  <c r="G49" i="37" s="1"/>
  <c r="I49" i="37" s="1"/>
  <c r="F55" i="34" s="1"/>
  <c r="F49" i="12" s="1"/>
  <c r="E53" i="37"/>
  <c r="G53" i="37" s="1"/>
  <c r="I53" i="37" s="1"/>
  <c r="F59" i="34" s="1"/>
  <c r="F53" i="12" s="1"/>
  <c r="E57" i="37"/>
  <c r="G57" i="37" s="1"/>
  <c r="I57" i="37" s="1"/>
  <c r="F63" i="34" s="1"/>
  <c r="F57" i="12" s="1"/>
  <c r="E61" i="37"/>
  <c r="G61" i="37" s="1"/>
  <c r="I61" i="37" s="1"/>
  <c r="F67" i="34" s="1"/>
  <c r="F61" i="12" s="1"/>
  <c r="E65" i="37"/>
  <c r="G65" i="37" s="1"/>
  <c r="I65" i="37" s="1"/>
  <c r="F71" i="34" s="1"/>
  <c r="F65" i="12" s="1"/>
  <c r="E67" i="37"/>
  <c r="G67" i="37" s="1"/>
  <c r="I67" i="37" s="1"/>
  <c r="F73" i="34" s="1"/>
  <c r="F67" i="12" s="1"/>
  <c r="E78" i="37"/>
  <c r="G78" i="37" s="1"/>
  <c r="I78" i="37" s="1"/>
  <c r="F84" i="34" s="1"/>
  <c r="F78" i="12" s="1"/>
  <c r="E82" i="37"/>
  <c r="G82" i="37" s="1"/>
  <c r="I82" i="37" s="1"/>
  <c r="F88" i="34" s="1"/>
  <c r="F82" i="12" s="1"/>
  <c r="E157" i="37"/>
  <c r="G157" i="37" s="1"/>
  <c r="I157" i="37" s="1"/>
  <c r="F163" i="34" s="1"/>
  <c r="F157" i="12" s="1"/>
  <c r="E165" i="37"/>
  <c r="G165" i="37" s="1"/>
  <c r="I165" i="37" s="1"/>
  <c r="F171" i="34" s="1"/>
  <c r="F165" i="12" s="1"/>
  <c r="E169" i="37"/>
  <c r="G169" i="37" s="1"/>
  <c r="I169" i="37" s="1"/>
  <c r="F175" i="34" s="1"/>
  <c r="F169" i="12" s="1"/>
  <c r="E173" i="37"/>
  <c r="G173" i="37" s="1"/>
  <c r="I173" i="37" s="1"/>
  <c r="F179" i="34" s="1"/>
  <c r="F173" i="12" s="1"/>
  <c r="E177" i="37"/>
  <c r="G177" i="37" s="1"/>
  <c r="I177" i="37" s="1"/>
  <c r="F183" i="34" s="1"/>
  <c r="F177" i="12" s="1"/>
  <c r="E181" i="37"/>
  <c r="G181" i="37" s="1"/>
  <c r="I181" i="37" s="1"/>
  <c r="F187" i="34" s="1"/>
  <c r="F181" i="12" s="1"/>
  <c r="E185" i="37"/>
  <c r="G185" i="37" s="1"/>
  <c r="I185" i="37" s="1"/>
  <c r="F191" i="34" s="1"/>
  <c r="F185" i="12" s="1"/>
  <c r="E189" i="37"/>
  <c r="G189" i="37" s="1"/>
  <c r="I189" i="37" s="1"/>
  <c r="F195" i="34" s="1"/>
  <c r="F189" i="12" s="1"/>
  <c r="E193" i="37"/>
  <c r="G193" i="37" s="1"/>
  <c r="I193" i="37" s="1"/>
  <c r="F199" i="34" s="1"/>
  <c r="F193" i="12" s="1"/>
  <c r="E197" i="37"/>
  <c r="G197" i="37" s="1"/>
  <c r="I197" i="37" s="1"/>
  <c r="F203" i="34" s="1"/>
  <c r="F197" i="12" s="1"/>
  <c r="E201" i="37"/>
  <c r="G201" i="37" s="1"/>
  <c r="I201" i="37" s="1"/>
  <c r="F207" i="34" s="1"/>
  <c r="F201" i="12" s="1"/>
  <c r="E205" i="37"/>
  <c r="G205" i="37" s="1"/>
  <c r="I205" i="37" s="1"/>
  <c r="F211" i="34" s="1"/>
  <c r="F205" i="12" s="1"/>
  <c r="E209" i="37"/>
  <c r="G209" i="37" s="1"/>
  <c r="I209" i="37" s="1"/>
  <c r="F215" i="34" s="1"/>
  <c r="F209" i="12" s="1"/>
  <c r="E213" i="37"/>
  <c r="G213" i="37" s="1"/>
  <c r="I213" i="37" s="1"/>
  <c r="F219" i="34" s="1"/>
  <c r="F213" i="12" s="1"/>
  <c r="E217" i="37"/>
  <c r="G217" i="37" s="1"/>
  <c r="I217" i="37" s="1"/>
  <c r="F223" i="34" s="1"/>
  <c r="F217" i="12" s="1"/>
  <c r="E221" i="37"/>
  <c r="G221" i="37" s="1"/>
  <c r="I221" i="37" s="1"/>
  <c r="F227" i="34" s="1"/>
  <c r="F221" i="12" s="1"/>
  <c r="E225" i="37"/>
  <c r="G225" i="37" s="1"/>
  <c r="I225" i="37" s="1"/>
  <c r="F231" i="34" s="1"/>
  <c r="F225" i="12" s="1"/>
  <c r="E229" i="37"/>
  <c r="G229" i="37" s="1"/>
  <c r="I229" i="37" s="1"/>
  <c r="F235" i="34" s="1"/>
  <c r="F229" i="12" s="1"/>
  <c r="E233" i="37"/>
  <c r="G233" i="37" s="1"/>
  <c r="I233" i="37" s="1"/>
  <c r="F239" i="34" s="1"/>
  <c r="F233" i="12" s="1"/>
  <c r="E237" i="37"/>
  <c r="G237" i="37" s="1"/>
  <c r="I237" i="37" s="1"/>
  <c r="F243" i="34" s="1"/>
  <c r="F237" i="12" s="1"/>
  <c r="E241" i="37"/>
  <c r="G241" i="37" s="1"/>
  <c r="I241" i="37" s="1"/>
  <c r="F247" i="34" s="1"/>
  <c r="F241" i="12" s="1"/>
  <c r="E245" i="37"/>
  <c r="G245" i="37" s="1"/>
  <c r="I245" i="37" s="1"/>
  <c r="F251" i="34" s="1"/>
  <c r="F245" i="12" s="1"/>
  <c r="E69" i="37"/>
  <c r="G69" i="37" s="1"/>
  <c r="I69" i="37" s="1"/>
  <c r="F75" i="34" s="1"/>
  <c r="F69" i="12" s="1"/>
  <c r="E73" i="37"/>
  <c r="G73" i="37" s="1"/>
  <c r="I73" i="37" s="1"/>
  <c r="F79" i="34" s="1"/>
  <c r="F73" i="12" s="1"/>
  <c r="E75" i="37"/>
  <c r="G75" i="37" s="1"/>
  <c r="I75" i="37" s="1"/>
  <c r="F81" i="34" s="1"/>
  <c r="F75" i="12" s="1"/>
  <c r="E86" i="37"/>
  <c r="G86" i="37" s="1"/>
  <c r="I86" i="37" s="1"/>
  <c r="F92" i="34" s="1"/>
  <c r="F86" i="12" s="1"/>
  <c r="E90" i="37"/>
  <c r="G90" i="37" s="1"/>
  <c r="I90" i="37" s="1"/>
  <c r="F96" i="34" s="1"/>
  <c r="F90" i="12" s="1"/>
  <c r="E156" i="37"/>
  <c r="G156" i="37" s="1"/>
  <c r="I156" i="37" s="1"/>
  <c r="F162" i="34" s="1"/>
  <c r="F156" i="12" s="1"/>
  <c r="E159" i="37"/>
  <c r="G159" i="37" s="1"/>
  <c r="I159" i="37" s="1"/>
  <c r="F165" i="34" s="1"/>
  <c r="F159" i="12" s="1"/>
  <c r="E10" i="37"/>
  <c r="G10" i="37" s="1"/>
  <c r="I10" i="37" s="1"/>
  <c r="F16" i="34" s="1"/>
  <c r="F10" i="12" s="1"/>
  <c r="E14" i="37"/>
  <c r="G14" i="37" s="1"/>
  <c r="I14" i="37" s="1"/>
  <c r="F20" i="34" s="1"/>
  <c r="F14" i="12" s="1"/>
  <c r="E18" i="37"/>
  <c r="G18" i="37" s="1"/>
  <c r="I18" i="37" s="1"/>
  <c r="F24" i="34" s="1"/>
  <c r="F18" i="12" s="1"/>
  <c r="E22" i="37"/>
  <c r="G22" i="37" s="1"/>
  <c r="I22" i="37" s="1"/>
  <c r="F28" i="34" s="1"/>
  <c r="F22" i="12" s="1"/>
  <c r="E26" i="37"/>
  <c r="G26" i="37" s="1"/>
  <c r="I26" i="37" s="1"/>
  <c r="F32" i="34" s="1"/>
  <c r="F26" i="12" s="1"/>
  <c r="E30" i="37"/>
  <c r="G30" i="37" s="1"/>
  <c r="I30" i="37" s="1"/>
  <c r="F36" i="34" s="1"/>
  <c r="F30" i="12" s="1"/>
  <c r="E34" i="37"/>
  <c r="G34" i="37" s="1"/>
  <c r="I34" i="37" s="1"/>
  <c r="F40" i="34" s="1"/>
  <c r="F34" i="12" s="1"/>
  <c r="E38" i="37"/>
  <c r="G38" i="37" s="1"/>
  <c r="I38" i="37" s="1"/>
  <c r="F44" i="34" s="1"/>
  <c r="F38" i="12" s="1"/>
  <c r="E42" i="37"/>
  <c r="G42" i="37" s="1"/>
  <c r="I42" i="37" s="1"/>
  <c r="F48" i="34" s="1"/>
  <c r="F42" i="12" s="1"/>
  <c r="E46" i="37"/>
  <c r="G46" i="37" s="1"/>
  <c r="I46" i="37" s="1"/>
  <c r="F52" i="34" s="1"/>
  <c r="F46" i="12" s="1"/>
  <c r="E50" i="37"/>
  <c r="G50" i="37" s="1"/>
  <c r="I50" i="37" s="1"/>
  <c r="F56" i="34" s="1"/>
  <c r="F50" i="12" s="1"/>
  <c r="E54" i="37"/>
  <c r="G54" i="37" s="1"/>
  <c r="I54" i="37" s="1"/>
  <c r="F60" i="34" s="1"/>
  <c r="F54" i="12" s="1"/>
  <c r="E58" i="37"/>
  <c r="G58" i="37" s="1"/>
  <c r="I58" i="37" s="1"/>
  <c r="F64" i="34" s="1"/>
  <c r="F58" i="12" s="1"/>
  <c r="E62" i="37"/>
  <c r="G62" i="37" s="1"/>
  <c r="I62" i="37" s="1"/>
  <c r="F68" i="34" s="1"/>
  <c r="F62" i="12" s="1"/>
  <c r="E66" i="37"/>
  <c r="G66" i="37" s="1"/>
  <c r="I66" i="37" s="1"/>
  <c r="F72" i="34" s="1"/>
  <c r="F66" i="12" s="1"/>
  <c r="E77" i="37"/>
  <c r="G77" i="37" s="1"/>
  <c r="I77" i="37" s="1"/>
  <c r="F83" i="34" s="1"/>
  <c r="F77" i="12" s="1"/>
  <c r="E81" i="37"/>
  <c r="G81" i="37" s="1"/>
  <c r="I81" i="37" s="1"/>
  <c r="F87" i="34" s="1"/>
  <c r="F81" i="12" s="1"/>
  <c r="E83" i="37"/>
  <c r="G83" i="37" s="1"/>
  <c r="I83" i="37" s="1"/>
  <c r="F89" i="34" s="1"/>
  <c r="F83" i="12" s="1"/>
  <c r="E93" i="37"/>
  <c r="G93" i="37" s="1"/>
  <c r="I93" i="37" s="1"/>
  <c r="F99" i="34" s="1"/>
  <c r="F93" i="12" s="1"/>
  <c r="E97" i="37"/>
  <c r="G97" i="37" s="1"/>
  <c r="I97" i="37" s="1"/>
  <c r="F103" i="34" s="1"/>
  <c r="F97" i="12" s="1"/>
  <c r="E101" i="37"/>
  <c r="G101" i="37" s="1"/>
  <c r="I101" i="37" s="1"/>
  <c r="F107" i="34" s="1"/>
  <c r="F101" i="12" s="1"/>
  <c r="E105" i="37"/>
  <c r="G105" i="37" s="1"/>
  <c r="I105" i="37" s="1"/>
  <c r="F111" i="34" s="1"/>
  <c r="F105" i="12" s="1"/>
  <c r="E109" i="37"/>
  <c r="G109" i="37" s="1"/>
  <c r="I109" i="37" s="1"/>
  <c r="F115" i="34" s="1"/>
  <c r="F109" i="12" s="1"/>
  <c r="E113" i="37"/>
  <c r="G113" i="37" s="1"/>
  <c r="I113" i="37" s="1"/>
  <c r="F119" i="34" s="1"/>
  <c r="F113" i="12" s="1"/>
  <c r="E117" i="37"/>
  <c r="G117" i="37" s="1"/>
  <c r="I117" i="37" s="1"/>
  <c r="F123" i="34" s="1"/>
  <c r="F117" i="12" s="1"/>
  <c r="E121" i="37"/>
  <c r="G121" i="37" s="1"/>
  <c r="I121" i="37" s="1"/>
  <c r="F127" i="34" s="1"/>
  <c r="F121" i="12" s="1"/>
  <c r="E125" i="37"/>
  <c r="G125" i="37" s="1"/>
  <c r="I125" i="37" s="1"/>
  <c r="F131" i="34" s="1"/>
  <c r="F125" i="12" s="1"/>
  <c r="E129" i="37"/>
  <c r="G129" i="37" s="1"/>
  <c r="I129" i="37" s="1"/>
  <c r="F135" i="34" s="1"/>
  <c r="F129" i="12" s="1"/>
  <c r="E133" i="37"/>
  <c r="G133" i="37" s="1"/>
  <c r="I133" i="37" s="1"/>
  <c r="F139" i="34" s="1"/>
  <c r="F133" i="12" s="1"/>
  <c r="E137" i="37"/>
  <c r="G137" i="37" s="1"/>
  <c r="I137" i="37" s="1"/>
  <c r="F143" i="34" s="1"/>
  <c r="F137" i="12" s="1"/>
  <c r="E145" i="37"/>
  <c r="G145" i="37" s="1"/>
  <c r="I145" i="37" s="1"/>
  <c r="F151" i="34" s="1"/>
  <c r="F145" i="12" s="1"/>
  <c r="E153" i="37"/>
  <c r="G153" i="37" s="1"/>
  <c r="I153" i="37" s="1"/>
  <c r="F159" i="34" s="1"/>
  <c r="F153" i="12" s="1"/>
  <c r="E161" i="37"/>
  <c r="G161" i="37" s="1"/>
  <c r="I161" i="37" s="1"/>
  <c r="F167" i="34" s="1"/>
  <c r="F161" i="12" s="1"/>
  <c r="E258" i="37"/>
  <c r="G258" i="37" s="1"/>
  <c r="I258" i="37" s="1"/>
  <c r="F264" i="34" s="1"/>
  <c r="F258" i="12" s="1"/>
  <c r="E70" i="37"/>
  <c r="G70" i="37" s="1"/>
  <c r="I70" i="37" s="1"/>
  <c r="F76" i="34" s="1"/>
  <c r="F70" i="12" s="1"/>
  <c r="E74" i="37"/>
  <c r="G74" i="37" s="1"/>
  <c r="I74" i="37" s="1"/>
  <c r="F80" i="34" s="1"/>
  <c r="F74" i="12" s="1"/>
  <c r="E85" i="37"/>
  <c r="G85" i="37" s="1"/>
  <c r="I85" i="37" s="1"/>
  <c r="F91" i="34" s="1"/>
  <c r="F85" i="12" s="1"/>
  <c r="E89" i="37"/>
  <c r="G89" i="37" s="1"/>
  <c r="I89" i="37" s="1"/>
  <c r="F95" i="34" s="1"/>
  <c r="F89" i="12" s="1"/>
  <c r="E95" i="37"/>
  <c r="G95" i="37" s="1"/>
  <c r="I95" i="37" s="1"/>
  <c r="F101" i="34" s="1"/>
  <c r="F95" i="12" s="1"/>
  <c r="E99" i="37"/>
  <c r="G99" i="37" s="1"/>
  <c r="I99" i="37" s="1"/>
  <c r="F105" i="34" s="1"/>
  <c r="F99" i="12" s="1"/>
  <c r="E103" i="37"/>
  <c r="G103" i="37" s="1"/>
  <c r="I103" i="37" s="1"/>
  <c r="F109" i="34" s="1"/>
  <c r="F103" i="12" s="1"/>
  <c r="E107" i="37"/>
  <c r="G107" i="37" s="1"/>
  <c r="I107" i="37" s="1"/>
  <c r="F113" i="34" s="1"/>
  <c r="F107" i="12" s="1"/>
  <c r="E111" i="37"/>
  <c r="G111" i="37" s="1"/>
  <c r="I111" i="37" s="1"/>
  <c r="F117" i="34" s="1"/>
  <c r="F111" i="12" s="1"/>
  <c r="E115" i="37"/>
  <c r="G115" i="37" s="1"/>
  <c r="I115" i="37" s="1"/>
  <c r="F121" i="34" s="1"/>
  <c r="F115" i="12" s="1"/>
  <c r="E119" i="37"/>
  <c r="G119" i="37" s="1"/>
  <c r="I119" i="37" s="1"/>
  <c r="F125" i="34" s="1"/>
  <c r="F119" i="12" s="1"/>
  <c r="E123" i="37"/>
  <c r="G123" i="37" s="1"/>
  <c r="I123" i="37" s="1"/>
  <c r="F129" i="34" s="1"/>
  <c r="F123" i="12" s="1"/>
  <c r="E127" i="37"/>
  <c r="G127" i="37" s="1"/>
  <c r="I127" i="37" s="1"/>
  <c r="F133" i="34" s="1"/>
  <c r="F127" i="12" s="1"/>
  <c r="E131" i="37"/>
  <c r="G131" i="37" s="1"/>
  <c r="I131" i="37" s="1"/>
  <c r="F137" i="34" s="1"/>
  <c r="F131" i="12" s="1"/>
  <c r="E135" i="37"/>
  <c r="G135" i="37" s="1"/>
  <c r="I135" i="37" s="1"/>
  <c r="F141" i="34" s="1"/>
  <c r="F135" i="12" s="1"/>
  <c r="E139" i="37"/>
  <c r="G139" i="37" s="1"/>
  <c r="I139" i="37" s="1"/>
  <c r="F145" i="34" s="1"/>
  <c r="F139" i="12" s="1"/>
  <c r="E141" i="37"/>
  <c r="G141" i="37" s="1"/>
  <c r="I141" i="37" s="1"/>
  <c r="F147" i="34" s="1"/>
  <c r="F141" i="12" s="1"/>
  <c r="E143" i="37"/>
  <c r="G143" i="37" s="1"/>
  <c r="I143" i="37" s="1"/>
  <c r="F149" i="34" s="1"/>
  <c r="F143" i="12" s="1"/>
  <c r="E147" i="37"/>
  <c r="G147" i="37" s="1"/>
  <c r="I147" i="37" s="1"/>
  <c r="F153" i="34" s="1"/>
  <c r="F147" i="12" s="1"/>
  <c r="E149" i="37"/>
  <c r="G149" i="37" s="1"/>
  <c r="I149" i="37" s="1"/>
  <c r="F155" i="34" s="1"/>
  <c r="F149" i="12" s="1"/>
  <c r="E151" i="37"/>
  <c r="G151" i="37" s="1"/>
  <c r="I151" i="37" s="1"/>
  <c r="F157" i="34" s="1"/>
  <c r="F151" i="12" s="1"/>
  <c r="E155" i="37"/>
  <c r="G155" i="37" s="1"/>
  <c r="I155" i="37" s="1"/>
  <c r="F161" i="34" s="1"/>
  <c r="F155" i="12" s="1"/>
  <c r="E160" i="37"/>
  <c r="G160" i="37" s="1"/>
  <c r="I160" i="37" s="1"/>
  <c r="F166" i="34" s="1"/>
  <c r="F160" i="12" s="1"/>
  <c r="E163" i="37"/>
  <c r="G163" i="37" s="1"/>
  <c r="I163" i="37" s="1"/>
  <c r="F169" i="34" s="1"/>
  <c r="F163" i="12" s="1"/>
  <c r="E167" i="37"/>
  <c r="G167" i="37" s="1"/>
  <c r="I167" i="37" s="1"/>
  <c r="F173" i="34" s="1"/>
  <c r="F167" i="12" s="1"/>
  <c r="E171" i="37"/>
  <c r="G171" i="37" s="1"/>
  <c r="I171" i="37" s="1"/>
  <c r="F177" i="34" s="1"/>
  <c r="F171" i="12" s="1"/>
  <c r="E175" i="37"/>
  <c r="G175" i="37" s="1"/>
  <c r="I175" i="37" s="1"/>
  <c r="F181" i="34" s="1"/>
  <c r="F175" i="12" s="1"/>
  <c r="E179" i="37"/>
  <c r="G179" i="37" s="1"/>
  <c r="I179" i="37" s="1"/>
  <c r="F185" i="34" s="1"/>
  <c r="F179" i="12" s="1"/>
  <c r="E183" i="37"/>
  <c r="G183" i="37" s="1"/>
  <c r="I183" i="37" s="1"/>
  <c r="F189" i="34" s="1"/>
  <c r="F183" i="12" s="1"/>
  <c r="E187" i="37"/>
  <c r="G187" i="37" s="1"/>
  <c r="I187" i="37" s="1"/>
  <c r="F193" i="34" s="1"/>
  <c r="F187" i="12" s="1"/>
  <c r="E191" i="37"/>
  <c r="G191" i="37" s="1"/>
  <c r="I191" i="37" s="1"/>
  <c r="F197" i="34" s="1"/>
  <c r="F191" i="12" s="1"/>
  <c r="E195" i="37"/>
  <c r="G195" i="37" s="1"/>
  <c r="I195" i="37" s="1"/>
  <c r="F201" i="34" s="1"/>
  <c r="F195" i="12" s="1"/>
  <c r="E199" i="37"/>
  <c r="G199" i="37" s="1"/>
  <c r="I199" i="37" s="1"/>
  <c r="F205" i="34" s="1"/>
  <c r="F199" i="12" s="1"/>
  <c r="E203" i="37"/>
  <c r="G203" i="37" s="1"/>
  <c r="I203" i="37" s="1"/>
  <c r="F209" i="34" s="1"/>
  <c r="F203" i="12" s="1"/>
  <c r="E207" i="37"/>
  <c r="G207" i="37" s="1"/>
  <c r="I207" i="37" s="1"/>
  <c r="F213" i="34" s="1"/>
  <c r="F207" i="12" s="1"/>
  <c r="E211" i="37"/>
  <c r="G211" i="37" s="1"/>
  <c r="I211" i="37" s="1"/>
  <c r="F217" i="34" s="1"/>
  <c r="F211" i="12" s="1"/>
  <c r="E215" i="37"/>
  <c r="G215" i="37" s="1"/>
  <c r="I215" i="37" s="1"/>
  <c r="F221" i="34" s="1"/>
  <c r="F215" i="12" s="1"/>
  <c r="E219" i="37"/>
  <c r="G219" i="37" s="1"/>
  <c r="I219" i="37" s="1"/>
  <c r="F225" i="34" s="1"/>
  <c r="F219" i="12" s="1"/>
  <c r="E223" i="37"/>
  <c r="G223" i="37" s="1"/>
  <c r="I223" i="37" s="1"/>
  <c r="F229" i="34" s="1"/>
  <c r="F223" i="12" s="1"/>
  <c r="E227" i="37"/>
  <c r="G227" i="37" s="1"/>
  <c r="I227" i="37" s="1"/>
  <c r="F233" i="34" s="1"/>
  <c r="F227" i="12" s="1"/>
  <c r="E231" i="37"/>
  <c r="G231" i="37" s="1"/>
  <c r="I231" i="37" s="1"/>
  <c r="F237" i="34" s="1"/>
  <c r="F231" i="12" s="1"/>
  <c r="E235" i="37"/>
  <c r="G235" i="37" s="1"/>
  <c r="I235" i="37" s="1"/>
  <c r="F241" i="34" s="1"/>
  <c r="F235" i="12" s="1"/>
  <c r="E262" i="37"/>
  <c r="G262" i="37" s="1"/>
  <c r="I262" i="37" s="1"/>
  <c r="F268" i="34" s="1"/>
  <c r="F262" i="12" s="1"/>
  <c r="E265" i="37"/>
  <c r="G265" i="37" s="1"/>
  <c r="I265" i="37" s="1"/>
  <c r="F271" i="34" s="1"/>
  <c r="F265" i="12" s="1"/>
  <c r="E270" i="37"/>
  <c r="G270" i="37" s="1"/>
  <c r="I270" i="37" s="1"/>
  <c r="F276" i="34" s="1"/>
  <c r="F270" i="12" s="1"/>
  <c r="E247" i="37"/>
  <c r="G247" i="37" s="1"/>
  <c r="I247" i="37" s="1"/>
  <c r="F253" i="34" s="1"/>
  <c r="F247" i="12" s="1"/>
  <c r="E249" i="37"/>
  <c r="G249" i="37" s="1"/>
  <c r="I249" i="37" s="1"/>
  <c r="F255" i="34" s="1"/>
  <c r="F249" i="12" s="1"/>
  <c r="E253" i="37"/>
  <c r="G253" i="37" s="1"/>
  <c r="I253" i="37" s="1"/>
  <c r="F259" i="34" s="1"/>
  <c r="F253" i="12" s="1"/>
  <c r="E257" i="37"/>
  <c r="G257" i="37" s="1"/>
  <c r="I257" i="37" s="1"/>
  <c r="F263" i="34" s="1"/>
  <c r="F257" i="12" s="1"/>
  <c r="E259" i="37"/>
  <c r="G259" i="37" s="1"/>
  <c r="I259" i="37" s="1"/>
  <c r="F265" i="34" s="1"/>
  <c r="F259" i="12" s="1"/>
  <c r="E267" i="37"/>
  <c r="G267" i="37" s="1"/>
  <c r="I267" i="37" s="1"/>
  <c r="F273" i="34" s="1"/>
  <c r="F267" i="12" s="1"/>
  <c r="E243" i="37"/>
  <c r="G243" i="37" s="1"/>
  <c r="I243" i="37" s="1"/>
  <c r="F249" i="34" s="1"/>
  <c r="F243" i="12" s="1"/>
  <c r="E261" i="37"/>
  <c r="G261" i="37" s="1"/>
  <c r="I261" i="37" s="1"/>
  <c r="F267" i="34" s="1"/>
  <c r="F261" i="12" s="1"/>
  <c r="E266" i="37"/>
  <c r="G266" i="37" s="1"/>
  <c r="I266" i="37" s="1"/>
  <c r="F272" i="34" s="1"/>
  <c r="F266" i="12" s="1"/>
  <c r="E269" i="37"/>
  <c r="G269" i="37" s="1"/>
  <c r="I269" i="37" s="1"/>
  <c r="F275" i="34" s="1"/>
  <c r="F269" i="12" s="1"/>
  <c r="E239" i="37"/>
  <c r="G239" i="37" s="1"/>
  <c r="I239" i="37" s="1"/>
  <c r="F245" i="34" s="1"/>
  <c r="F239" i="12" s="1"/>
  <c r="E263" i="37"/>
  <c r="G263" i="37" s="1"/>
  <c r="I263" i="37" s="1"/>
  <c r="F269" i="34" s="1"/>
  <c r="F263" i="12" s="1"/>
  <c r="E271" i="37"/>
  <c r="G271" i="37" s="1"/>
  <c r="I271" i="37" s="1"/>
  <c r="F277" i="34" s="1"/>
  <c r="F271" i="12" s="1"/>
  <c r="E273" i="37"/>
  <c r="G273" i="37" s="1"/>
  <c r="I273" i="37" s="1"/>
  <c r="F279" i="34" s="1"/>
  <c r="F273" i="12" s="1"/>
  <c r="E275" i="37"/>
  <c r="G275" i="37" s="1"/>
  <c r="I275" i="37" s="1"/>
  <c r="F281" i="34" s="1"/>
  <c r="F275" i="12" s="1"/>
  <c r="E277" i="37"/>
  <c r="G277" i="37" s="1"/>
  <c r="I277" i="37" s="1"/>
  <c r="F283" i="34" s="1"/>
  <c r="F277" i="12" s="1"/>
  <c r="E279" i="37"/>
  <c r="G279" i="37" s="1"/>
  <c r="I279" i="37" s="1"/>
  <c r="F285" i="34" s="1"/>
  <c r="F279" i="12" s="1"/>
  <c r="E281" i="37"/>
  <c r="G281" i="37" s="1"/>
  <c r="I281" i="37" s="1"/>
  <c r="F287" i="34" s="1"/>
  <c r="F281" i="12" s="1"/>
  <c r="E283" i="37"/>
  <c r="G283" i="37" s="1"/>
  <c r="I283" i="37" s="1"/>
  <c r="F289" i="34" s="1"/>
  <c r="F283" i="12" s="1"/>
  <c r="E285" i="37"/>
  <c r="G285" i="37" s="1"/>
  <c r="I285" i="37" s="1"/>
  <c r="F291" i="34" s="1"/>
  <c r="F285" i="12" s="1"/>
  <c r="E287" i="37"/>
  <c r="G287" i="37" s="1"/>
  <c r="I287" i="37" s="1"/>
  <c r="F293" i="34" s="1"/>
  <c r="F287" i="12" s="1"/>
  <c r="E289" i="37"/>
  <c r="G289" i="37" s="1"/>
  <c r="I289" i="37" s="1"/>
  <c r="F295" i="34" s="1"/>
  <c r="F289" i="12" s="1"/>
  <c r="E291" i="37"/>
  <c r="G291" i="37" s="1"/>
  <c r="I291" i="37" s="1"/>
  <c r="F297" i="34" s="1"/>
  <c r="F291" i="12" s="1"/>
  <c r="E293" i="37"/>
  <c r="G293" i="37" s="1"/>
  <c r="I293" i="37" s="1"/>
  <c r="F299" i="34" s="1"/>
  <c r="F293" i="12" s="1"/>
  <c r="E295" i="37"/>
  <c r="G295" i="37" s="1"/>
  <c r="I295" i="37" s="1"/>
  <c r="F301" i="34" s="1"/>
  <c r="F295" i="12" s="1"/>
  <c r="E297" i="37"/>
  <c r="G297" i="37" s="1"/>
  <c r="I297" i="37" s="1"/>
  <c r="F303" i="34" s="1"/>
  <c r="F297" i="12" s="1"/>
  <c r="E299" i="37"/>
  <c r="G299" i="37" s="1"/>
  <c r="I299" i="37" s="1"/>
  <c r="F305" i="34" s="1"/>
  <c r="F299" i="12" s="1"/>
  <c r="E301" i="37"/>
  <c r="G301" i="37" s="1"/>
  <c r="I301" i="37" s="1"/>
  <c r="F307" i="34" s="1"/>
  <c r="F301" i="12" s="1"/>
  <c r="E303" i="37"/>
  <c r="G303" i="37" s="1"/>
  <c r="I303" i="37" s="1"/>
  <c r="F309" i="34" s="1"/>
  <c r="F303" i="12" s="1"/>
  <c r="E305" i="37"/>
  <c r="G305" i="37" s="1"/>
  <c r="I305" i="37" s="1"/>
  <c r="F311" i="34" s="1"/>
  <c r="F305" i="12" s="1"/>
  <c r="E31" i="37"/>
  <c r="G31" i="37" s="1"/>
  <c r="I31" i="37" s="1"/>
  <c r="F37" i="34" s="1"/>
  <c r="F31" i="12" s="1"/>
  <c r="E19" i="37"/>
  <c r="G19" i="37" s="1"/>
  <c r="I19" i="37" s="1"/>
  <c r="F25" i="34" s="1"/>
  <c r="F19" i="12" s="1"/>
  <c r="E27" i="37"/>
  <c r="G27" i="37" s="1"/>
  <c r="I27" i="37" s="1"/>
  <c r="F33" i="34" s="1"/>
  <c r="F27" i="12" s="1"/>
  <c r="E59" i="37"/>
  <c r="G59" i="37" s="1"/>
  <c r="I59" i="37" s="1"/>
  <c r="F65" i="34" s="1"/>
  <c r="F59" i="12" s="1"/>
  <c r="E11" i="37"/>
  <c r="G11" i="37" s="1"/>
  <c r="I11" i="37" s="1"/>
  <c r="F17" i="34" s="1"/>
  <c r="F11" i="12" s="1"/>
  <c r="E35" i="37"/>
  <c r="G35" i="37" s="1"/>
  <c r="I35" i="37" s="1"/>
  <c r="F41" i="34" s="1"/>
  <c r="F35" i="12" s="1"/>
  <c r="E43" i="37"/>
  <c r="G43" i="37" s="1"/>
  <c r="I43" i="37" s="1"/>
  <c r="F49" i="34" s="1"/>
  <c r="F43" i="12" s="1"/>
  <c r="E47" i="37"/>
  <c r="G47" i="37" s="1"/>
  <c r="I47" i="37" s="1"/>
  <c r="F53" i="34" s="1"/>
  <c r="F47" i="12" s="1"/>
  <c r="E55" i="37"/>
  <c r="G55" i="37" s="1"/>
  <c r="I55" i="37" s="1"/>
  <c r="F61" i="34" s="1"/>
  <c r="F55" i="12" s="1"/>
  <c r="E15" i="37"/>
  <c r="G15" i="37" s="1"/>
  <c r="I15" i="37" s="1"/>
  <c r="F21" i="34" s="1"/>
  <c r="F15" i="12" s="1"/>
  <c r="E63" i="37"/>
  <c r="G63" i="37" s="1"/>
  <c r="I63" i="37" s="1"/>
  <c r="F69" i="34" s="1"/>
  <c r="F63" i="12" s="1"/>
  <c r="E51" i="37"/>
  <c r="G51" i="37" s="1"/>
  <c r="I51" i="37" s="1"/>
  <c r="F57" i="34" s="1"/>
  <c r="F51" i="12" s="1"/>
  <c r="E23" i="37"/>
  <c r="G23" i="37" s="1"/>
  <c r="I23" i="37" s="1"/>
  <c r="F29" i="34" s="1"/>
  <c r="F23" i="12" s="1"/>
  <c r="E39" i="37"/>
  <c r="G39" i="37" s="1"/>
  <c r="I39" i="37" s="1"/>
  <c r="F45" i="34" s="1"/>
  <c r="F39" i="12" s="1"/>
  <c r="E302" i="37"/>
  <c r="G302" i="37" s="1"/>
  <c r="I302" i="37" s="1"/>
  <c r="F308" i="34" s="1"/>
  <c r="F302" i="12" s="1"/>
  <c r="E184" i="37"/>
  <c r="G184" i="37" s="1"/>
  <c r="I184" i="37" s="1"/>
  <c r="F190" i="34" s="1"/>
  <c r="F184" i="12" s="1"/>
  <c r="E168" i="37"/>
  <c r="G168" i="37" s="1"/>
  <c r="I168" i="37" s="1"/>
  <c r="F174" i="34" s="1"/>
  <c r="F168" i="12" s="1"/>
  <c r="E246" i="37"/>
  <c r="G246" i="37" s="1"/>
  <c r="I246" i="37" s="1"/>
  <c r="F252" i="34" s="1"/>
  <c r="F246" i="12" s="1"/>
  <c r="E218" i="37"/>
  <c r="G218" i="37" s="1"/>
  <c r="I218" i="37" s="1"/>
  <c r="F224" i="34" s="1"/>
  <c r="F218" i="12" s="1"/>
  <c r="E294" i="37"/>
  <c r="G294" i="37" s="1"/>
  <c r="I294" i="37" s="1"/>
  <c r="F300" i="34" s="1"/>
  <c r="F294" i="12" s="1"/>
  <c r="E152" i="37"/>
  <c r="G152" i="37" s="1"/>
  <c r="I152" i="37" s="1"/>
  <c r="F158" i="34" s="1"/>
  <c r="F152" i="12" s="1"/>
  <c r="E120" i="37"/>
  <c r="G120" i="37" s="1"/>
  <c r="I120" i="37" s="1"/>
  <c r="F126" i="34" s="1"/>
  <c r="F120" i="12" s="1"/>
  <c r="E200" i="37"/>
  <c r="G200" i="37" s="1"/>
  <c r="I200" i="37" s="1"/>
  <c r="F206" i="34" s="1"/>
  <c r="F200" i="12" s="1"/>
  <c r="E112" i="37"/>
  <c r="G112" i="37" s="1"/>
  <c r="I112" i="37" s="1"/>
  <c r="F118" i="34" s="1"/>
  <c r="F112" i="12" s="1"/>
  <c r="E226" i="37"/>
  <c r="G226" i="37" s="1"/>
  <c r="I226" i="37" s="1"/>
  <c r="F232" i="34" s="1"/>
  <c r="F226" i="12" s="1"/>
  <c r="E234" i="37"/>
  <c r="G234" i="37" s="1"/>
  <c r="I234" i="37" s="1"/>
  <c r="F240" i="34" s="1"/>
  <c r="F234" i="12" s="1"/>
  <c r="E298" i="37"/>
  <c r="G298" i="37" s="1"/>
  <c r="I298" i="37" s="1"/>
  <c r="F304" i="34" s="1"/>
  <c r="F298" i="12" s="1"/>
  <c r="E128" i="37"/>
  <c r="G128" i="37" s="1"/>
  <c r="I128" i="37" s="1"/>
  <c r="F134" i="34" s="1"/>
  <c r="F128" i="12" s="1"/>
  <c r="E304" i="37"/>
  <c r="G304" i="37" s="1"/>
  <c r="I304" i="37" s="1"/>
  <c r="F310" i="34" s="1"/>
  <c r="F304" i="12" s="1"/>
  <c r="E296" i="37"/>
  <c r="G296" i="37" s="1"/>
  <c r="I296" i="37" s="1"/>
  <c r="F302" i="34" s="1"/>
  <c r="F296" i="12" s="1"/>
  <c r="E238" i="37"/>
  <c r="G238" i="37" s="1"/>
  <c r="I238" i="37" s="1"/>
  <c r="F244" i="34" s="1"/>
  <c r="F238" i="12" s="1"/>
  <c r="E144" i="37"/>
  <c r="G144" i="37" s="1"/>
  <c r="I144" i="37" s="1"/>
  <c r="F150" i="34" s="1"/>
  <c r="F144" i="12" s="1"/>
  <c r="E230" i="37"/>
  <c r="G230" i="37" s="1"/>
  <c r="I230" i="37" s="1"/>
  <c r="F236" i="34" s="1"/>
  <c r="F230" i="12" s="1"/>
  <c r="E102" i="37"/>
  <c r="G102" i="37" s="1"/>
  <c r="I102" i="37" s="1"/>
  <c r="F108" i="34" s="1"/>
  <c r="F102" i="12" s="1"/>
  <c r="E192" i="37"/>
  <c r="G192" i="37" s="1"/>
  <c r="I192" i="37" s="1"/>
  <c r="F198" i="34" s="1"/>
  <c r="F192" i="12" s="1"/>
  <c r="E300" i="37"/>
  <c r="G300" i="37" s="1"/>
  <c r="I300" i="37" s="1"/>
  <c r="F306" i="34" s="1"/>
  <c r="F300" i="12" s="1"/>
  <c r="E136" i="37"/>
  <c r="G136" i="37" s="1"/>
  <c r="I136" i="37" s="1"/>
  <c r="F142" i="34" s="1"/>
  <c r="F136" i="12" s="1"/>
  <c r="E176" i="37"/>
  <c r="G176" i="37" s="1"/>
  <c r="I176" i="37" s="1"/>
  <c r="F182" i="34" s="1"/>
  <c r="F176" i="12" s="1"/>
  <c r="E7" i="37"/>
  <c r="G7" i="37" s="1"/>
  <c r="I7" i="37" s="1"/>
  <c r="F13" i="34" s="1"/>
  <c r="F7" i="12" s="1"/>
  <c r="E110" i="37"/>
  <c r="G110" i="37" s="1"/>
  <c r="I110" i="37" s="1"/>
  <c r="F116" i="34" s="1"/>
  <c r="F110" i="12" s="1"/>
  <c r="E64" i="37"/>
  <c r="G64" i="37" s="1"/>
  <c r="I64" i="37" s="1"/>
  <c r="F70" i="34" s="1"/>
  <c r="F64" i="12" s="1"/>
  <c r="E250" i="37"/>
  <c r="G250" i="37" s="1"/>
  <c r="I250" i="37" s="1"/>
  <c r="F256" i="34" s="1"/>
  <c r="F250" i="12" s="1"/>
  <c r="E288" i="37"/>
  <c r="G288" i="37" s="1"/>
  <c r="I288" i="37" s="1"/>
  <c r="F294" i="34" s="1"/>
  <c r="F288" i="12" s="1"/>
  <c r="E180" i="37"/>
  <c r="G180" i="37" s="1"/>
  <c r="I180" i="37" s="1"/>
  <c r="F186" i="34" s="1"/>
  <c r="F180" i="12" s="1"/>
  <c r="E48" i="37"/>
  <c r="G48" i="37" s="1"/>
  <c r="I48" i="37" s="1"/>
  <c r="F54" i="34" s="1"/>
  <c r="F48" i="12" s="1"/>
  <c r="E148" i="37"/>
  <c r="G148" i="37" s="1"/>
  <c r="I148" i="37" s="1"/>
  <c r="F154" i="34" s="1"/>
  <c r="F148" i="12" s="1"/>
  <c r="E140" i="37"/>
  <c r="G140" i="37" s="1"/>
  <c r="I140" i="37" s="1"/>
  <c r="F146" i="34" s="1"/>
  <c r="F140" i="12" s="1"/>
  <c r="E68" i="37"/>
  <c r="G68" i="37" s="1"/>
  <c r="I68" i="37" s="1"/>
  <c r="F74" i="34" s="1"/>
  <c r="F68" i="12" s="1"/>
  <c r="E24" i="37"/>
  <c r="G24" i="37" s="1"/>
  <c r="I24" i="37" s="1"/>
  <c r="F30" i="34" s="1"/>
  <c r="F24" i="12" s="1"/>
  <c r="E72" i="37"/>
  <c r="G72" i="37" s="1"/>
  <c r="I72" i="37" s="1"/>
  <c r="F78" i="34" s="1"/>
  <c r="F72" i="12" s="1"/>
  <c r="E106" i="37"/>
  <c r="G106" i="37" s="1"/>
  <c r="I106" i="37" s="1"/>
  <c r="F112" i="34" s="1"/>
  <c r="F106" i="12" s="1"/>
  <c r="E282" i="37"/>
  <c r="G282" i="37" s="1"/>
  <c r="I282" i="37" s="1"/>
  <c r="F288" i="34" s="1"/>
  <c r="F282" i="12" s="1"/>
  <c r="E36" i="37"/>
  <c r="G36" i="37" s="1"/>
  <c r="I36" i="37" s="1"/>
  <c r="F42" i="34" s="1"/>
  <c r="F36" i="12" s="1"/>
  <c r="E208" i="37"/>
  <c r="G208" i="37" s="1"/>
  <c r="I208" i="37" s="1"/>
  <c r="F214" i="34" s="1"/>
  <c r="F208" i="12" s="1"/>
  <c r="E98" i="37"/>
  <c r="G98" i="37" s="1"/>
  <c r="I98" i="37" s="1"/>
  <c r="F104" i="34" s="1"/>
  <c r="F98" i="12" s="1"/>
  <c r="E194" i="37"/>
  <c r="G194" i="37" s="1"/>
  <c r="I194" i="37" s="1"/>
  <c r="F200" i="34" s="1"/>
  <c r="F194" i="12" s="1"/>
  <c r="E158" i="37"/>
  <c r="G158" i="37" s="1"/>
  <c r="I158" i="37" s="1"/>
  <c r="F164" i="34" s="1"/>
  <c r="F158" i="12" s="1"/>
  <c r="E116" i="37"/>
  <c r="G116" i="37" s="1"/>
  <c r="I116" i="37" s="1"/>
  <c r="F122" i="34" s="1"/>
  <c r="F116" i="12" s="1"/>
  <c r="E172" i="37"/>
  <c r="G172" i="37" s="1"/>
  <c r="I172" i="37" s="1"/>
  <c r="F178" i="34" s="1"/>
  <c r="F172" i="12" s="1"/>
  <c r="E132" i="37"/>
  <c r="G132" i="37" s="1"/>
  <c r="I132" i="37" s="1"/>
  <c r="F138" i="34" s="1"/>
  <c r="F132" i="12" s="1"/>
  <c r="E220" i="37"/>
  <c r="G220" i="37" s="1"/>
  <c r="I220" i="37" s="1"/>
  <c r="F226" i="34" s="1"/>
  <c r="F220" i="12" s="1"/>
  <c r="E142" i="37"/>
  <c r="G142" i="37" s="1"/>
  <c r="I142" i="37" s="1"/>
  <c r="F148" i="34" s="1"/>
  <c r="F142" i="12" s="1"/>
  <c r="E134" i="37"/>
  <c r="G134" i="37" s="1"/>
  <c r="I134" i="37" s="1"/>
  <c r="F140" i="34" s="1"/>
  <c r="F134" i="12" s="1"/>
  <c r="E174" i="37"/>
  <c r="G174" i="37" s="1"/>
  <c r="I174" i="37" s="1"/>
  <c r="F180" i="34" s="1"/>
  <c r="F174" i="12" s="1"/>
  <c r="E154" i="37"/>
  <c r="G154" i="37" s="1"/>
  <c r="I154" i="37" s="1"/>
  <c r="F160" i="34" s="1"/>
  <c r="F154" i="12" s="1"/>
  <c r="E255" i="37"/>
  <c r="G255" i="37" s="1"/>
  <c r="I255" i="37" s="1"/>
  <c r="F261" i="34" s="1"/>
  <c r="F255" i="12" s="1"/>
  <c r="E274" i="37"/>
  <c r="G274" i="37" s="1"/>
  <c r="I274" i="37" s="1"/>
  <c r="F280" i="34" s="1"/>
  <c r="F274" i="12" s="1"/>
  <c r="E124" i="37"/>
  <c r="G124" i="37" s="1"/>
  <c r="I124" i="37" s="1"/>
  <c r="F130" i="34" s="1"/>
  <c r="F124" i="12" s="1"/>
  <c r="E190" i="37"/>
  <c r="G190" i="37" s="1"/>
  <c r="I190" i="37" s="1"/>
  <c r="F196" i="34" s="1"/>
  <c r="F190" i="12" s="1"/>
  <c r="E216" i="37"/>
  <c r="G216" i="37" s="1"/>
  <c r="I216" i="37" s="1"/>
  <c r="F222" i="34" s="1"/>
  <c r="F216" i="12" s="1"/>
  <c r="E84" i="37"/>
  <c r="G84" i="37" s="1"/>
  <c r="I84" i="37" s="1"/>
  <c r="F90" i="34" s="1"/>
  <c r="F84" i="12" s="1"/>
  <c r="E224" i="37"/>
  <c r="G224" i="37" s="1"/>
  <c r="I224" i="37" s="1"/>
  <c r="F230" i="34" s="1"/>
  <c r="F224" i="12" s="1"/>
  <c r="E80" i="37"/>
  <c r="G80" i="37" s="1"/>
  <c r="I80" i="37" s="1"/>
  <c r="F86" i="34" s="1"/>
  <c r="F80" i="12" s="1"/>
  <c r="E268" i="37"/>
  <c r="G268" i="37" s="1"/>
  <c r="I268" i="37" s="1"/>
  <c r="F274" i="34" s="1"/>
  <c r="F268" i="12" s="1"/>
  <c r="E118" i="37"/>
  <c r="G118" i="37" s="1"/>
  <c r="I118" i="37" s="1"/>
  <c r="F124" i="34" s="1"/>
  <c r="F118" i="12" s="1"/>
  <c r="E210" i="37"/>
  <c r="G210" i="37" s="1"/>
  <c r="I210" i="37" s="1"/>
  <c r="F216" i="34" s="1"/>
  <c r="F210" i="12" s="1"/>
  <c r="E130" i="37"/>
  <c r="G130" i="37" s="1"/>
  <c r="I130" i="37" s="1"/>
  <c r="F136" i="34" s="1"/>
  <c r="F130" i="12" s="1"/>
  <c r="E122" i="37"/>
  <c r="G122" i="37" s="1"/>
  <c r="I122" i="37" s="1"/>
  <c r="F128" i="34" s="1"/>
  <c r="F122" i="12" s="1"/>
  <c r="E94" i="37"/>
  <c r="G94" i="37" s="1"/>
  <c r="I94" i="37" s="1"/>
  <c r="F100" i="34" s="1"/>
  <c r="F94" i="12" s="1"/>
  <c r="E138" i="37"/>
  <c r="G138" i="37" s="1"/>
  <c r="I138" i="37" s="1"/>
  <c r="F144" i="34" s="1"/>
  <c r="F138" i="12" s="1"/>
  <c r="E52" i="37"/>
  <c r="G52" i="37" s="1"/>
  <c r="I52" i="37" s="1"/>
  <c r="F58" i="34" s="1"/>
  <c r="F52" i="12" s="1"/>
  <c r="E290" i="37"/>
  <c r="G290" i="37" s="1"/>
  <c r="I290" i="37" s="1"/>
  <c r="F296" i="34" s="1"/>
  <c r="F290" i="12" s="1"/>
  <c r="E88" i="37"/>
  <c r="G88" i="37" s="1"/>
  <c r="I88" i="37" s="1"/>
  <c r="F94" i="34" s="1"/>
  <c r="F88" i="12" s="1"/>
  <c r="E162" i="37"/>
  <c r="G162" i="37" s="1"/>
  <c r="I162" i="37" s="1"/>
  <c r="F168" i="34" s="1"/>
  <c r="F162" i="12" s="1"/>
  <c r="E256" i="37"/>
  <c r="G256" i="37" s="1"/>
  <c r="I256" i="37" s="1"/>
  <c r="F262" i="34" s="1"/>
  <c r="F256" i="12" s="1"/>
  <c r="E91" i="37"/>
  <c r="G91" i="37" s="1"/>
  <c r="I91" i="37" s="1"/>
  <c r="F97" i="34" s="1"/>
  <c r="F91" i="12" s="1"/>
  <c r="E166" i="37"/>
  <c r="G166" i="37" s="1"/>
  <c r="I166" i="37" s="1"/>
  <c r="F172" i="34" s="1"/>
  <c r="F166" i="12" s="1"/>
  <c r="E8" i="37"/>
  <c r="G8" i="37" s="1"/>
  <c r="I8" i="37" s="1"/>
  <c r="F14" i="34" s="1"/>
  <c r="F8" i="12" s="1"/>
  <c r="E272" i="37"/>
  <c r="G272" i="37" s="1"/>
  <c r="I272" i="37" s="1"/>
  <c r="F278" i="34" s="1"/>
  <c r="F272" i="12" s="1"/>
  <c r="E100" i="37"/>
  <c r="G100" i="37" s="1"/>
  <c r="I100" i="37" s="1"/>
  <c r="F106" i="34" s="1"/>
  <c r="F100" i="12" s="1"/>
  <c r="E202" i="37"/>
  <c r="G202" i="37" s="1"/>
  <c r="I202" i="37" s="1"/>
  <c r="F208" i="34" s="1"/>
  <c r="F202" i="12" s="1"/>
  <c r="E60" i="37"/>
  <c r="G60" i="37" s="1"/>
  <c r="I60" i="37" s="1"/>
  <c r="F66" i="34" s="1"/>
  <c r="F60" i="12" s="1"/>
  <c r="E206" i="37"/>
  <c r="G206" i="37" s="1"/>
  <c r="I206" i="37" s="1"/>
  <c r="F212" i="34" s="1"/>
  <c r="F206" i="12" s="1"/>
  <c r="E252" i="37"/>
  <c r="G252" i="37" s="1"/>
  <c r="I252" i="37" s="1"/>
  <c r="F258" i="34" s="1"/>
  <c r="F252" i="12" s="1"/>
  <c r="E126" i="37"/>
  <c r="G126" i="37" s="1"/>
  <c r="I126" i="37" s="1"/>
  <c r="F132" i="34" s="1"/>
  <c r="F126" i="12" s="1"/>
  <c r="E32" i="37"/>
  <c r="G32" i="37" s="1"/>
  <c r="I32" i="37" s="1"/>
  <c r="F38" i="34" s="1"/>
  <c r="F32" i="12" s="1"/>
  <c r="E292" i="37"/>
  <c r="G292" i="37" s="1"/>
  <c r="I292" i="37" s="1"/>
  <c r="F298" i="34" s="1"/>
  <c r="F292" i="12" s="1"/>
  <c r="E248" i="37"/>
  <c r="G248" i="37" s="1"/>
  <c r="I248" i="37" s="1"/>
  <c r="F254" i="34" s="1"/>
  <c r="F248" i="12" s="1"/>
  <c r="E164" i="37"/>
  <c r="G164" i="37" s="1"/>
  <c r="I164" i="37" s="1"/>
  <c r="F170" i="34" s="1"/>
  <c r="F164" i="12" s="1"/>
  <c r="E232" i="37"/>
  <c r="G232" i="37" s="1"/>
  <c r="I232" i="37" s="1"/>
  <c r="F238" i="34" s="1"/>
  <c r="F232" i="12" s="1"/>
  <c r="E178" i="37"/>
  <c r="G178" i="37" s="1"/>
  <c r="I178" i="37" s="1"/>
  <c r="F184" i="34" s="1"/>
  <c r="F178" i="12" s="1"/>
  <c r="E240" i="37"/>
  <c r="G240" i="37" s="1"/>
  <c r="I240" i="37" s="1"/>
  <c r="F246" i="34" s="1"/>
  <c r="F240" i="12" s="1"/>
  <c r="E196" i="37"/>
  <c r="G196" i="37" s="1"/>
  <c r="I196" i="37" s="1"/>
  <c r="F202" i="34" s="1"/>
  <c r="F196" i="12" s="1"/>
  <c r="E260" i="37"/>
  <c r="G260" i="37" s="1"/>
  <c r="I260" i="37" s="1"/>
  <c r="F266" i="34" s="1"/>
  <c r="F260" i="12" s="1"/>
  <c r="E16" i="37"/>
  <c r="G16" i="37" s="1"/>
  <c r="I16" i="37" s="1"/>
  <c r="F22" i="34" s="1"/>
  <c r="F16" i="12" s="1"/>
  <c r="E96" i="37"/>
  <c r="G96" i="37" s="1"/>
  <c r="I96" i="37" s="1"/>
  <c r="F102" i="34" s="1"/>
  <c r="F96" i="12" s="1"/>
  <c r="E254" i="37"/>
  <c r="G254" i="37" s="1"/>
  <c r="I254" i="37" s="1"/>
  <c r="F260" i="34" s="1"/>
  <c r="F254" i="12" s="1"/>
  <c r="E108" i="37"/>
  <c r="G108" i="37" s="1"/>
  <c r="I108" i="37" s="1"/>
  <c r="F114" i="34" s="1"/>
  <c r="F108" i="12" s="1"/>
  <c r="E276" i="37"/>
  <c r="G276" i="37" s="1"/>
  <c r="I276" i="37" s="1"/>
  <c r="F282" i="34" s="1"/>
  <c r="F276" i="12" s="1"/>
  <c r="E186" i="37"/>
  <c r="G186" i="37" s="1"/>
  <c r="I186" i="37" s="1"/>
  <c r="F192" i="34" s="1"/>
  <c r="F186" i="12" s="1"/>
  <c r="E212" i="37"/>
  <c r="G212" i="37" s="1"/>
  <c r="I212" i="37" s="1"/>
  <c r="F218" i="34" s="1"/>
  <c r="F212" i="12" s="1"/>
  <c r="E12" i="37"/>
  <c r="G12" i="37" s="1"/>
  <c r="I12" i="37" s="1"/>
  <c r="F18" i="34" s="1"/>
  <c r="F12" i="12" s="1"/>
  <c r="E286" i="37"/>
  <c r="G286" i="37" s="1"/>
  <c r="I286" i="37" s="1"/>
  <c r="F292" i="34" s="1"/>
  <c r="F286" i="12" s="1"/>
  <c r="E188" i="37"/>
  <c r="G188" i="37" s="1"/>
  <c r="I188" i="37" s="1"/>
  <c r="F194" i="34" s="1"/>
  <c r="F188" i="12" s="1"/>
  <c r="E228" i="37"/>
  <c r="G228" i="37" s="1"/>
  <c r="I228" i="37" s="1"/>
  <c r="F234" i="34" s="1"/>
  <c r="F228" i="12" s="1"/>
  <c r="E44" i="37"/>
  <c r="G44" i="37" s="1"/>
  <c r="I44" i="37" s="1"/>
  <c r="F50" i="34" s="1"/>
  <c r="F44" i="12" s="1"/>
  <c r="E264" i="37"/>
  <c r="G264" i="37" s="1"/>
  <c r="I264" i="37" s="1"/>
  <c r="F270" i="34" s="1"/>
  <c r="F264" i="12" s="1"/>
  <c r="E76" i="37"/>
  <c r="G76" i="37" s="1"/>
  <c r="I76" i="37" s="1"/>
  <c r="F82" i="34" s="1"/>
  <c r="F76" i="12" s="1"/>
  <c r="E87" i="37"/>
  <c r="G87" i="37" s="1"/>
  <c r="I87" i="37" s="1"/>
  <c r="F93" i="34" s="1"/>
  <c r="F87" i="12" s="1"/>
  <c r="E79" i="37"/>
  <c r="G79" i="37" s="1"/>
  <c r="I79" i="37" s="1"/>
  <c r="F85" i="34" s="1"/>
  <c r="F79" i="12" s="1"/>
  <c r="E150" i="37"/>
  <c r="G150" i="37" s="1"/>
  <c r="I150" i="37" s="1"/>
  <c r="F156" i="34" s="1"/>
  <c r="F150" i="12" s="1"/>
  <c r="E40" i="37"/>
  <c r="G40" i="37" s="1"/>
  <c r="I40" i="37" s="1"/>
  <c r="F46" i="34" s="1"/>
  <c r="F40" i="12" s="1"/>
  <c r="E236" i="37"/>
  <c r="G236" i="37" s="1"/>
  <c r="I236" i="37" s="1"/>
  <c r="F242" i="34" s="1"/>
  <c r="F236" i="12" s="1"/>
  <c r="E198" i="37"/>
  <c r="G198" i="37" s="1"/>
  <c r="I198" i="37" s="1"/>
  <c r="F204" i="34" s="1"/>
  <c r="F198" i="12" s="1"/>
  <c r="E92" i="37"/>
  <c r="G92" i="37" s="1"/>
  <c r="I92" i="37" s="1"/>
  <c r="F98" i="34" s="1"/>
  <c r="F92" i="12" s="1"/>
  <c r="E146" i="37"/>
  <c r="G146" i="37" s="1"/>
  <c r="I146" i="37" s="1"/>
  <c r="F152" i="34" s="1"/>
  <c r="F146" i="12" s="1"/>
  <c r="E244" i="37"/>
  <c r="G244" i="37" s="1"/>
  <c r="I244" i="37" s="1"/>
  <c r="F250" i="34" s="1"/>
  <c r="F244" i="12" s="1"/>
  <c r="E284" i="37"/>
  <c r="G284" i="37" s="1"/>
  <c r="I284" i="37" s="1"/>
  <c r="F290" i="34" s="1"/>
  <c r="F284" i="12" s="1"/>
  <c r="E182" i="37"/>
  <c r="G182" i="37" s="1"/>
  <c r="I182" i="37" s="1"/>
  <c r="F188" i="34" s="1"/>
  <c r="F182" i="12" s="1"/>
  <c r="E71" i="37"/>
  <c r="G71" i="37" s="1"/>
  <c r="I71" i="37" s="1"/>
  <c r="F77" i="34" s="1"/>
  <c r="F71" i="12" s="1"/>
  <c r="E222" i="37"/>
  <c r="G222" i="37" s="1"/>
  <c r="I222" i="37" s="1"/>
  <c r="F228" i="34" s="1"/>
  <c r="F222" i="12" s="1"/>
  <c r="E114" i="37"/>
  <c r="G114" i="37" s="1"/>
  <c r="I114" i="37" s="1"/>
  <c r="F120" i="34" s="1"/>
  <c r="F114" i="12" s="1"/>
  <c r="E214" i="37"/>
  <c r="G214" i="37" s="1"/>
  <c r="I214" i="37" s="1"/>
  <c r="F220" i="34" s="1"/>
  <c r="F214" i="12" s="1"/>
  <c r="E28" i="37"/>
  <c r="G28" i="37" s="1"/>
  <c r="I28" i="37" s="1"/>
  <c r="F34" i="34" s="1"/>
  <c r="F28" i="12" s="1"/>
  <c r="E278" i="37"/>
  <c r="G278" i="37" s="1"/>
  <c r="I278" i="37" s="1"/>
  <c r="F284" i="34" s="1"/>
  <c r="F278" i="12" s="1"/>
  <c r="E20" i="37"/>
  <c r="G20" i="37" s="1"/>
  <c r="I20" i="37" s="1"/>
  <c r="F26" i="34" s="1"/>
  <c r="F20" i="12" s="1"/>
  <c r="E56" i="37"/>
  <c r="G56" i="37" s="1"/>
  <c r="I56" i="37" s="1"/>
  <c r="F62" i="34" s="1"/>
  <c r="F56" i="12" s="1"/>
  <c r="E104" i="37"/>
  <c r="G104" i="37" s="1"/>
  <c r="I104" i="37" s="1"/>
  <c r="F110" i="34" s="1"/>
  <c r="F104" i="12" s="1"/>
  <c r="E170" i="37"/>
  <c r="G170" i="37" s="1"/>
  <c r="I170" i="37" s="1"/>
  <c r="F176" i="34" s="1"/>
  <c r="F170" i="12" s="1"/>
  <c r="E204" i="37"/>
  <c r="G204" i="37" s="1"/>
  <c r="I204" i="37" s="1"/>
  <c r="F210" i="34" s="1"/>
  <c r="F204" i="12" s="1"/>
  <c r="E280" i="37"/>
  <c r="G280" i="37" s="1"/>
  <c r="I280" i="37" s="1"/>
  <c r="F286" i="34" s="1"/>
  <c r="F280" i="12" s="1"/>
  <c r="E251" i="37"/>
  <c r="G251" i="37" s="1"/>
  <c r="I251" i="37" s="1"/>
  <c r="F257" i="34" s="1"/>
  <c r="F251" i="12" s="1"/>
  <c r="E242" i="37"/>
  <c r="G242" i="37" s="1"/>
  <c r="I242" i="37" s="1"/>
  <c r="F248" i="34" s="1"/>
  <c r="F242" i="12" s="1"/>
  <c r="G8" i="33"/>
  <c r="G18" i="33"/>
  <c r="G34" i="33"/>
  <c r="G26" i="33"/>
  <c r="G42" i="33"/>
  <c r="G68" i="33"/>
  <c r="G72" i="33"/>
  <c r="G92" i="33"/>
  <c r="G100" i="33"/>
  <c r="G108" i="33"/>
  <c r="G196" i="33"/>
  <c r="G169" i="33"/>
  <c r="G134" i="33"/>
  <c r="G163" i="33"/>
  <c r="G214" i="33"/>
  <c r="G208" i="33"/>
  <c r="G118" i="33"/>
  <c r="G297" i="33"/>
  <c r="G305" i="33"/>
  <c r="G222" i="33"/>
  <c r="G302" i="33"/>
  <c r="G269" i="33"/>
  <c r="G266" i="33"/>
  <c r="G252" i="33"/>
  <c r="G248" i="33"/>
  <c r="G236" i="33"/>
  <c r="G218" i="33"/>
  <c r="G185" i="33"/>
  <c r="G246" i="33"/>
  <c r="G301" i="33"/>
  <c r="G293" i="33"/>
  <c r="G272" i="33"/>
  <c r="G262" i="33"/>
  <c r="G128" i="33"/>
  <c r="G124" i="33"/>
  <c r="G291" i="33"/>
  <c r="G275" i="33"/>
  <c r="G259" i="33"/>
  <c r="G247" i="33"/>
  <c r="G239" i="33"/>
  <c r="G231" i="33"/>
  <c r="G223" i="33"/>
  <c r="G215" i="33"/>
  <c r="G206" i="33"/>
  <c r="G184" i="33"/>
  <c r="G171" i="33"/>
  <c r="G167" i="33"/>
  <c r="G154" i="33"/>
  <c r="G115" i="33"/>
  <c r="G99" i="33"/>
  <c r="G130" i="33"/>
  <c r="G104" i="33"/>
  <c r="G88" i="33"/>
  <c r="G74" i="33"/>
  <c r="G176" i="33"/>
  <c r="G148" i="33"/>
  <c r="G123" i="33"/>
  <c r="G121" i="33"/>
  <c r="G116" i="33"/>
  <c r="G102" i="33"/>
  <c r="G191" i="33"/>
  <c r="G175" i="33"/>
  <c r="G159" i="33"/>
  <c r="G150" i="33"/>
  <c r="G131" i="33"/>
  <c r="G97" i="33"/>
  <c r="G57" i="33"/>
  <c r="G59" i="33"/>
  <c r="G125" i="33"/>
  <c r="G117" i="33"/>
  <c r="G109" i="33"/>
  <c r="G101" i="33"/>
  <c r="G81" i="33"/>
  <c r="G76" i="33"/>
  <c r="G75" i="33"/>
  <c r="G290" i="33"/>
  <c r="G276" i="33"/>
  <c r="G268" i="33"/>
  <c r="G261" i="33"/>
  <c r="G258" i="33"/>
  <c r="G225" i="33"/>
  <c r="G295" i="33"/>
  <c r="G244" i="33"/>
  <c r="G233" i="33"/>
  <c r="G230" i="33"/>
  <c r="G289" i="33"/>
  <c r="G286" i="33"/>
  <c r="G265" i="33"/>
  <c r="G264" i="33"/>
  <c r="G254" i="33"/>
  <c r="G228" i="33"/>
  <c r="G177" i="33"/>
  <c r="G129" i="33"/>
  <c r="G210" i="33"/>
  <c r="G205" i="33"/>
  <c r="G165" i="33"/>
  <c r="G144" i="33"/>
  <c r="G140" i="33"/>
  <c r="G91" i="33"/>
  <c r="G211" i="33"/>
  <c r="G279" i="33"/>
  <c r="G263" i="33"/>
  <c r="G201" i="33"/>
  <c r="G195" i="33"/>
  <c r="G172" i="33"/>
  <c r="G157" i="33"/>
  <c r="G152" i="33"/>
  <c r="G149" i="33"/>
  <c r="G219" i="33"/>
  <c r="G198" i="33"/>
  <c r="G142" i="33"/>
  <c r="G113" i="33"/>
  <c r="G197" i="33"/>
  <c r="G164" i="33"/>
  <c r="G153" i="33"/>
  <c r="G139" i="33"/>
  <c r="G192" i="33"/>
  <c r="G132" i="33"/>
  <c r="G89" i="33"/>
  <c r="G61" i="33"/>
  <c r="G32" i="33"/>
  <c r="G143" i="33"/>
  <c r="G135" i="33"/>
  <c r="G106" i="33"/>
  <c r="G54" i="33"/>
  <c r="G49" i="33"/>
  <c r="G38" i="33"/>
  <c r="G66" i="33"/>
  <c r="G44" i="33"/>
  <c r="G84" i="33"/>
  <c r="G78" i="33"/>
  <c r="G48" i="33"/>
  <c r="G36" i="33"/>
  <c r="G46" i="33"/>
  <c r="G12" i="33"/>
  <c r="G43" i="33"/>
  <c r="G299" i="33"/>
  <c r="G224" i="33"/>
  <c r="G285" i="33"/>
  <c r="G284" i="33"/>
  <c r="G277" i="33"/>
  <c r="G274" i="33"/>
  <c r="G260" i="33"/>
  <c r="G237" i="33"/>
  <c r="G234" i="33"/>
  <c r="G303" i="33"/>
  <c r="G257" i="33"/>
  <c r="G245" i="33"/>
  <c r="G217" i="33"/>
  <c r="G186" i="33"/>
  <c r="G181" i="33"/>
  <c r="G283" i="33"/>
  <c r="G251" i="33"/>
  <c r="G235" i="33"/>
  <c r="G200" i="33"/>
  <c r="G179" i="33"/>
  <c r="G156" i="33"/>
  <c r="G120" i="33"/>
  <c r="G160" i="33"/>
  <c r="G122" i="33"/>
  <c r="G69" i="33"/>
  <c r="G93" i="33"/>
  <c r="G70" i="33"/>
  <c r="G53" i="33"/>
  <c r="G22" i="33"/>
  <c r="G77" i="33"/>
  <c r="G73" i="33"/>
  <c r="G27" i="33"/>
  <c r="G39" i="33"/>
  <c r="G23" i="33"/>
  <c r="G17" i="33"/>
  <c r="G15" i="33"/>
  <c r="G288" i="33"/>
  <c r="G110" i="33"/>
  <c r="G213" i="33"/>
  <c r="G138" i="33"/>
  <c r="G60" i="33"/>
  <c r="G242" i="33"/>
  <c r="G250" i="33"/>
  <c r="G240" i="33"/>
  <c r="G168" i="33"/>
  <c r="G189" i="33"/>
  <c r="G180" i="33"/>
  <c r="G151" i="33"/>
  <c r="G209" i="33"/>
  <c r="G202" i="33"/>
  <c r="G127" i="33"/>
  <c r="G65" i="33"/>
  <c r="G62" i="33"/>
  <c r="G10" i="33"/>
  <c r="G40" i="33"/>
  <c r="G24" i="33"/>
  <c r="G33" i="33"/>
  <c r="G294" i="33"/>
  <c r="G282" i="33"/>
  <c r="G238" i="33"/>
  <c r="G249" i="33"/>
  <c r="G232" i="33"/>
  <c r="G241" i="33"/>
  <c r="G281" i="33"/>
  <c r="G280" i="33"/>
  <c r="G273" i="33"/>
  <c r="G270" i="33"/>
  <c r="G256" i="33"/>
  <c r="G212" i="33"/>
  <c r="G173" i="33"/>
  <c r="G112" i="33"/>
  <c r="G271" i="33"/>
  <c r="G203" i="33"/>
  <c r="G187" i="33"/>
  <c r="G133" i="33"/>
  <c r="G126" i="33"/>
  <c r="G216" i="33"/>
  <c r="G136" i="33"/>
  <c r="G80" i="33"/>
  <c r="G96" i="33"/>
  <c r="G141" i="33"/>
  <c r="G94" i="33"/>
  <c r="G162" i="33"/>
  <c r="G71" i="33"/>
  <c r="G58" i="33"/>
  <c r="G82" i="33"/>
  <c r="G63" i="33"/>
  <c r="G28" i="33"/>
  <c r="G19" i="33"/>
  <c r="G41" i="33"/>
  <c r="G25" i="33"/>
  <c r="G292" i="33"/>
  <c r="G253" i="33"/>
  <c r="G220" i="33"/>
  <c r="G278" i="33"/>
  <c r="G267" i="33"/>
  <c r="G243" i="33"/>
  <c r="G227" i="33"/>
  <c r="G183" i="33"/>
  <c r="G170" i="33"/>
  <c r="G178" i="33"/>
  <c r="G147" i="33"/>
  <c r="G105" i="33"/>
  <c r="G64" i="33"/>
  <c r="G90" i="33"/>
  <c r="G16" i="33"/>
  <c r="G50" i="33"/>
  <c r="G52" i="33"/>
  <c r="G35" i="33"/>
  <c r="G31" i="33"/>
  <c r="G9" i="33"/>
  <c r="G221" i="33"/>
  <c r="G298" i="33"/>
  <c r="G229" i="33"/>
  <c r="G226" i="33"/>
  <c r="G155" i="33"/>
  <c r="G188" i="33"/>
  <c r="G107" i="33"/>
  <c r="G287" i="33"/>
  <c r="G255" i="33"/>
  <c r="G204" i="33"/>
  <c r="G146" i="33"/>
  <c r="G114" i="33"/>
  <c r="G194" i="33"/>
  <c r="G51" i="33"/>
  <c r="G98" i="33"/>
  <c r="G85" i="33"/>
  <c r="G55" i="33"/>
  <c r="G20" i="33"/>
  <c r="G30" i="33"/>
  <c r="G14" i="33"/>
  <c r="G45" i="33"/>
  <c r="G13" i="33"/>
  <c r="G86" i="33"/>
  <c r="G137" i="33"/>
  <c r="G21" i="33"/>
  <c r="G145" i="33"/>
  <c r="G29" i="33"/>
  <c r="G193" i="33"/>
  <c r="G67" i="33"/>
  <c r="G182" i="33"/>
  <c r="G300" i="33"/>
  <c r="G174" i="33"/>
  <c r="G207" i="33"/>
  <c r="G37" i="33"/>
  <c r="G87" i="33"/>
  <c r="G199" i="33"/>
  <c r="G83" i="33"/>
  <c r="G7" i="33"/>
  <c r="G103" i="33"/>
  <c r="G79" i="33"/>
  <c r="G95" i="33"/>
  <c r="G166" i="33"/>
  <c r="G296" i="33"/>
  <c r="G161" i="33"/>
  <c r="G47" i="33"/>
  <c r="G158" i="33"/>
  <c r="G304" i="33"/>
  <c r="G190" i="33"/>
  <c r="G11" i="33"/>
  <c r="G119" i="33"/>
  <c r="G111" i="33"/>
  <c r="G56" i="33"/>
  <c r="I9" i="33"/>
  <c r="I49" i="33"/>
  <c r="I46" i="33"/>
  <c r="I24" i="33"/>
  <c r="I40" i="33"/>
  <c r="I50" i="33"/>
  <c r="I66" i="33"/>
  <c r="I82" i="33"/>
  <c r="I89" i="33"/>
  <c r="I93" i="33"/>
  <c r="I97" i="33"/>
  <c r="I101" i="33"/>
  <c r="I105" i="33"/>
  <c r="I70" i="33"/>
  <c r="I150" i="33"/>
  <c r="I159" i="33"/>
  <c r="I175" i="33"/>
  <c r="I191" i="33"/>
  <c r="I90" i="33"/>
  <c r="I243" i="33"/>
  <c r="I255" i="33"/>
  <c r="I287" i="33"/>
  <c r="I98" i="33"/>
  <c r="I202" i="33"/>
  <c r="I106" i="33"/>
  <c r="I116" i="33"/>
  <c r="I132" i="33"/>
  <c r="I148" i="33"/>
  <c r="I167" i="33"/>
  <c r="I254" i="33"/>
  <c r="I258" i="33"/>
  <c r="I262" i="33"/>
  <c r="I266" i="33"/>
  <c r="I270" i="33"/>
  <c r="I274" i="33"/>
  <c r="I278" i="33"/>
  <c r="I282" i="33"/>
  <c r="I286" i="33"/>
  <c r="I290" i="33"/>
  <c r="I294" i="33"/>
  <c r="I298" i="33"/>
  <c r="I302" i="33"/>
  <c r="I152" i="33"/>
  <c r="I183" i="33"/>
  <c r="I210" i="33"/>
  <c r="I223" i="33"/>
  <c r="I251" i="33"/>
  <c r="I275" i="33"/>
  <c r="I295" i="33"/>
  <c r="I303" i="33"/>
  <c r="I242" i="33"/>
  <c r="I293" i="33"/>
  <c r="I285" i="33"/>
  <c r="I284" i="33"/>
  <c r="I277" i="33"/>
  <c r="I252" i="33"/>
  <c r="I248" i="33"/>
  <c r="I237" i="33"/>
  <c r="I230" i="33"/>
  <c r="I281" i="33"/>
  <c r="I280" i="33"/>
  <c r="I273" i="33"/>
  <c r="I257" i="33"/>
  <c r="I240" i="33"/>
  <c r="I229" i="33"/>
  <c r="I291" i="33"/>
  <c r="I259" i="33"/>
  <c r="I227" i="33"/>
  <c r="I217" i="33"/>
  <c r="I155" i="33"/>
  <c r="I205" i="33"/>
  <c r="I173" i="33"/>
  <c r="I107" i="33"/>
  <c r="I211" i="33"/>
  <c r="I181" i="33"/>
  <c r="I153" i="33"/>
  <c r="I213" i="33"/>
  <c r="I203" i="33"/>
  <c r="I201" i="33"/>
  <c r="I187" i="33"/>
  <c r="I185" i="33"/>
  <c r="I177" i="33"/>
  <c r="I172" i="33"/>
  <c r="I163" i="33"/>
  <c r="I219" i="33"/>
  <c r="I126" i="33"/>
  <c r="I198" i="33"/>
  <c r="I197" i="33"/>
  <c r="I184" i="33"/>
  <c r="I154" i="33"/>
  <c r="I120" i="33"/>
  <c r="I80" i="33"/>
  <c r="I139" i="33"/>
  <c r="I194" i="33"/>
  <c r="I144" i="33"/>
  <c r="I141" i="33"/>
  <c r="I112" i="33"/>
  <c r="I138" i="33"/>
  <c r="I122" i="33"/>
  <c r="I64" i="33"/>
  <c r="I143" i="33"/>
  <c r="I135" i="33"/>
  <c r="I85" i="33"/>
  <c r="I16" i="33"/>
  <c r="I108" i="33"/>
  <c r="I92" i="33"/>
  <c r="I71" i="33"/>
  <c r="I22" i="33"/>
  <c r="I72" i="33"/>
  <c r="I276" i="33"/>
  <c r="I269" i="33"/>
  <c r="I253" i="33"/>
  <c r="I236" i="33"/>
  <c r="I218" i="33"/>
  <c r="I238" i="33"/>
  <c r="I305" i="33"/>
  <c r="I297" i="33"/>
  <c r="I272" i="33"/>
  <c r="I228" i="33"/>
  <c r="I283" i="33"/>
  <c r="I247" i="33"/>
  <c r="I204" i="33"/>
  <c r="I195" i="33"/>
  <c r="I188" i="33"/>
  <c r="I179" i="33"/>
  <c r="I124" i="33"/>
  <c r="I189" i="33"/>
  <c r="I151" i="33"/>
  <c r="I149" i="33"/>
  <c r="I133" i="33"/>
  <c r="I279" i="33"/>
  <c r="I214" i="33"/>
  <c r="I208" i="33"/>
  <c r="I171" i="33"/>
  <c r="I169" i="33"/>
  <c r="I156" i="33"/>
  <c r="I136" i="33"/>
  <c r="I99" i="33"/>
  <c r="I130" i="33"/>
  <c r="I104" i="33"/>
  <c r="I88" i="33"/>
  <c r="I128" i="33"/>
  <c r="I94" i="33"/>
  <c r="I134" i="33"/>
  <c r="I118" i="33"/>
  <c r="I78" i="33"/>
  <c r="I57" i="33"/>
  <c r="I127" i="33"/>
  <c r="I76" i="33"/>
  <c r="I65" i="33"/>
  <c r="I77" i="33"/>
  <c r="I63" i="33"/>
  <c r="I55" i="33"/>
  <c r="I75" i="33"/>
  <c r="I73" i="33"/>
  <c r="I52" i="33"/>
  <c r="I30" i="33"/>
  <c r="I19" i="33"/>
  <c r="I41" i="33"/>
  <c r="I33" i="33"/>
  <c r="I25" i="33"/>
  <c r="I164" i="33"/>
  <c r="I292" i="33"/>
  <c r="I249" i="33"/>
  <c r="I246" i="33"/>
  <c r="I232" i="33"/>
  <c r="I241" i="33"/>
  <c r="I264" i="33"/>
  <c r="I226" i="33"/>
  <c r="I212" i="33"/>
  <c r="I267" i="33"/>
  <c r="I165" i="33"/>
  <c r="I140" i="33"/>
  <c r="I91" i="33"/>
  <c r="I216" i="33"/>
  <c r="I196" i="33"/>
  <c r="I170" i="33"/>
  <c r="I271" i="33"/>
  <c r="I209" i="33"/>
  <c r="I146" i="33"/>
  <c r="I114" i="33"/>
  <c r="I96" i="33"/>
  <c r="I74" i="33"/>
  <c r="I102" i="33"/>
  <c r="I192" i="33"/>
  <c r="I131" i="33"/>
  <c r="I84" i="33"/>
  <c r="I68" i="33"/>
  <c r="I20" i="33"/>
  <c r="I10" i="33"/>
  <c r="I14" i="33"/>
  <c r="I43" i="33"/>
  <c r="I42" i="33"/>
  <c r="I26" i="33"/>
  <c r="I8" i="33"/>
  <c r="I224" i="33"/>
  <c r="I225" i="33"/>
  <c r="I299" i="33"/>
  <c r="I206" i="33"/>
  <c r="I186" i="33"/>
  <c r="I142" i="33"/>
  <c r="I160" i="33"/>
  <c r="I51" i="33"/>
  <c r="I53" i="33"/>
  <c r="I28" i="33"/>
  <c r="I17" i="33"/>
  <c r="I222" i="33"/>
  <c r="I268" i="33"/>
  <c r="I256" i="33"/>
  <c r="I235" i="33"/>
  <c r="I110" i="33"/>
  <c r="I176" i="33"/>
  <c r="I59" i="33"/>
  <c r="I44" i="33"/>
  <c r="I48" i="33"/>
  <c r="I27" i="33"/>
  <c r="I23" i="33"/>
  <c r="I15" i="33"/>
  <c r="I234" i="33"/>
  <c r="I220" i="33"/>
  <c r="I221" i="33"/>
  <c r="I244" i="33"/>
  <c r="I233" i="33"/>
  <c r="I288" i="33"/>
  <c r="I263" i="33"/>
  <c r="I168" i="33"/>
  <c r="I129" i="33"/>
  <c r="I215" i="33"/>
  <c r="I231" i="33"/>
  <c r="I115" i="33"/>
  <c r="I121" i="33"/>
  <c r="I147" i="33"/>
  <c r="I69" i="33"/>
  <c r="I61" i="33"/>
  <c r="I125" i="33"/>
  <c r="I109" i="33"/>
  <c r="I100" i="33"/>
  <c r="I81" i="33"/>
  <c r="I38" i="33"/>
  <c r="I62" i="33"/>
  <c r="I35" i="33"/>
  <c r="I31" i="33"/>
  <c r="I301" i="33"/>
  <c r="I260" i="33"/>
  <c r="I250" i="33"/>
  <c r="I289" i="33"/>
  <c r="I265" i="33"/>
  <c r="I239" i="33"/>
  <c r="I200" i="33"/>
  <c r="I178" i="33"/>
  <c r="I123" i="33"/>
  <c r="I12" i="33"/>
  <c r="I34" i="33"/>
  <c r="I261" i="33"/>
  <c r="I245" i="33"/>
  <c r="I180" i="33"/>
  <c r="I157" i="33"/>
  <c r="I113" i="33"/>
  <c r="I162" i="33"/>
  <c r="I32" i="33"/>
  <c r="I54" i="33"/>
  <c r="I117" i="33"/>
  <c r="I58" i="33"/>
  <c r="I60" i="33"/>
  <c r="I36" i="33"/>
  <c r="I39" i="33"/>
  <c r="I18" i="33"/>
  <c r="I87" i="33"/>
  <c r="I199" i="33"/>
  <c r="I83" i="33"/>
  <c r="I7" i="33"/>
  <c r="I37" i="33"/>
  <c r="I103" i="33"/>
  <c r="I79" i="33"/>
  <c r="I95" i="33"/>
  <c r="I182" i="33"/>
  <c r="I296" i="33"/>
  <c r="I161" i="33"/>
  <c r="I158" i="33"/>
  <c r="I119" i="33"/>
  <c r="I137" i="33"/>
  <c r="I145" i="33"/>
  <c r="I56" i="33"/>
  <c r="I300" i="33"/>
  <c r="I174" i="33"/>
  <c r="I207" i="33"/>
  <c r="I45" i="33"/>
  <c r="I86" i="33"/>
  <c r="I47" i="33"/>
  <c r="I11" i="33"/>
  <c r="I13" i="33"/>
  <c r="I304" i="33"/>
  <c r="I190" i="33"/>
  <c r="I21" i="33"/>
  <c r="I111" i="33"/>
  <c r="I29" i="33"/>
  <c r="I67" i="33"/>
  <c r="I166" i="33"/>
  <c r="I193" i="33"/>
  <c r="H15" i="33"/>
  <c r="H23" i="33"/>
  <c r="H31" i="33"/>
  <c r="H39" i="33"/>
  <c r="H25" i="33"/>
  <c r="H41" i="33"/>
  <c r="H17" i="33"/>
  <c r="H33" i="33"/>
  <c r="H60" i="33"/>
  <c r="H75" i="33"/>
  <c r="H85" i="33"/>
  <c r="H127" i="33"/>
  <c r="H143" i="33"/>
  <c r="H117" i="33"/>
  <c r="H162" i="33"/>
  <c r="H178" i="33"/>
  <c r="H194" i="33"/>
  <c r="H63" i="33"/>
  <c r="H135" i="33"/>
  <c r="H109" i="33"/>
  <c r="H125" i="33"/>
  <c r="H141" i="33"/>
  <c r="H192" i="33"/>
  <c r="H157" i="33"/>
  <c r="H170" i="33"/>
  <c r="H176" i="33"/>
  <c r="H203" i="33"/>
  <c r="H213" i="33"/>
  <c r="H154" i="33"/>
  <c r="H160" i="33"/>
  <c r="H299" i="33"/>
  <c r="H292" i="33"/>
  <c r="H269" i="33"/>
  <c r="H260" i="33"/>
  <c r="H238" i="33"/>
  <c r="H225" i="33"/>
  <c r="H232" i="33"/>
  <c r="H305" i="33"/>
  <c r="H297" i="33"/>
  <c r="H288" i="33"/>
  <c r="H265" i="33"/>
  <c r="H256" i="33"/>
  <c r="H211" i="33"/>
  <c r="H204" i="33"/>
  <c r="H195" i="33"/>
  <c r="H155" i="33"/>
  <c r="H129" i="33"/>
  <c r="H287" i="33"/>
  <c r="H271" i="33"/>
  <c r="H255" i="33"/>
  <c r="H239" i="33"/>
  <c r="H223" i="33"/>
  <c r="H188" i="33"/>
  <c r="H179" i="33"/>
  <c r="H110" i="33"/>
  <c r="H302" i="33"/>
  <c r="H286" i="33"/>
  <c r="H270" i="33"/>
  <c r="H254" i="33"/>
  <c r="H187" i="33"/>
  <c r="H113" i="33"/>
  <c r="H215" i="33"/>
  <c r="H208" i="33"/>
  <c r="H173" i="33"/>
  <c r="H169" i="33"/>
  <c r="H167" i="33"/>
  <c r="H156" i="33"/>
  <c r="H139" i="33"/>
  <c r="H104" i="33"/>
  <c r="H88" i="33"/>
  <c r="H134" i="33"/>
  <c r="H94" i="33"/>
  <c r="H57" i="33"/>
  <c r="H51" i="33"/>
  <c r="H98" i="33"/>
  <c r="H76" i="33"/>
  <c r="H70" i="33"/>
  <c r="H65" i="33"/>
  <c r="H38" i="33"/>
  <c r="H97" i="33"/>
  <c r="H82" i="33"/>
  <c r="H77" i="33"/>
  <c r="H55" i="33"/>
  <c r="H301" i="33"/>
  <c r="H284" i="33"/>
  <c r="H261" i="33"/>
  <c r="H252" i="33"/>
  <c r="H248" i="33"/>
  <c r="H234" i="33"/>
  <c r="H303" i="33"/>
  <c r="H233" i="33"/>
  <c r="H289" i="33"/>
  <c r="H280" i="33"/>
  <c r="H257" i="33"/>
  <c r="H240" i="33"/>
  <c r="H226" i="33"/>
  <c r="H216" i="33"/>
  <c r="H283" i="33"/>
  <c r="H267" i="33"/>
  <c r="H251" i="33"/>
  <c r="H235" i="33"/>
  <c r="H219" i="33"/>
  <c r="H124" i="33"/>
  <c r="H107" i="33"/>
  <c r="H298" i="33"/>
  <c r="H290" i="33"/>
  <c r="H274" i="33"/>
  <c r="H258" i="33"/>
  <c r="H217" i="33"/>
  <c r="H196" i="33"/>
  <c r="H209" i="33"/>
  <c r="H126" i="33"/>
  <c r="H202" i="33"/>
  <c r="H171" i="33"/>
  <c r="H164" i="33"/>
  <c r="H120" i="33"/>
  <c r="H191" i="33"/>
  <c r="H159" i="33"/>
  <c r="H146" i="33"/>
  <c r="H114" i="33"/>
  <c r="H148" i="33"/>
  <c r="H144" i="33"/>
  <c r="H116" i="33"/>
  <c r="H112" i="33"/>
  <c r="H150" i="33"/>
  <c r="H69" i="33"/>
  <c r="H32" i="33"/>
  <c r="H90" i="33"/>
  <c r="H59" i="33"/>
  <c r="H54" i="33"/>
  <c r="H100" i="33"/>
  <c r="H71" i="33"/>
  <c r="H58" i="33"/>
  <c r="H53" i="33"/>
  <c r="H93" i="33"/>
  <c r="H62" i="33"/>
  <c r="H48" i="33"/>
  <c r="H50" i="33"/>
  <c r="H10" i="33"/>
  <c r="H42" i="33"/>
  <c r="H49" i="33"/>
  <c r="H43" i="33"/>
  <c r="H35" i="33"/>
  <c r="H27" i="33"/>
  <c r="H218" i="33"/>
  <c r="H221" i="33"/>
  <c r="H295" i="33"/>
  <c r="H244" i="33"/>
  <c r="H230" i="33"/>
  <c r="H281" i="33"/>
  <c r="H272" i="33"/>
  <c r="H228" i="33"/>
  <c r="H168" i="33"/>
  <c r="H279" i="33"/>
  <c r="H247" i="33"/>
  <c r="H205" i="33"/>
  <c r="H294" i="33"/>
  <c r="H262" i="33"/>
  <c r="H183" i="33"/>
  <c r="H149" i="33"/>
  <c r="H130" i="33"/>
  <c r="H123" i="33"/>
  <c r="H118" i="33"/>
  <c r="H64" i="33"/>
  <c r="H16" i="33"/>
  <c r="H81" i="33"/>
  <c r="H36" i="33"/>
  <c r="H40" i="33"/>
  <c r="H24" i="33"/>
  <c r="H18" i="33"/>
  <c r="H245" i="33"/>
  <c r="H177" i="33"/>
  <c r="H263" i="33"/>
  <c r="H214" i="33"/>
  <c r="H278" i="33"/>
  <c r="H121" i="33"/>
  <c r="H101" i="33"/>
  <c r="H30" i="33"/>
  <c r="H14" i="33"/>
  <c r="H285" i="33"/>
  <c r="H246" i="33"/>
  <c r="H273" i="33"/>
  <c r="H291" i="33"/>
  <c r="H227" i="33"/>
  <c r="H165" i="33"/>
  <c r="H266" i="33"/>
  <c r="H201" i="33"/>
  <c r="H163" i="33"/>
  <c r="H184" i="33"/>
  <c r="H80" i="33"/>
  <c r="H96" i="33"/>
  <c r="H74" i="33"/>
  <c r="H102" i="33"/>
  <c r="H147" i="33"/>
  <c r="H89" i="33"/>
  <c r="H66" i="33"/>
  <c r="H12" i="33"/>
  <c r="H242" i="33"/>
  <c r="H276" i="33"/>
  <c r="H253" i="33"/>
  <c r="H250" i="33"/>
  <c r="H229" i="33"/>
  <c r="H275" i="33"/>
  <c r="H243" i="33"/>
  <c r="H210" i="33"/>
  <c r="H200" i="33"/>
  <c r="H181" i="33"/>
  <c r="H282" i="33"/>
  <c r="H180" i="33"/>
  <c r="H151" i="33"/>
  <c r="H142" i="33"/>
  <c r="H186" i="33"/>
  <c r="H132" i="33"/>
  <c r="H138" i="33"/>
  <c r="H92" i="33"/>
  <c r="H105" i="33"/>
  <c r="H78" i="33"/>
  <c r="H20" i="33"/>
  <c r="H34" i="33"/>
  <c r="H222" i="33"/>
  <c r="H293" i="33"/>
  <c r="H277" i="33"/>
  <c r="H268" i="33"/>
  <c r="H237" i="33"/>
  <c r="H212" i="33"/>
  <c r="H231" i="33"/>
  <c r="H140" i="33"/>
  <c r="H206" i="33"/>
  <c r="H152" i="33"/>
  <c r="H136" i="33"/>
  <c r="H99" i="33"/>
  <c r="H131" i="33"/>
  <c r="H106" i="33"/>
  <c r="H108" i="33"/>
  <c r="H84" i="33"/>
  <c r="H44" i="33"/>
  <c r="H73" i="33"/>
  <c r="H52" i="33"/>
  <c r="H46" i="33"/>
  <c r="H19" i="33"/>
  <c r="H224" i="33"/>
  <c r="H236" i="33"/>
  <c r="H220" i="33"/>
  <c r="H249" i="33"/>
  <c r="H241" i="33"/>
  <c r="H264" i="33"/>
  <c r="H259" i="33"/>
  <c r="H91" i="33"/>
  <c r="H153" i="33"/>
  <c r="H189" i="33"/>
  <c r="H185" i="33"/>
  <c r="H172" i="33"/>
  <c r="H133" i="33"/>
  <c r="H198" i="33"/>
  <c r="H197" i="33"/>
  <c r="H115" i="33"/>
  <c r="H175" i="33"/>
  <c r="H128" i="33"/>
  <c r="H122" i="33"/>
  <c r="H61" i="33"/>
  <c r="H22" i="33"/>
  <c r="H72" i="33"/>
  <c r="H68" i="33"/>
  <c r="H28" i="33"/>
  <c r="H26" i="33"/>
  <c r="H8" i="33"/>
  <c r="H9" i="33"/>
  <c r="H13" i="33"/>
  <c r="H21" i="33"/>
  <c r="H29" i="33"/>
  <c r="H161" i="33"/>
  <c r="H79" i="33"/>
  <c r="H95" i="33"/>
  <c r="H296" i="33"/>
  <c r="H45" i="33"/>
  <c r="H86" i="33"/>
  <c r="H111" i="33"/>
  <c r="H193" i="33"/>
  <c r="H174" i="33"/>
  <c r="H47" i="33"/>
  <c r="H304" i="33"/>
  <c r="H119" i="33"/>
  <c r="H56" i="33"/>
  <c r="H67" i="33"/>
  <c r="H207" i="33"/>
  <c r="H87" i="33"/>
  <c r="H11" i="33"/>
  <c r="H199" i="33"/>
  <c r="H83" i="33"/>
  <c r="H7" i="33"/>
  <c r="H103" i="33"/>
  <c r="H182" i="33"/>
  <c r="H158" i="33"/>
  <c r="H190" i="33"/>
  <c r="H37" i="33"/>
  <c r="H137" i="33"/>
  <c r="H145" i="33"/>
  <c r="H166" i="33"/>
  <c r="H300" i="33"/>
  <c r="K8" i="33"/>
  <c r="K14" i="33"/>
  <c r="K30" i="33"/>
  <c r="K72" i="33"/>
  <c r="K55" i="33"/>
  <c r="K84" i="33"/>
  <c r="K68" i="33"/>
  <c r="K122" i="33"/>
  <c r="K138" i="33"/>
  <c r="K92" i="33"/>
  <c r="K100" i="33"/>
  <c r="K108" i="33"/>
  <c r="K159" i="33"/>
  <c r="K194" i="33"/>
  <c r="K165" i="33"/>
  <c r="K208" i="33"/>
  <c r="K114" i="33"/>
  <c r="K130" i="33"/>
  <c r="K146" i="33"/>
  <c r="K175" i="33"/>
  <c r="K200" i="33"/>
  <c r="K214" i="33"/>
  <c r="K178" i="33"/>
  <c r="K162" i="33"/>
  <c r="K191" i="33"/>
  <c r="K297" i="33"/>
  <c r="K305" i="33"/>
  <c r="K242" i="33"/>
  <c r="K292" i="33"/>
  <c r="K284" i="33"/>
  <c r="K277" i="33"/>
  <c r="K260" i="33"/>
  <c r="K253" i="33"/>
  <c r="K237" i="33"/>
  <c r="K234" i="33"/>
  <c r="K303" i="33"/>
  <c r="K293" i="33"/>
  <c r="K280" i="33"/>
  <c r="K273" i="33"/>
  <c r="K256" i="33"/>
  <c r="K240" i="33"/>
  <c r="K229" i="33"/>
  <c r="K226" i="33"/>
  <c r="K195" i="33"/>
  <c r="K177" i="33"/>
  <c r="K168" i="33"/>
  <c r="K179" i="33"/>
  <c r="K107" i="33"/>
  <c r="K279" i="33"/>
  <c r="K263" i="33"/>
  <c r="K203" i="33"/>
  <c r="K180" i="33"/>
  <c r="K157" i="33"/>
  <c r="K152" i="33"/>
  <c r="K151" i="33"/>
  <c r="K149" i="33"/>
  <c r="K133" i="33"/>
  <c r="K209" i="33"/>
  <c r="K142" i="33"/>
  <c r="K298" i="33"/>
  <c r="K202" i="33"/>
  <c r="K80" i="33"/>
  <c r="K160" i="33"/>
  <c r="K118" i="33"/>
  <c r="K147" i="33"/>
  <c r="K69" i="33"/>
  <c r="K64" i="33"/>
  <c r="K61" i="33"/>
  <c r="K32" i="33"/>
  <c r="K90" i="33"/>
  <c r="K71" i="33"/>
  <c r="K53" i="33"/>
  <c r="K63" i="33"/>
  <c r="K44" i="33"/>
  <c r="K105" i="33"/>
  <c r="K89" i="33"/>
  <c r="K222" i="33"/>
  <c r="K269" i="33"/>
  <c r="K252" i="33"/>
  <c r="K248" i="33"/>
  <c r="K236" i="33"/>
  <c r="K220" i="33"/>
  <c r="K221" i="33"/>
  <c r="K246" i="33"/>
  <c r="K272" i="33"/>
  <c r="K265" i="33"/>
  <c r="K212" i="33"/>
  <c r="K204" i="33"/>
  <c r="K173" i="33"/>
  <c r="K153" i="33"/>
  <c r="K110" i="33"/>
  <c r="K283" i="33"/>
  <c r="K267" i="33"/>
  <c r="K251" i="33"/>
  <c r="K243" i="33"/>
  <c r="K235" i="33"/>
  <c r="K227" i="33"/>
  <c r="K215" i="33"/>
  <c r="K206" i="33"/>
  <c r="K185" i="33"/>
  <c r="K183" i="33"/>
  <c r="K170" i="33"/>
  <c r="K294" i="33"/>
  <c r="K286" i="33"/>
  <c r="K278" i="33"/>
  <c r="K270" i="33"/>
  <c r="K262" i="33"/>
  <c r="K254" i="33"/>
  <c r="K196" i="33"/>
  <c r="K184" i="33"/>
  <c r="K181" i="33"/>
  <c r="K120" i="33"/>
  <c r="K115" i="33"/>
  <c r="K99" i="33"/>
  <c r="K104" i="33"/>
  <c r="K88" i="33"/>
  <c r="K74" i="33"/>
  <c r="K176" i="33"/>
  <c r="K144" i="33"/>
  <c r="K134" i="33"/>
  <c r="K123" i="33"/>
  <c r="K121" i="33"/>
  <c r="K112" i="33"/>
  <c r="K102" i="33"/>
  <c r="K148" i="33"/>
  <c r="K131" i="33"/>
  <c r="K125" i="33"/>
  <c r="K117" i="33"/>
  <c r="K109" i="33"/>
  <c r="K81" i="33"/>
  <c r="K22" i="33"/>
  <c r="K101" i="33"/>
  <c r="K75" i="33"/>
  <c r="K20" i="33"/>
  <c r="K24" i="33"/>
  <c r="K28" i="33"/>
  <c r="K35" i="33"/>
  <c r="K250" i="33"/>
  <c r="K289" i="33"/>
  <c r="K129" i="33"/>
  <c r="K210" i="33"/>
  <c r="K188" i="33"/>
  <c r="K124" i="33"/>
  <c r="K211" i="33"/>
  <c r="K271" i="33"/>
  <c r="K187" i="33"/>
  <c r="K126" i="33"/>
  <c r="K136" i="33"/>
  <c r="K150" i="33"/>
  <c r="K57" i="33"/>
  <c r="K51" i="33"/>
  <c r="K98" i="33"/>
  <c r="K85" i="33"/>
  <c r="K59" i="33"/>
  <c r="K127" i="33"/>
  <c r="K65" i="33"/>
  <c r="K97" i="33"/>
  <c r="K78" i="33"/>
  <c r="K62" i="33"/>
  <c r="K36" i="33"/>
  <c r="K26" i="33"/>
  <c r="K33" i="33"/>
  <c r="K9" i="33"/>
  <c r="K264" i="33"/>
  <c r="K189" i="33"/>
  <c r="K255" i="33"/>
  <c r="K201" i="33"/>
  <c r="K172" i="33"/>
  <c r="K219" i="33"/>
  <c r="K169" i="33"/>
  <c r="K94" i="33"/>
  <c r="K76" i="33"/>
  <c r="K41" i="33"/>
  <c r="K25" i="33"/>
  <c r="K276" i="33"/>
  <c r="K295" i="33"/>
  <c r="K233" i="33"/>
  <c r="K205" i="33"/>
  <c r="K186" i="33"/>
  <c r="K239" i="33"/>
  <c r="K213" i="33"/>
  <c r="K290" i="33"/>
  <c r="K258" i="33"/>
  <c r="K135" i="33"/>
  <c r="K50" i="33"/>
  <c r="K49" i="33"/>
  <c r="K299" i="33"/>
  <c r="K224" i="33"/>
  <c r="K268" i="33"/>
  <c r="K261" i="33"/>
  <c r="K218" i="33"/>
  <c r="K225" i="33"/>
  <c r="K301" i="33"/>
  <c r="K257" i="33"/>
  <c r="K245" i="33"/>
  <c r="K217" i="33"/>
  <c r="K216" i="33"/>
  <c r="K140" i="33"/>
  <c r="K291" i="33"/>
  <c r="K259" i="33"/>
  <c r="K247" i="33"/>
  <c r="K231" i="33"/>
  <c r="K163" i="33"/>
  <c r="K302" i="33"/>
  <c r="K282" i="33"/>
  <c r="K266" i="33"/>
  <c r="K167" i="33"/>
  <c r="K156" i="33"/>
  <c r="K154" i="33"/>
  <c r="K139" i="33"/>
  <c r="K192" i="33"/>
  <c r="K128" i="33"/>
  <c r="K116" i="33"/>
  <c r="K52" i="33"/>
  <c r="K143" i="33"/>
  <c r="K106" i="33"/>
  <c r="K54" i="33"/>
  <c r="K16" i="33"/>
  <c r="K70" i="33"/>
  <c r="K77" i="33"/>
  <c r="K93" i="33"/>
  <c r="K73" i="33"/>
  <c r="K60" i="33"/>
  <c r="K10" i="33"/>
  <c r="K46" i="33"/>
  <c r="K43" i="33"/>
  <c r="K27" i="33"/>
  <c r="K42" i="33"/>
  <c r="K18" i="33"/>
  <c r="K39" i="33"/>
  <c r="K23" i="33"/>
  <c r="K17" i="33"/>
  <c r="K15" i="33"/>
  <c r="K285" i="33"/>
  <c r="K238" i="33"/>
  <c r="K249" i="33"/>
  <c r="K232" i="33"/>
  <c r="K241" i="33"/>
  <c r="K228" i="33"/>
  <c r="K155" i="33"/>
  <c r="K91" i="33"/>
  <c r="K287" i="33"/>
  <c r="K198" i="33"/>
  <c r="K113" i="33"/>
  <c r="K197" i="33"/>
  <c r="K164" i="33"/>
  <c r="K96" i="33"/>
  <c r="K141" i="33"/>
  <c r="K58" i="33"/>
  <c r="K38" i="33"/>
  <c r="K82" i="33"/>
  <c r="K66" i="33"/>
  <c r="K48" i="33"/>
  <c r="K40" i="33"/>
  <c r="K19" i="33"/>
  <c r="K34" i="33"/>
  <c r="K244" i="33"/>
  <c r="K230" i="33"/>
  <c r="K288" i="33"/>
  <c r="K281" i="33"/>
  <c r="K275" i="33"/>
  <c r="K223" i="33"/>
  <c r="K274" i="33"/>
  <c r="K171" i="33"/>
  <c r="K132" i="33"/>
  <c r="K12" i="33"/>
  <c r="K31" i="33"/>
  <c r="K87" i="33"/>
  <c r="K11" i="33"/>
  <c r="K158" i="33"/>
  <c r="K199" i="33"/>
  <c r="K83" i="33"/>
  <c r="K7" i="33"/>
  <c r="K119" i="33"/>
  <c r="K190" i="33"/>
  <c r="K103" i="33"/>
  <c r="K111" i="33"/>
  <c r="K193" i="33"/>
  <c r="K79" i="33"/>
  <c r="K95" i="33"/>
  <c r="K182" i="33"/>
  <c r="K296" i="33"/>
  <c r="K174" i="33"/>
  <c r="K304" i="33"/>
  <c r="K67" i="33"/>
  <c r="K166" i="33"/>
  <c r="K300" i="33"/>
  <c r="K37" i="33"/>
  <c r="K45" i="33"/>
  <c r="K13" i="33"/>
  <c r="K86" i="33"/>
  <c r="K137" i="33"/>
  <c r="K21" i="33"/>
  <c r="K145" i="33"/>
  <c r="K29" i="33"/>
  <c r="K47" i="33"/>
  <c r="K56" i="33"/>
  <c r="K161" i="33"/>
  <c r="K207" i="33"/>
  <c r="J17" i="33"/>
  <c r="J25" i="33"/>
  <c r="J33" i="33"/>
  <c r="J41" i="33"/>
  <c r="J9" i="33"/>
  <c r="J15" i="33"/>
  <c r="J31" i="33"/>
  <c r="J49" i="33"/>
  <c r="J52" i="33"/>
  <c r="J23" i="33"/>
  <c r="J39" i="33"/>
  <c r="J73" i="33"/>
  <c r="J84" i="33"/>
  <c r="J89" i="33"/>
  <c r="J97" i="33"/>
  <c r="J105" i="33"/>
  <c r="J127" i="33"/>
  <c r="J135" i="33"/>
  <c r="J143" i="33"/>
  <c r="J58" i="33"/>
  <c r="J77" i="33"/>
  <c r="J93" i="33"/>
  <c r="J101" i="33"/>
  <c r="J109" i="33"/>
  <c r="J125" i="33"/>
  <c r="J131" i="33"/>
  <c r="J147" i="33"/>
  <c r="J160" i="33"/>
  <c r="J176" i="33"/>
  <c r="J192" i="33"/>
  <c r="J117" i="33"/>
  <c r="J150" i="33"/>
  <c r="J159" i="33"/>
  <c r="J175" i="33"/>
  <c r="J191" i="33"/>
  <c r="J211" i="33"/>
  <c r="J258" i="33"/>
  <c r="J274" i="33"/>
  <c r="J290" i="33"/>
  <c r="J171" i="33"/>
  <c r="J184" i="33"/>
  <c r="J215" i="33"/>
  <c r="J139" i="33"/>
  <c r="J201" i="33"/>
  <c r="J197" i="33"/>
  <c r="J123" i="33"/>
  <c r="J254" i="33"/>
  <c r="J262" i="33"/>
  <c r="J266" i="33"/>
  <c r="J270" i="33"/>
  <c r="J278" i="33"/>
  <c r="J282" i="33"/>
  <c r="J286" i="33"/>
  <c r="J294" i="33"/>
  <c r="J302" i="33"/>
  <c r="J298" i="33"/>
  <c r="J301" i="33"/>
  <c r="J276" i="33"/>
  <c r="J268" i="33"/>
  <c r="J261" i="33"/>
  <c r="J234" i="33"/>
  <c r="J220" i="33"/>
  <c r="J187" i="33"/>
  <c r="J295" i="33"/>
  <c r="J244" i="33"/>
  <c r="J233" i="33"/>
  <c r="J289" i="33"/>
  <c r="J265" i="33"/>
  <c r="J264" i="33"/>
  <c r="J228" i="33"/>
  <c r="J226" i="33"/>
  <c r="J212" i="33"/>
  <c r="J210" i="33"/>
  <c r="J186" i="33"/>
  <c r="J165" i="33"/>
  <c r="J140" i="33"/>
  <c r="J91" i="33"/>
  <c r="J189" i="33"/>
  <c r="J196" i="33"/>
  <c r="J151" i="33"/>
  <c r="J133" i="33"/>
  <c r="J198" i="33"/>
  <c r="J162" i="33"/>
  <c r="J126" i="33"/>
  <c r="J287" i="33"/>
  <c r="J279" i="33"/>
  <c r="J271" i="33"/>
  <c r="J263" i="33"/>
  <c r="J255" i="33"/>
  <c r="J243" i="33"/>
  <c r="J227" i="33"/>
  <c r="J205" i="33"/>
  <c r="J136" i="33"/>
  <c r="J115" i="33"/>
  <c r="J146" i="33"/>
  <c r="J114" i="33"/>
  <c r="J132" i="33"/>
  <c r="J128" i="33"/>
  <c r="J121" i="33"/>
  <c r="J69" i="33"/>
  <c r="J106" i="33"/>
  <c r="J59" i="33"/>
  <c r="J100" i="33"/>
  <c r="J53" i="33"/>
  <c r="J66" i="33"/>
  <c r="J78" i="33"/>
  <c r="J299" i="33"/>
  <c r="J224" i="33"/>
  <c r="J222" i="33"/>
  <c r="J250" i="33"/>
  <c r="J225" i="33"/>
  <c r="J249" i="33"/>
  <c r="J246" i="33"/>
  <c r="J232" i="33"/>
  <c r="J241" i="33"/>
  <c r="J288" i="33"/>
  <c r="J245" i="33"/>
  <c r="J209" i="33"/>
  <c r="J219" i="33"/>
  <c r="J129" i="33"/>
  <c r="J214" i="33"/>
  <c r="J200" i="33"/>
  <c r="J181" i="33"/>
  <c r="J180" i="33"/>
  <c r="J172" i="33"/>
  <c r="J163" i="33"/>
  <c r="J113" i="33"/>
  <c r="J239" i="33"/>
  <c r="J223" i="33"/>
  <c r="J167" i="33"/>
  <c r="J154" i="33"/>
  <c r="J96" i="33"/>
  <c r="J94" i="33"/>
  <c r="J138" i="33"/>
  <c r="J122" i="33"/>
  <c r="J57" i="33"/>
  <c r="J51" i="33"/>
  <c r="J98" i="33"/>
  <c r="J85" i="33"/>
  <c r="J16" i="33"/>
  <c r="J70" i="33"/>
  <c r="J22" i="33"/>
  <c r="J82" i="33"/>
  <c r="J68" i="33"/>
  <c r="J60" i="33"/>
  <c r="J40" i="33"/>
  <c r="J14" i="33"/>
  <c r="J18" i="33"/>
  <c r="J35" i="33"/>
  <c r="J19" i="33"/>
  <c r="J242" i="33"/>
  <c r="J253" i="33"/>
  <c r="J248" i="33"/>
  <c r="J238" i="33"/>
  <c r="J305" i="33"/>
  <c r="J280" i="33"/>
  <c r="J273" i="33"/>
  <c r="J256" i="33"/>
  <c r="J217" i="33"/>
  <c r="J173" i="33"/>
  <c r="J203" i="33"/>
  <c r="J142" i="33"/>
  <c r="J283" i="33"/>
  <c r="J267" i="33"/>
  <c r="J251" i="33"/>
  <c r="J80" i="33"/>
  <c r="J88" i="33"/>
  <c r="J144" i="33"/>
  <c r="J134" i="33"/>
  <c r="J112" i="33"/>
  <c r="J141" i="33"/>
  <c r="J71" i="33"/>
  <c r="J38" i="33"/>
  <c r="J72" i="33"/>
  <c r="J63" i="33"/>
  <c r="J46" i="33"/>
  <c r="J28" i="33"/>
  <c r="J34" i="33"/>
  <c r="J43" i="33"/>
  <c r="J229" i="33"/>
  <c r="J185" i="33"/>
  <c r="J157" i="33"/>
  <c r="J149" i="33"/>
  <c r="J291" i="33"/>
  <c r="J259" i="33"/>
  <c r="J213" i="33"/>
  <c r="J156" i="33"/>
  <c r="J74" i="33"/>
  <c r="J148" i="33"/>
  <c r="J92" i="33"/>
  <c r="J55" i="33"/>
  <c r="J65" i="33"/>
  <c r="J36" i="33"/>
  <c r="J10" i="33"/>
  <c r="J26" i="33"/>
  <c r="J8" i="33"/>
  <c r="J293" i="33"/>
  <c r="J284" i="33"/>
  <c r="J260" i="33"/>
  <c r="J237" i="33"/>
  <c r="J218" i="33"/>
  <c r="J124" i="33"/>
  <c r="J168" i="33"/>
  <c r="J155" i="33"/>
  <c r="J120" i="33"/>
  <c r="J130" i="33"/>
  <c r="J108" i="33"/>
  <c r="J75" i="33"/>
  <c r="J42" i="33"/>
  <c r="J292" i="33"/>
  <c r="J285" i="33"/>
  <c r="J230" i="33"/>
  <c r="J297" i="33"/>
  <c r="J204" i="33"/>
  <c r="J177" i="33"/>
  <c r="J188" i="33"/>
  <c r="J179" i="33"/>
  <c r="J110" i="33"/>
  <c r="J206" i="33"/>
  <c r="J183" i="33"/>
  <c r="J170" i="33"/>
  <c r="J152" i="33"/>
  <c r="J247" i="33"/>
  <c r="J208" i="33"/>
  <c r="J178" i="33"/>
  <c r="J169" i="33"/>
  <c r="J99" i="33"/>
  <c r="J64" i="33"/>
  <c r="J90" i="33"/>
  <c r="J44" i="33"/>
  <c r="J48" i="33"/>
  <c r="J50" i="33"/>
  <c r="J30" i="33"/>
  <c r="J12" i="33"/>
  <c r="J269" i="33"/>
  <c r="J252" i="33"/>
  <c r="J236" i="33"/>
  <c r="J221" i="33"/>
  <c r="J281" i="33"/>
  <c r="J257" i="33"/>
  <c r="J240" i="33"/>
  <c r="J195" i="33"/>
  <c r="J107" i="33"/>
  <c r="J153" i="33"/>
  <c r="J194" i="33"/>
  <c r="J275" i="33"/>
  <c r="J235" i="33"/>
  <c r="J202" i="33"/>
  <c r="J104" i="33"/>
  <c r="J116" i="33"/>
  <c r="J102" i="33"/>
  <c r="J61" i="33"/>
  <c r="J32" i="33"/>
  <c r="J54" i="33"/>
  <c r="J81" i="33"/>
  <c r="J62" i="33"/>
  <c r="J20" i="33"/>
  <c r="J24" i="33"/>
  <c r="J277" i="33"/>
  <c r="J303" i="33"/>
  <c r="J272" i="33"/>
  <c r="J216" i="33"/>
  <c r="J231" i="33"/>
  <c r="J164" i="33"/>
  <c r="J118" i="33"/>
  <c r="J76" i="33"/>
  <c r="J27" i="33"/>
  <c r="J47" i="33"/>
  <c r="J304" i="33"/>
  <c r="J137" i="33"/>
  <c r="J145" i="33"/>
  <c r="J56" i="33"/>
  <c r="J67" i="33"/>
  <c r="J166" i="33"/>
  <c r="J300" i="33"/>
  <c r="J207" i="33"/>
  <c r="J111" i="33"/>
  <c r="J29" i="33"/>
  <c r="J11" i="33"/>
  <c r="J199" i="33"/>
  <c r="J103" i="33"/>
  <c r="J79" i="33"/>
  <c r="J95" i="33"/>
  <c r="J193" i="33"/>
  <c r="J45" i="33"/>
  <c r="J13" i="33"/>
  <c r="J119" i="33"/>
  <c r="J21" i="33"/>
  <c r="J161" i="33"/>
  <c r="J87" i="33"/>
  <c r="J83" i="33"/>
  <c r="J7" i="33"/>
  <c r="J182" i="33"/>
  <c r="J296" i="33"/>
  <c r="J158" i="33"/>
  <c r="J86" i="33"/>
  <c r="J190" i="33"/>
  <c r="J37" i="33"/>
  <c r="J174" i="33"/>
  <c r="F63" i="48"/>
  <c r="L306" i="49"/>
  <c r="H5" i="25"/>
  <c r="J6" i="54" s="1"/>
  <c r="K6" i="54" s="1"/>
  <c r="H6" i="33"/>
  <c r="J6" i="33"/>
  <c r="K6" i="33"/>
  <c r="G6" i="33"/>
  <c r="L306" i="11"/>
  <c r="G306" i="11"/>
  <c r="E6" i="37"/>
  <c r="G6" i="37" s="1"/>
  <c r="I6" i="33"/>
  <c r="L292" i="33" l="1"/>
  <c r="M292" i="33" s="1"/>
  <c r="L271" i="33"/>
  <c r="M271" i="33" s="1"/>
  <c r="L15" i="33"/>
  <c r="M15" i="33" s="1"/>
  <c r="L284" i="33"/>
  <c r="M284" i="33" s="1"/>
  <c r="L48" i="33"/>
  <c r="M48" i="33" s="1"/>
  <c r="L177" i="33"/>
  <c r="M177" i="33" s="1"/>
  <c r="L233" i="33"/>
  <c r="M233" i="33" s="1"/>
  <c r="G239" i="9" s="1"/>
  <c r="L154" i="33"/>
  <c r="M154" i="33" s="1"/>
  <c r="G160" i="9" s="1"/>
  <c r="L169" i="33"/>
  <c r="M169" i="33" s="1"/>
  <c r="L26" i="33"/>
  <c r="M26" i="33" s="1"/>
  <c r="L11" i="33"/>
  <c r="M11" i="33" s="1"/>
  <c r="L95" i="33"/>
  <c r="M95" i="33" s="1"/>
  <c r="L194" i="33"/>
  <c r="M194" i="33" s="1"/>
  <c r="L113" i="33"/>
  <c r="M113" i="33" s="1"/>
  <c r="G119" i="9" s="1"/>
  <c r="L272" i="33"/>
  <c r="M272" i="33" s="1"/>
  <c r="G278" i="9" s="1"/>
  <c r="L222" i="33"/>
  <c r="M222" i="33" s="1"/>
  <c r="G228" i="9" s="1"/>
  <c r="L92" i="33"/>
  <c r="M92" i="33" s="1"/>
  <c r="G98" i="9" s="1"/>
  <c r="L17" i="33"/>
  <c r="M17" i="33" s="1"/>
  <c r="L135" i="33"/>
  <c r="M135" i="33" s="1"/>
  <c r="L91" i="33"/>
  <c r="M91" i="33" s="1"/>
  <c r="L244" i="33"/>
  <c r="M244" i="33" s="1"/>
  <c r="L116" i="33"/>
  <c r="M116" i="33" s="1"/>
  <c r="G122" i="9" s="1"/>
  <c r="L83" i="33"/>
  <c r="M83" i="33" s="1"/>
  <c r="L45" i="33"/>
  <c r="M45" i="33" s="1"/>
  <c r="G51" i="9" s="1"/>
  <c r="L240" i="33"/>
  <c r="M240" i="33" s="1"/>
  <c r="L122" i="33"/>
  <c r="M122" i="33" s="1"/>
  <c r="L66" i="33"/>
  <c r="M66" i="33" s="1"/>
  <c r="L195" i="33"/>
  <c r="M195" i="33" s="1"/>
  <c r="L101" i="33"/>
  <c r="M101" i="33" s="1"/>
  <c r="G107" i="9" s="1"/>
  <c r="L102" i="33"/>
  <c r="M102" i="33" s="1"/>
  <c r="L148" i="33"/>
  <c r="M148" i="33" s="1"/>
  <c r="L47" i="33"/>
  <c r="M47" i="33" s="1"/>
  <c r="G53" i="9" s="1"/>
  <c r="L207" i="33"/>
  <c r="M207" i="33" s="1"/>
  <c r="L21" i="33"/>
  <c r="M21" i="33" s="1"/>
  <c r="L55" i="33"/>
  <c r="M55" i="33" s="1"/>
  <c r="L71" i="33"/>
  <c r="M71" i="33" s="1"/>
  <c r="L126" i="33"/>
  <c r="M126" i="33" s="1"/>
  <c r="L281" i="33"/>
  <c r="M281" i="33" s="1"/>
  <c r="L65" i="33"/>
  <c r="M65" i="33" s="1"/>
  <c r="G71" i="9" s="1"/>
  <c r="L151" i="33"/>
  <c r="M151" i="33" s="1"/>
  <c r="G157" i="9" s="1"/>
  <c r="L138" i="33"/>
  <c r="M138" i="33" s="1"/>
  <c r="L27" i="33"/>
  <c r="M27" i="33" s="1"/>
  <c r="L179" i="33"/>
  <c r="M179" i="33" s="1"/>
  <c r="L245" i="33"/>
  <c r="M245" i="33" s="1"/>
  <c r="G251" i="9" s="1"/>
  <c r="L237" i="33"/>
  <c r="M237" i="33" s="1"/>
  <c r="G243" i="9" s="1"/>
  <c r="L43" i="33"/>
  <c r="M43" i="33" s="1"/>
  <c r="G49" i="9" s="1"/>
  <c r="L106" i="33"/>
  <c r="M106" i="33" s="1"/>
  <c r="G112" i="9" s="1"/>
  <c r="L61" i="33"/>
  <c r="M61" i="33" s="1"/>
  <c r="G67" i="9" s="1"/>
  <c r="L139" i="33"/>
  <c r="M139" i="33" s="1"/>
  <c r="L211" i="33"/>
  <c r="M211" i="33" s="1"/>
  <c r="L165" i="33"/>
  <c r="M165" i="33" s="1"/>
  <c r="G171" i="9" s="1"/>
  <c r="L265" i="33"/>
  <c r="M265" i="33" s="1"/>
  <c r="L258" i="33"/>
  <c r="M258" i="33" s="1"/>
  <c r="L290" i="33"/>
  <c r="M290" i="33" s="1"/>
  <c r="G296" i="9" s="1"/>
  <c r="L59" i="33"/>
  <c r="M59" i="33" s="1"/>
  <c r="G65" i="9" s="1"/>
  <c r="L150" i="33"/>
  <c r="M150" i="33" s="1"/>
  <c r="G156" i="9" s="1"/>
  <c r="L104" i="33"/>
  <c r="M104" i="33" s="1"/>
  <c r="L206" i="33"/>
  <c r="M206" i="33" s="1"/>
  <c r="L239" i="33"/>
  <c r="M239" i="33" s="1"/>
  <c r="L291" i="33"/>
  <c r="M291" i="33" s="1"/>
  <c r="L185" i="33"/>
  <c r="M185" i="33" s="1"/>
  <c r="L252" i="33"/>
  <c r="M252" i="33" s="1"/>
  <c r="G258" i="9" s="1"/>
  <c r="L208" i="33"/>
  <c r="M208" i="33" s="1"/>
  <c r="G214" i="9" s="1"/>
  <c r="L67" i="33"/>
  <c r="M67" i="33" s="1"/>
  <c r="G73" i="9" s="1"/>
  <c r="L221" i="33"/>
  <c r="M221" i="33" s="1"/>
  <c r="L64" i="33"/>
  <c r="M64" i="33" s="1"/>
  <c r="G70" i="9" s="1"/>
  <c r="L170" i="33"/>
  <c r="M170" i="33" s="1"/>
  <c r="G176" i="9" s="1"/>
  <c r="L28" i="33"/>
  <c r="M28" i="33" s="1"/>
  <c r="L96" i="33"/>
  <c r="M96" i="33" s="1"/>
  <c r="L256" i="33"/>
  <c r="M256" i="33" s="1"/>
  <c r="L238" i="33"/>
  <c r="M238" i="33" s="1"/>
  <c r="G244" i="9" s="1"/>
  <c r="L149" i="33"/>
  <c r="M149" i="33" s="1"/>
  <c r="G155" i="9" s="1"/>
  <c r="L190" i="33"/>
  <c r="M190" i="33" s="1"/>
  <c r="L161" i="33"/>
  <c r="M161" i="33" s="1"/>
  <c r="G167" i="9" s="1"/>
  <c r="L199" i="33"/>
  <c r="M199" i="33" s="1"/>
  <c r="L174" i="33"/>
  <c r="M174" i="33" s="1"/>
  <c r="L137" i="33"/>
  <c r="M137" i="33" s="1"/>
  <c r="L85" i="33"/>
  <c r="M85" i="33" s="1"/>
  <c r="G91" i="9" s="1"/>
  <c r="L114" i="33"/>
  <c r="M114" i="33" s="1"/>
  <c r="G120" i="9" s="1"/>
  <c r="L226" i="33"/>
  <c r="M226" i="33" s="1"/>
  <c r="G232" i="9" s="1"/>
  <c r="L50" i="33"/>
  <c r="M50" i="33" s="1"/>
  <c r="L183" i="33"/>
  <c r="M183" i="33" s="1"/>
  <c r="L278" i="33"/>
  <c r="M278" i="33" s="1"/>
  <c r="L63" i="33"/>
  <c r="M63" i="33" s="1"/>
  <c r="L80" i="33"/>
  <c r="M80" i="33" s="1"/>
  <c r="L133" i="33"/>
  <c r="M133" i="33" s="1"/>
  <c r="G139" i="9" s="1"/>
  <c r="L270" i="33"/>
  <c r="M270" i="33" s="1"/>
  <c r="G276" i="9" s="1"/>
  <c r="L241" i="33"/>
  <c r="M241" i="33" s="1"/>
  <c r="G247" i="9" s="1"/>
  <c r="L40" i="33"/>
  <c r="M40" i="33" s="1"/>
  <c r="G46" i="9" s="1"/>
  <c r="L180" i="33"/>
  <c r="M180" i="33" s="1"/>
  <c r="L250" i="33"/>
  <c r="M250" i="33" s="1"/>
  <c r="G256" i="9" s="1"/>
  <c r="L73" i="33"/>
  <c r="M73" i="33" s="1"/>
  <c r="L70" i="33"/>
  <c r="M70" i="33" s="1"/>
  <c r="L160" i="33"/>
  <c r="M160" i="33" s="1"/>
  <c r="G166" i="9" s="1"/>
  <c r="L200" i="33"/>
  <c r="M200" i="33" s="1"/>
  <c r="G206" i="9" s="1"/>
  <c r="L181" i="33"/>
  <c r="M181" i="33" s="1"/>
  <c r="G187" i="9" s="1"/>
  <c r="L257" i="33"/>
  <c r="M257" i="33" s="1"/>
  <c r="L260" i="33"/>
  <c r="M260" i="33" s="1"/>
  <c r="G266" i="9" s="1"/>
  <c r="L285" i="33"/>
  <c r="M285" i="33" s="1"/>
  <c r="G291" i="9" s="1"/>
  <c r="L12" i="33"/>
  <c r="M12" i="33" s="1"/>
  <c r="L78" i="33"/>
  <c r="M78" i="33" s="1"/>
  <c r="L38" i="33"/>
  <c r="M38" i="33" s="1"/>
  <c r="G44" i="9" s="1"/>
  <c r="L89" i="33"/>
  <c r="M89" i="33" s="1"/>
  <c r="G95" i="9" s="1"/>
  <c r="L153" i="33"/>
  <c r="M153" i="33" s="1"/>
  <c r="G159" i="9" s="1"/>
  <c r="L142" i="33"/>
  <c r="M142" i="33" s="1"/>
  <c r="L152" i="33"/>
  <c r="M152" i="33" s="1"/>
  <c r="L205" i="33"/>
  <c r="M205" i="33" s="1"/>
  <c r="G211" i="9" s="1"/>
  <c r="L228" i="33"/>
  <c r="M228" i="33" s="1"/>
  <c r="L286" i="33"/>
  <c r="M286" i="33" s="1"/>
  <c r="L261" i="33"/>
  <c r="M261" i="33" s="1"/>
  <c r="G267" i="9" s="1"/>
  <c r="L75" i="33"/>
  <c r="M75" i="33" s="1"/>
  <c r="G81" i="9" s="1"/>
  <c r="L109" i="33"/>
  <c r="M109" i="33" s="1"/>
  <c r="G115" i="9" s="1"/>
  <c r="L57" i="33"/>
  <c r="M57" i="33" s="1"/>
  <c r="L159" i="33"/>
  <c r="M159" i="33" s="1"/>
  <c r="L176" i="33"/>
  <c r="M176" i="33" s="1"/>
  <c r="G182" i="9" s="1"/>
  <c r="L130" i="33"/>
  <c r="M130" i="33" s="1"/>
  <c r="G136" i="9" s="1"/>
  <c r="L167" i="33"/>
  <c r="M167" i="33" s="1"/>
  <c r="L215" i="33"/>
  <c r="M215" i="33" s="1"/>
  <c r="G221" i="9" s="1"/>
  <c r="L247" i="33"/>
  <c r="M247" i="33" s="1"/>
  <c r="G253" i="9" s="1"/>
  <c r="L124" i="33"/>
  <c r="M124" i="33" s="1"/>
  <c r="G130" i="9" s="1"/>
  <c r="L293" i="33"/>
  <c r="M293" i="33" s="1"/>
  <c r="G299" i="9" s="1"/>
  <c r="L218" i="33"/>
  <c r="M218" i="33" s="1"/>
  <c r="L266" i="33"/>
  <c r="M266" i="33" s="1"/>
  <c r="G272" i="9" s="1"/>
  <c r="L305" i="33"/>
  <c r="M305" i="33" s="1"/>
  <c r="L214" i="33"/>
  <c r="M214" i="33" s="1"/>
  <c r="L196" i="33"/>
  <c r="M196" i="33" s="1"/>
  <c r="L72" i="33"/>
  <c r="M72" i="33" s="1"/>
  <c r="G78" i="9" s="1"/>
  <c r="L34" i="33"/>
  <c r="M34" i="33" s="1"/>
  <c r="G40" i="9" s="1"/>
  <c r="L111" i="33"/>
  <c r="M111" i="33" s="1"/>
  <c r="L304" i="33"/>
  <c r="M304" i="33" s="1"/>
  <c r="L296" i="33"/>
  <c r="M296" i="33" s="1"/>
  <c r="G302" i="9" s="1"/>
  <c r="L103" i="33"/>
  <c r="M103" i="33" s="1"/>
  <c r="G109" i="9" s="1"/>
  <c r="L87" i="33"/>
  <c r="M87" i="33" s="1"/>
  <c r="L300" i="33"/>
  <c r="M300" i="33" s="1"/>
  <c r="G306" i="9" s="1"/>
  <c r="L29" i="33"/>
  <c r="M29" i="33" s="1"/>
  <c r="G35" i="9" s="1"/>
  <c r="L86" i="33"/>
  <c r="M86" i="33" s="1"/>
  <c r="G92" i="9" s="1"/>
  <c r="L30" i="33"/>
  <c r="M30" i="33" s="1"/>
  <c r="L98" i="33"/>
  <c r="M98" i="33" s="1"/>
  <c r="G104" i="9" s="1"/>
  <c r="L146" i="33"/>
  <c r="M146" i="33" s="1"/>
  <c r="G152" i="9" s="1"/>
  <c r="L107" i="33"/>
  <c r="M107" i="33" s="1"/>
  <c r="G113" i="9" s="1"/>
  <c r="L229" i="33"/>
  <c r="M229" i="33" s="1"/>
  <c r="L31" i="33"/>
  <c r="M31" i="33" s="1"/>
  <c r="G37" i="9" s="1"/>
  <c r="L16" i="33"/>
  <c r="M16" i="33" s="1"/>
  <c r="G22" i="9" s="1"/>
  <c r="L147" i="33"/>
  <c r="M147" i="33" s="1"/>
  <c r="G153" i="9" s="1"/>
  <c r="L227" i="33"/>
  <c r="M227" i="33" s="1"/>
  <c r="L220" i="33"/>
  <c r="M220" i="33" s="1"/>
  <c r="G226" i="9" s="1"/>
  <c r="L41" i="33"/>
  <c r="M41" i="33" s="1"/>
  <c r="G47" i="9" s="1"/>
  <c r="L82" i="33"/>
  <c r="M82" i="33" s="1"/>
  <c r="G88" i="9" s="1"/>
  <c r="L94" i="33"/>
  <c r="M94" i="33" s="1"/>
  <c r="L136" i="33"/>
  <c r="M136" i="33" s="1"/>
  <c r="G142" i="9" s="1"/>
  <c r="L187" i="33"/>
  <c r="M187" i="33" s="1"/>
  <c r="G193" i="9" s="1"/>
  <c r="L173" i="33"/>
  <c r="M173" i="33" s="1"/>
  <c r="G179" i="9" s="1"/>
  <c r="L273" i="33"/>
  <c r="M273" i="33" s="1"/>
  <c r="L232" i="33"/>
  <c r="M232" i="33" s="1"/>
  <c r="G238" i="9" s="1"/>
  <c r="L294" i="33"/>
  <c r="M294" i="33" s="1"/>
  <c r="G300" i="9" s="1"/>
  <c r="L10" i="33"/>
  <c r="M10" i="33" s="1"/>
  <c r="L202" i="33"/>
  <c r="M202" i="33" s="1"/>
  <c r="L189" i="33"/>
  <c r="M189" i="33" s="1"/>
  <c r="G195" i="9" s="1"/>
  <c r="L242" i="33"/>
  <c r="M242" i="33" s="1"/>
  <c r="G248" i="9" s="1"/>
  <c r="L110" i="33"/>
  <c r="M110" i="33" s="1"/>
  <c r="G116" i="9" s="1"/>
  <c r="L23" i="33"/>
  <c r="M23" i="33" s="1"/>
  <c r="L77" i="33"/>
  <c r="M77" i="33" s="1"/>
  <c r="G83" i="9" s="1"/>
  <c r="L93" i="33"/>
  <c r="M93" i="33" s="1"/>
  <c r="G99" i="9" s="1"/>
  <c r="L120" i="33"/>
  <c r="M120" i="33" s="1"/>
  <c r="G126" i="9" s="1"/>
  <c r="L235" i="33"/>
  <c r="M235" i="33" s="1"/>
  <c r="L186" i="33"/>
  <c r="M186" i="33" s="1"/>
  <c r="G192" i="9" s="1"/>
  <c r="L303" i="33"/>
  <c r="M303" i="33" s="1"/>
  <c r="G309" i="9" s="1"/>
  <c r="L274" i="33"/>
  <c r="M274" i="33" s="1"/>
  <c r="G280" i="9" s="1"/>
  <c r="L224" i="33"/>
  <c r="M224" i="33" s="1"/>
  <c r="L46" i="33"/>
  <c r="M46" i="33" s="1"/>
  <c r="L84" i="33"/>
  <c r="M84" i="33" s="1"/>
  <c r="G90" i="9" s="1"/>
  <c r="L49" i="33"/>
  <c r="M49" i="33" s="1"/>
  <c r="G55" i="9" s="1"/>
  <c r="L143" i="33"/>
  <c r="M143" i="33" s="1"/>
  <c r="L132" i="33"/>
  <c r="M132" i="33" s="1"/>
  <c r="G138" i="9" s="1"/>
  <c r="L164" i="33"/>
  <c r="M164" i="33" s="1"/>
  <c r="G170" i="9" s="1"/>
  <c r="L198" i="33"/>
  <c r="M198" i="33" s="1"/>
  <c r="G204" i="9" s="1"/>
  <c r="L157" i="33"/>
  <c r="M157" i="33" s="1"/>
  <c r="L263" i="33"/>
  <c r="M263" i="33" s="1"/>
  <c r="L140" i="33"/>
  <c r="M140" i="33" s="1"/>
  <c r="G146" i="9" s="1"/>
  <c r="L210" i="33"/>
  <c r="M210" i="33" s="1"/>
  <c r="G216" i="9" s="1"/>
  <c r="L254" i="33"/>
  <c r="M254" i="33" s="1"/>
  <c r="G260" i="9" s="1"/>
  <c r="L289" i="33"/>
  <c r="M289" i="33" s="1"/>
  <c r="G295" i="9" s="1"/>
  <c r="L295" i="33"/>
  <c r="M295" i="33" s="1"/>
  <c r="G301" i="9" s="1"/>
  <c r="L268" i="33"/>
  <c r="M268" i="33" s="1"/>
  <c r="G274" i="9" s="1"/>
  <c r="L76" i="33"/>
  <c r="M76" i="33" s="1"/>
  <c r="L117" i="33"/>
  <c r="M117" i="33" s="1"/>
  <c r="G123" i="9" s="1"/>
  <c r="L97" i="33"/>
  <c r="M97" i="33" s="1"/>
  <c r="G103" i="9" s="1"/>
  <c r="L175" i="33"/>
  <c r="M175" i="33" s="1"/>
  <c r="L121" i="33"/>
  <c r="M121" i="33" s="1"/>
  <c r="G127" i="9" s="1"/>
  <c r="L74" i="33"/>
  <c r="M74" i="33" s="1"/>
  <c r="G80" i="9" s="1"/>
  <c r="L99" i="33"/>
  <c r="M99" i="33" s="1"/>
  <c r="G105" i="9" s="1"/>
  <c r="L171" i="33"/>
  <c r="M171" i="33" s="1"/>
  <c r="G177" i="9" s="1"/>
  <c r="L223" i="33"/>
  <c r="M223" i="33" s="1"/>
  <c r="G229" i="9" s="1"/>
  <c r="L259" i="33"/>
  <c r="M259" i="33" s="1"/>
  <c r="G265" i="9" s="1"/>
  <c r="L128" i="33"/>
  <c r="M128" i="33" s="1"/>
  <c r="L301" i="33"/>
  <c r="M301" i="33" s="1"/>
  <c r="L236" i="33"/>
  <c r="M236" i="33" s="1"/>
  <c r="G242" i="9" s="1"/>
  <c r="L269" i="33"/>
  <c r="M269" i="33" s="1"/>
  <c r="G275" i="9" s="1"/>
  <c r="L297" i="33"/>
  <c r="M297" i="33" s="1"/>
  <c r="G303" i="9" s="1"/>
  <c r="L163" i="33"/>
  <c r="M163" i="33" s="1"/>
  <c r="G169" i="9" s="1"/>
  <c r="L108" i="33"/>
  <c r="M108" i="33" s="1"/>
  <c r="L68" i="33"/>
  <c r="M68" i="33" s="1"/>
  <c r="G74" i="9" s="1"/>
  <c r="L18" i="33"/>
  <c r="M18" i="33" s="1"/>
  <c r="G24" i="9" s="1"/>
  <c r="L255" i="33"/>
  <c r="M255" i="33" s="1"/>
  <c r="G261" i="9" s="1"/>
  <c r="L155" i="33"/>
  <c r="M155" i="33" s="1"/>
  <c r="L52" i="33"/>
  <c r="M52" i="33" s="1"/>
  <c r="G58" i="9" s="1"/>
  <c r="L267" i="33"/>
  <c r="M267" i="33" s="1"/>
  <c r="G273" i="9" s="1"/>
  <c r="L24" i="33"/>
  <c r="M24" i="33" s="1"/>
  <c r="G30" i="9" s="1"/>
  <c r="L53" i="33"/>
  <c r="M53" i="33" s="1"/>
  <c r="G59" i="9" s="1"/>
  <c r="L283" i="33"/>
  <c r="M283" i="33" s="1"/>
  <c r="G289" i="9" s="1"/>
  <c r="L56" i="33"/>
  <c r="M56" i="33" s="1"/>
  <c r="G62" i="9" s="1"/>
  <c r="L79" i="33"/>
  <c r="M79" i="33" s="1"/>
  <c r="G85" i="9" s="1"/>
  <c r="L193" i="33"/>
  <c r="M193" i="33" s="1"/>
  <c r="L14" i="33"/>
  <c r="M14" i="33" s="1"/>
  <c r="G20" i="9" s="1"/>
  <c r="L287" i="33"/>
  <c r="M287" i="33" s="1"/>
  <c r="G293" i="9" s="1"/>
  <c r="L9" i="33"/>
  <c r="M9" i="33" s="1"/>
  <c r="G15" i="9" s="1"/>
  <c r="L105" i="33"/>
  <c r="M105" i="33" s="1"/>
  <c r="L25" i="33"/>
  <c r="M25" i="33" s="1"/>
  <c r="L162" i="33"/>
  <c r="M162" i="33" s="1"/>
  <c r="G168" i="9" s="1"/>
  <c r="L112" i="33"/>
  <c r="M112" i="33" s="1"/>
  <c r="G118" i="9" s="1"/>
  <c r="L282" i="33"/>
  <c r="M282" i="33" s="1"/>
  <c r="L127" i="33"/>
  <c r="M127" i="33" s="1"/>
  <c r="G133" i="9" s="1"/>
  <c r="L213" i="33"/>
  <c r="M213" i="33" s="1"/>
  <c r="G219" i="9" s="1"/>
  <c r="L201" i="33"/>
  <c r="M201" i="33" s="1"/>
  <c r="G207" i="9" s="1"/>
  <c r="L119" i="33"/>
  <c r="M119" i="33" s="1"/>
  <c r="G125" i="9" s="1"/>
  <c r="L158" i="33"/>
  <c r="M158" i="33" s="1"/>
  <c r="G164" i="9" s="1"/>
  <c r="L166" i="33"/>
  <c r="M166" i="33" s="1"/>
  <c r="G172" i="9" s="1"/>
  <c r="L7" i="33"/>
  <c r="M7" i="33" s="1"/>
  <c r="L37" i="33"/>
  <c r="M37" i="33" s="1"/>
  <c r="L182" i="33"/>
  <c r="M182" i="33" s="1"/>
  <c r="G188" i="9" s="1"/>
  <c r="L145" i="33"/>
  <c r="M145" i="33" s="1"/>
  <c r="G151" i="9" s="1"/>
  <c r="L13" i="33"/>
  <c r="M13" i="33" s="1"/>
  <c r="G19" i="9" s="1"/>
  <c r="L20" i="33"/>
  <c r="M20" i="33" s="1"/>
  <c r="G26" i="9" s="1"/>
  <c r="L51" i="33"/>
  <c r="M51" i="33" s="1"/>
  <c r="G57" i="9" s="1"/>
  <c r="L204" i="33"/>
  <c r="M204" i="33" s="1"/>
  <c r="G210" i="9" s="1"/>
  <c r="L188" i="33"/>
  <c r="M188" i="33" s="1"/>
  <c r="L298" i="33"/>
  <c r="M298" i="33" s="1"/>
  <c r="L35" i="33"/>
  <c r="M35" i="33" s="1"/>
  <c r="G41" i="9" s="1"/>
  <c r="L90" i="33"/>
  <c r="M90" i="33" s="1"/>
  <c r="G96" i="9" s="1"/>
  <c r="L178" i="33"/>
  <c r="M178" i="33" s="1"/>
  <c r="G184" i="9" s="1"/>
  <c r="L243" i="33"/>
  <c r="M243" i="33" s="1"/>
  <c r="G249" i="9" s="1"/>
  <c r="L253" i="33"/>
  <c r="M253" i="33" s="1"/>
  <c r="L19" i="33"/>
  <c r="M19" i="33" s="1"/>
  <c r="G25" i="9" s="1"/>
  <c r="L58" i="33"/>
  <c r="M58" i="33" s="1"/>
  <c r="G64" i="9" s="1"/>
  <c r="L141" i="33"/>
  <c r="M141" i="33" s="1"/>
  <c r="L216" i="33"/>
  <c r="M216" i="33" s="1"/>
  <c r="G222" i="9" s="1"/>
  <c r="L203" i="33"/>
  <c r="M203" i="33" s="1"/>
  <c r="G209" i="9" s="1"/>
  <c r="L212" i="33"/>
  <c r="M212" i="33" s="1"/>
  <c r="G218" i="9" s="1"/>
  <c r="L280" i="33"/>
  <c r="M280" i="33" s="1"/>
  <c r="G286" i="9" s="1"/>
  <c r="L249" i="33"/>
  <c r="M249" i="33" s="1"/>
  <c r="G255" i="9" s="1"/>
  <c r="L33" i="33"/>
  <c r="M33" i="33" s="1"/>
  <c r="G39" i="9" s="1"/>
  <c r="L62" i="33"/>
  <c r="M62" i="33" s="1"/>
  <c r="G68" i="9" s="1"/>
  <c r="L209" i="33"/>
  <c r="M209" i="33" s="1"/>
  <c r="L168" i="33"/>
  <c r="M168" i="33" s="1"/>
  <c r="G174" i="9" s="1"/>
  <c r="L60" i="33"/>
  <c r="M60" i="33" s="1"/>
  <c r="G66" i="9" s="1"/>
  <c r="L288" i="33"/>
  <c r="M288" i="33" s="1"/>
  <c r="G294" i="9" s="1"/>
  <c r="L39" i="33"/>
  <c r="M39" i="33" s="1"/>
  <c r="L22" i="33"/>
  <c r="M22" i="33" s="1"/>
  <c r="G28" i="9" s="1"/>
  <c r="L69" i="33"/>
  <c r="M69" i="33" s="1"/>
  <c r="G75" i="9" s="1"/>
  <c r="L156" i="33"/>
  <c r="M156" i="33" s="1"/>
  <c r="G162" i="9" s="1"/>
  <c r="L251" i="33"/>
  <c r="M251" i="33" s="1"/>
  <c r="G257" i="9" s="1"/>
  <c r="L217" i="33"/>
  <c r="M217" i="33" s="1"/>
  <c r="G223" i="9" s="1"/>
  <c r="L234" i="33"/>
  <c r="M234" i="33" s="1"/>
  <c r="G240" i="9" s="1"/>
  <c r="L277" i="33"/>
  <c r="M277" i="33" s="1"/>
  <c r="G283" i="9" s="1"/>
  <c r="L299" i="33"/>
  <c r="M299" i="33" s="1"/>
  <c r="L36" i="33"/>
  <c r="M36" i="33" s="1"/>
  <c r="G42" i="9" s="1"/>
  <c r="L44" i="33"/>
  <c r="M44" i="33" s="1"/>
  <c r="G50" i="9" s="1"/>
  <c r="L54" i="33"/>
  <c r="M54" i="33" s="1"/>
  <c r="G60" i="9" s="1"/>
  <c r="L32" i="33"/>
  <c r="M32" i="33" s="1"/>
  <c r="L192" i="33"/>
  <c r="M192" i="33" s="1"/>
  <c r="G198" i="9" s="1"/>
  <c r="L197" i="33"/>
  <c r="M197" i="33" s="1"/>
  <c r="G203" i="9" s="1"/>
  <c r="L219" i="33"/>
  <c r="M219" i="33" s="1"/>
  <c r="G225" i="9" s="1"/>
  <c r="L172" i="33"/>
  <c r="M172" i="33" s="1"/>
  <c r="G178" i="9" s="1"/>
  <c r="L279" i="33"/>
  <c r="M279" i="33" s="1"/>
  <c r="L144" i="33"/>
  <c r="M144" i="33" s="1"/>
  <c r="G150" i="9" s="1"/>
  <c r="L129" i="33"/>
  <c r="M129" i="33" s="1"/>
  <c r="G135" i="9" s="1"/>
  <c r="L264" i="33"/>
  <c r="M264" i="33" s="1"/>
  <c r="L230" i="33"/>
  <c r="M230" i="33" s="1"/>
  <c r="G236" i="9" s="1"/>
  <c r="L225" i="33"/>
  <c r="M225" i="33" s="1"/>
  <c r="G231" i="9" s="1"/>
  <c r="L276" i="33"/>
  <c r="M276" i="33" s="1"/>
  <c r="G282" i="9" s="1"/>
  <c r="L81" i="33"/>
  <c r="M81" i="33" s="1"/>
  <c r="L125" i="33"/>
  <c r="M125" i="33" s="1"/>
  <c r="L131" i="33"/>
  <c r="M131" i="33" s="1"/>
  <c r="G137" i="9" s="1"/>
  <c r="L191" i="33"/>
  <c r="M191" i="33" s="1"/>
  <c r="G197" i="9" s="1"/>
  <c r="L123" i="33"/>
  <c r="M123" i="33" s="1"/>
  <c r="G129" i="9" s="1"/>
  <c r="L88" i="33"/>
  <c r="M88" i="33" s="1"/>
  <c r="G94" i="9" s="1"/>
  <c r="L115" i="33"/>
  <c r="M115" i="33" s="1"/>
  <c r="G121" i="9" s="1"/>
  <c r="L184" i="33"/>
  <c r="M184" i="33" s="1"/>
  <c r="G190" i="9" s="1"/>
  <c r="L231" i="33"/>
  <c r="M231" i="33" s="1"/>
  <c r="G237" i="9" s="1"/>
  <c r="L275" i="33"/>
  <c r="M275" i="33" s="1"/>
  <c r="G281" i="9" s="1"/>
  <c r="L262" i="33"/>
  <c r="M262" i="33" s="1"/>
  <c r="G268" i="9" s="1"/>
  <c r="L246" i="33"/>
  <c r="M246" i="33" s="1"/>
  <c r="G252" i="9" s="1"/>
  <c r="L248" i="33"/>
  <c r="M248" i="33" s="1"/>
  <c r="G254" i="9" s="1"/>
  <c r="L302" i="33"/>
  <c r="M302" i="33" s="1"/>
  <c r="G308" i="9" s="1"/>
  <c r="L118" i="33"/>
  <c r="M118" i="33" s="1"/>
  <c r="G124" i="9" s="1"/>
  <c r="L134" i="33"/>
  <c r="M134" i="33" s="1"/>
  <c r="G140" i="9" s="1"/>
  <c r="L100" i="33"/>
  <c r="M100" i="33" s="1"/>
  <c r="G106" i="9" s="1"/>
  <c r="L42" i="33"/>
  <c r="M42" i="33" s="1"/>
  <c r="G48" i="9" s="1"/>
  <c r="L8" i="33"/>
  <c r="M8" i="33" s="1"/>
  <c r="G14" i="9" s="1"/>
  <c r="G208" i="9"/>
  <c r="G215" i="9"/>
  <c r="G33" i="9"/>
  <c r="G149" i="9"/>
  <c r="G54" i="9"/>
  <c r="G173" i="9"/>
  <c r="G297" i="9"/>
  <c r="G72" i="9"/>
  <c r="G32" i="9"/>
  <c r="G180" i="9"/>
  <c r="G311" i="9"/>
  <c r="G31" i="9"/>
  <c r="G102" i="9"/>
  <c r="G45" i="9"/>
  <c r="G263" i="9"/>
  <c r="G16" i="9"/>
  <c r="G87" i="9"/>
  <c r="G189" i="9"/>
  <c r="G285" i="9"/>
  <c r="G100" i="9"/>
  <c r="G148" i="9"/>
  <c r="G230" i="9"/>
  <c r="G262" i="9"/>
  <c r="G307" i="9"/>
  <c r="G305" i="9"/>
  <c r="G181" i="9"/>
  <c r="G196" i="9"/>
  <c r="G183" i="9"/>
  <c r="G77" i="9"/>
  <c r="G145" i="9"/>
  <c r="G269" i="9"/>
  <c r="G227" i="9"/>
  <c r="G34" i="9"/>
  <c r="G108" i="9"/>
  <c r="G56" i="9"/>
  <c r="G185" i="9"/>
  <c r="G61" i="9"/>
  <c r="G141" i="9"/>
  <c r="G288" i="9"/>
  <c r="G241" i="9"/>
  <c r="G186" i="9"/>
  <c r="G18" i="9"/>
  <c r="G111" i="9"/>
  <c r="G23" i="9"/>
  <c r="G158" i="9"/>
  <c r="G290" i="9"/>
  <c r="G200" i="9"/>
  <c r="G21" i="9"/>
  <c r="G212" i="9"/>
  <c r="G234" i="9"/>
  <c r="G38" i="9"/>
  <c r="G84" i="9"/>
  <c r="G134" i="9"/>
  <c r="G52" i="9"/>
  <c r="G101" i="9"/>
  <c r="G161" i="9"/>
  <c r="G245" i="9"/>
  <c r="G277" i="9"/>
  <c r="G217" i="9"/>
  <c r="G163" i="9"/>
  <c r="G264" i="9"/>
  <c r="G292" i="9"/>
  <c r="G79" i="9"/>
  <c r="G128" i="9"/>
  <c r="G165" i="9"/>
  <c r="G201" i="9"/>
  <c r="G205" i="9"/>
  <c r="G131" i="9"/>
  <c r="G284" i="9"/>
  <c r="G82" i="9"/>
  <c r="G154" i="9"/>
  <c r="G191" i="9"/>
  <c r="G199" i="9"/>
  <c r="G279" i="9"/>
  <c r="G13" i="9"/>
  <c r="G63" i="9"/>
  <c r="G271" i="9"/>
  <c r="G43" i="9"/>
  <c r="G89" i="9"/>
  <c r="G194" i="9"/>
  <c r="G17" i="9"/>
  <c r="G304" i="9"/>
  <c r="G27" i="9"/>
  <c r="G36" i="9"/>
  <c r="G114" i="9"/>
  <c r="G29" i="9"/>
  <c r="G144" i="9"/>
  <c r="G69" i="9"/>
  <c r="G110" i="9"/>
  <c r="G143" i="9"/>
  <c r="G175" i="9"/>
  <c r="G147" i="9"/>
  <c r="G246" i="9"/>
  <c r="G298" i="9"/>
  <c r="G220" i="9"/>
  <c r="G270" i="9"/>
  <c r="G76" i="9"/>
  <c r="G86" i="9"/>
  <c r="G213" i="9"/>
  <c r="G224" i="9"/>
  <c r="G259" i="9"/>
  <c r="G250" i="9"/>
  <c r="G310" i="9"/>
  <c r="G93" i="9"/>
  <c r="G117" i="9"/>
  <c r="G132" i="9"/>
  <c r="G97" i="9"/>
  <c r="G235" i="9"/>
  <c r="G287" i="9"/>
  <c r="G233" i="9"/>
  <c r="G202" i="9"/>
  <c r="H305" i="25"/>
  <c r="I306" i="54"/>
  <c r="K39" i="40"/>
  <c r="K40" i="40" s="1"/>
  <c r="H40" i="40" s="1"/>
  <c r="L6" i="33"/>
  <c r="M6" i="33" s="1"/>
  <c r="I6" i="37"/>
  <c r="F30" i="48" l="1"/>
  <c r="B18" i="48"/>
  <c r="G306" i="37"/>
  <c r="C41" i="40"/>
  <c r="M5" i="11" s="1"/>
  <c r="F12" i="34"/>
  <c r="F6" i="12" s="1"/>
  <c r="I306" i="37"/>
  <c r="M306" i="33"/>
  <c r="C7" i="9" s="1"/>
  <c r="C8" i="9" s="1"/>
  <c r="G12" i="9"/>
  <c r="M212" i="11" l="1"/>
  <c r="M208" i="11"/>
  <c r="M204" i="11"/>
  <c r="M200" i="11"/>
  <c r="M196" i="11"/>
  <c r="M192" i="11"/>
  <c r="M188" i="11"/>
  <c r="M184" i="11"/>
  <c r="M209" i="11"/>
  <c r="M201" i="11"/>
  <c r="M193" i="11"/>
  <c r="M185" i="11"/>
  <c r="M135" i="11"/>
  <c r="M118" i="11"/>
  <c r="M131" i="11"/>
  <c r="M120" i="11"/>
  <c r="M127" i="11"/>
  <c r="M112" i="11"/>
  <c r="M104" i="11"/>
  <c r="M96" i="11"/>
  <c r="M88" i="11"/>
  <c r="M123" i="11"/>
  <c r="M114" i="11"/>
  <c r="M106" i="11"/>
  <c r="M98" i="11"/>
  <c r="M90" i="11"/>
  <c r="M82" i="11"/>
  <c r="M65" i="11"/>
  <c r="M49" i="11"/>
  <c r="M109" i="11"/>
  <c r="M101" i="11"/>
  <c r="M93" i="11"/>
  <c r="M85" i="11"/>
  <c r="M62" i="11"/>
  <c r="M80" i="11"/>
  <c r="M63" i="11"/>
  <c r="M60" i="11"/>
  <c r="M187" i="11"/>
  <c r="M119" i="11"/>
  <c r="M133" i="11"/>
  <c r="M130" i="11"/>
  <c r="M137" i="11"/>
  <c r="M111" i="11"/>
  <c r="M95" i="11"/>
  <c r="M126" i="11"/>
  <c r="M207" i="11"/>
  <c r="M199" i="11"/>
  <c r="M191" i="11"/>
  <c r="M183" i="11"/>
  <c r="M129" i="11"/>
  <c r="M116" i="11"/>
  <c r="M121" i="11"/>
  <c r="M117" i="11"/>
  <c r="M107" i="11"/>
  <c r="M99" i="11"/>
  <c r="M91" i="11"/>
  <c r="M61" i="11"/>
  <c r="M58" i="11"/>
  <c r="M59" i="11"/>
  <c r="M83" i="11"/>
  <c r="M56" i="11"/>
  <c r="M211" i="11"/>
  <c r="M203" i="11"/>
  <c r="M195" i="11"/>
  <c r="M103" i="11"/>
  <c r="M53" i="11"/>
  <c r="M50" i="11"/>
  <c r="M64" i="11"/>
  <c r="M138" i="11"/>
  <c r="M214" i="11"/>
  <c r="M210" i="11"/>
  <c r="M206" i="11"/>
  <c r="M202" i="11"/>
  <c r="M198" i="11"/>
  <c r="M194" i="11"/>
  <c r="M190" i="11"/>
  <c r="M186" i="11"/>
  <c r="M182" i="11"/>
  <c r="M213" i="11"/>
  <c r="M205" i="11"/>
  <c r="M197" i="11"/>
  <c r="M189" i="11"/>
  <c r="M181" i="11"/>
  <c r="M136" i="11"/>
  <c r="M108" i="11"/>
  <c r="M100" i="11"/>
  <c r="M92" i="11"/>
  <c r="M84" i="11"/>
  <c r="M139" i="11"/>
  <c r="M128" i="11"/>
  <c r="M134" i="11"/>
  <c r="M110" i="11"/>
  <c r="M102" i="11"/>
  <c r="M94" i="11"/>
  <c r="M86" i="11"/>
  <c r="M78" i="11"/>
  <c r="M57" i="11"/>
  <c r="M113" i="11"/>
  <c r="M105" i="11"/>
  <c r="M97" i="11"/>
  <c r="M89" i="11"/>
  <c r="M81" i="11"/>
  <c r="M54" i="11"/>
  <c r="M55" i="11"/>
  <c r="M52" i="11"/>
  <c r="M122" i="11"/>
  <c r="M115" i="11"/>
  <c r="M125" i="11"/>
  <c r="M87" i="11"/>
  <c r="M66" i="11"/>
  <c r="M67" i="11"/>
  <c r="M51" i="11"/>
  <c r="M79" i="11"/>
  <c r="M13" i="11"/>
  <c r="M18" i="11"/>
  <c r="M17" i="11"/>
  <c r="M75" i="11"/>
  <c r="M12" i="11"/>
  <c r="M41" i="11"/>
  <c r="M77" i="11"/>
  <c r="M175" i="11"/>
  <c r="M260" i="11"/>
  <c r="M265" i="11"/>
  <c r="M220" i="11"/>
  <c r="M299" i="11"/>
  <c r="M22" i="11"/>
  <c r="M76" i="11"/>
  <c r="M144" i="11"/>
  <c r="M147" i="11"/>
  <c r="M160" i="11"/>
  <c r="M176" i="11"/>
  <c r="M217" i="11"/>
  <c r="M249" i="11"/>
  <c r="M278" i="11"/>
  <c r="M246" i="11"/>
  <c r="M7" i="11"/>
  <c r="M45" i="11"/>
  <c r="M173" i="11"/>
  <c r="M231" i="11"/>
  <c r="M264" i="11"/>
  <c r="M296" i="11"/>
  <c r="M234" i="11"/>
  <c r="M269" i="11"/>
  <c r="M301" i="11"/>
  <c r="M240" i="11"/>
  <c r="M271" i="11"/>
  <c r="M303" i="11"/>
  <c r="M43" i="11"/>
  <c r="M179" i="11"/>
  <c r="M292" i="11"/>
  <c r="M297" i="11"/>
  <c r="M228" i="11"/>
  <c r="M291" i="11"/>
  <c r="M28" i="11"/>
  <c r="M146" i="11"/>
  <c r="M143" i="11"/>
  <c r="M166" i="11"/>
  <c r="M229" i="11"/>
  <c r="M258" i="11"/>
  <c r="M290" i="11"/>
  <c r="M14" i="11"/>
  <c r="M8" i="11"/>
  <c r="M235" i="11"/>
  <c r="M275" i="11"/>
  <c r="M140" i="11"/>
  <c r="M241" i="11"/>
  <c r="M171" i="11"/>
  <c r="M283" i="11"/>
  <c r="M37" i="11"/>
  <c r="M255" i="11"/>
  <c r="M226" i="11"/>
  <c r="M232" i="11"/>
  <c r="M295" i="11"/>
  <c r="M276" i="11"/>
  <c r="M48" i="11"/>
  <c r="M72" i="11"/>
  <c r="M178" i="11"/>
  <c r="M253" i="11"/>
  <c r="M24" i="11"/>
  <c r="M23" i="11"/>
  <c r="M141" i="11"/>
  <c r="M153" i="11"/>
  <c r="M9" i="11"/>
  <c r="M16" i="11"/>
  <c r="M26" i="11"/>
  <c r="M25" i="11"/>
  <c r="M157" i="11"/>
  <c r="M284" i="11"/>
  <c r="M289" i="11"/>
  <c r="M236" i="11"/>
  <c r="M38" i="11"/>
  <c r="M30" i="11"/>
  <c r="M148" i="11"/>
  <c r="M155" i="11"/>
  <c r="M164" i="11"/>
  <c r="M180" i="11"/>
  <c r="M225" i="11"/>
  <c r="M257" i="11"/>
  <c r="M286" i="11"/>
  <c r="M29" i="11"/>
  <c r="M243" i="11"/>
  <c r="M281" i="11"/>
  <c r="M15" i="11"/>
  <c r="M27" i="11"/>
  <c r="M70" i="11"/>
  <c r="M161" i="11"/>
  <c r="M177" i="11"/>
  <c r="M239" i="11"/>
  <c r="M272" i="11"/>
  <c r="M304" i="11"/>
  <c r="M242" i="11"/>
  <c r="M277" i="11"/>
  <c r="M216" i="11"/>
  <c r="M248" i="11"/>
  <c r="M279" i="11"/>
  <c r="M132" i="11"/>
  <c r="M227" i="11"/>
  <c r="M230" i="11"/>
  <c r="M244" i="11"/>
  <c r="M40" i="11"/>
  <c r="M36" i="11"/>
  <c r="M150" i="11"/>
  <c r="M151" i="11"/>
  <c r="M170" i="11"/>
  <c r="M237" i="11"/>
  <c r="M266" i="11"/>
  <c r="M298" i="11"/>
  <c r="M302" i="11"/>
  <c r="M35" i="11"/>
  <c r="M223" i="11"/>
  <c r="M293" i="11"/>
  <c r="M263" i="11"/>
  <c r="M167" i="11"/>
  <c r="M149" i="11"/>
  <c r="M221" i="11"/>
  <c r="M145" i="11"/>
  <c r="M32" i="11"/>
  <c r="M20" i="11"/>
  <c r="M73" i="11"/>
  <c r="M33" i="11"/>
  <c r="M219" i="11"/>
  <c r="M222" i="11"/>
  <c r="M305" i="11"/>
  <c r="M252" i="11"/>
  <c r="M42" i="11"/>
  <c r="M34" i="11"/>
  <c r="M71" i="11"/>
  <c r="M152" i="11"/>
  <c r="M168" i="11"/>
  <c r="M233" i="11"/>
  <c r="M262" i="11"/>
  <c r="M294" i="11"/>
  <c r="M268" i="11"/>
  <c r="M31" i="11"/>
  <c r="M165" i="11"/>
  <c r="M215" i="11"/>
  <c r="M247" i="11"/>
  <c r="M280" i="11"/>
  <c r="M218" i="11"/>
  <c r="M250" i="11"/>
  <c r="M285" i="11"/>
  <c r="M224" i="11"/>
  <c r="M256" i="11"/>
  <c r="M287" i="11"/>
  <c r="M21" i="11"/>
  <c r="M74" i="11"/>
  <c r="M159" i="11"/>
  <c r="M251" i="11"/>
  <c r="M254" i="11"/>
  <c r="M259" i="11"/>
  <c r="M44" i="11"/>
  <c r="M124" i="11"/>
  <c r="M154" i="11"/>
  <c r="M158" i="11"/>
  <c r="M174" i="11"/>
  <c r="M245" i="11"/>
  <c r="M274" i="11"/>
  <c r="M47" i="11"/>
  <c r="M69" i="11"/>
  <c r="M39" i="11"/>
  <c r="M11" i="11"/>
  <c r="M163" i="11"/>
  <c r="M238" i="11"/>
  <c r="M46" i="11"/>
  <c r="M68" i="11"/>
  <c r="M156" i="11"/>
  <c r="M172" i="11"/>
  <c r="M270" i="11"/>
  <c r="M19" i="11"/>
  <c r="M300" i="11"/>
  <c r="M169" i="11"/>
  <c r="M288" i="11"/>
  <c r="M261" i="11"/>
  <c r="M10" i="11"/>
  <c r="M273" i="11"/>
  <c r="M267" i="11"/>
  <c r="M142" i="11"/>
  <c r="M162" i="11"/>
  <c r="M282" i="11"/>
  <c r="F18" i="48"/>
  <c r="M6" i="11"/>
  <c r="C40" i="40"/>
  <c r="H5" i="11" s="1"/>
  <c r="G312" i="9"/>
  <c r="F312" i="34"/>
  <c r="D7" i="9"/>
  <c r="D8" i="9"/>
  <c r="H7" i="11" l="1"/>
  <c r="H130" i="11"/>
  <c r="H207" i="11"/>
  <c r="H199" i="11"/>
  <c r="H191" i="11"/>
  <c r="H183" i="11"/>
  <c r="O183" i="11" s="1"/>
  <c r="G189" i="34" s="1"/>
  <c r="G183" i="12" s="1"/>
  <c r="F183" i="39" s="1"/>
  <c r="H138" i="11"/>
  <c r="O138" i="11" s="1"/>
  <c r="G144" i="34" s="1"/>
  <c r="G138" i="12" s="1"/>
  <c r="F138" i="39" s="1"/>
  <c r="H122" i="11"/>
  <c r="O122" i="11" s="1"/>
  <c r="G128" i="34" s="1"/>
  <c r="G122" i="12" s="1"/>
  <c r="F122" i="39" s="1"/>
  <c r="H134" i="11"/>
  <c r="H116" i="11"/>
  <c r="O116" i="11" s="1"/>
  <c r="G122" i="34" s="1"/>
  <c r="G116" i="12" s="1"/>
  <c r="F116" i="39" s="1"/>
  <c r="H110" i="11"/>
  <c r="H102" i="11"/>
  <c r="O102" i="11" s="1"/>
  <c r="G108" i="34" s="1"/>
  <c r="G102" i="12" s="1"/>
  <c r="F102" i="39" s="1"/>
  <c r="H94" i="11"/>
  <c r="H86" i="11"/>
  <c r="O86" i="11" s="1"/>
  <c r="G92" i="34" s="1"/>
  <c r="G86" i="12" s="1"/>
  <c r="F86" i="39" s="1"/>
  <c r="H20" i="11"/>
  <c r="O20" i="11" s="1"/>
  <c r="G26" i="34" s="1"/>
  <c r="G20" i="12" s="1"/>
  <c r="F20" i="39" s="1"/>
  <c r="H12" i="11"/>
  <c r="O12" i="11" s="1"/>
  <c r="G18" i="34" s="1"/>
  <c r="G12" i="12" s="1"/>
  <c r="F12" i="39" s="1"/>
  <c r="H210" i="11"/>
  <c r="H202" i="11"/>
  <c r="H194" i="11"/>
  <c r="O194" i="11" s="1"/>
  <c r="G200" i="34" s="1"/>
  <c r="G194" i="12" s="1"/>
  <c r="F194" i="39" s="1"/>
  <c r="H182" i="11"/>
  <c r="H132" i="11"/>
  <c r="H201" i="11"/>
  <c r="O201" i="11" s="1"/>
  <c r="G207" i="34" s="1"/>
  <c r="G201" i="12" s="1"/>
  <c r="F201" i="39" s="1"/>
  <c r="H123" i="11"/>
  <c r="O123" i="11" s="1"/>
  <c r="G129" i="34" s="1"/>
  <c r="G123" i="12" s="1"/>
  <c r="F123" i="39" s="1"/>
  <c r="H124" i="11"/>
  <c r="O124" i="11" s="1"/>
  <c r="G130" i="34" s="1"/>
  <c r="G124" i="12" s="1"/>
  <c r="F124" i="39" s="1"/>
  <c r="H99" i="11"/>
  <c r="H117" i="11"/>
  <c r="O117" i="11" s="1"/>
  <c r="G123" i="34" s="1"/>
  <c r="G117" i="12" s="1"/>
  <c r="F117" i="39" s="1"/>
  <c r="H101" i="11"/>
  <c r="H85" i="11"/>
  <c r="H112" i="11"/>
  <c r="H80" i="11"/>
  <c r="O80" i="11" s="1"/>
  <c r="G86" i="34" s="1"/>
  <c r="G80" i="12" s="1"/>
  <c r="F80" i="39" s="1"/>
  <c r="H212" i="11"/>
  <c r="H208" i="11"/>
  <c r="O208" i="11" s="1"/>
  <c r="G214" i="34" s="1"/>
  <c r="G208" i="12" s="1"/>
  <c r="F208" i="39" s="1"/>
  <c r="H204" i="11"/>
  <c r="H200" i="11"/>
  <c r="O200" i="11" s="1"/>
  <c r="G206" i="34" s="1"/>
  <c r="G200" i="12" s="1"/>
  <c r="F200" i="39" s="1"/>
  <c r="H196" i="11"/>
  <c r="H192" i="11"/>
  <c r="O192" i="11" s="1"/>
  <c r="G198" i="34" s="1"/>
  <c r="G192" i="12" s="1"/>
  <c r="F192" i="39" s="1"/>
  <c r="H188" i="11"/>
  <c r="H184" i="11"/>
  <c r="O184" i="11" s="1"/>
  <c r="G190" i="34" s="1"/>
  <c r="G184" i="12" s="1"/>
  <c r="F184" i="39" s="1"/>
  <c r="H135" i="11"/>
  <c r="O135" i="11" s="1"/>
  <c r="G141" i="34" s="1"/>
  <c r="G135" i="12" s="1"/>
  <c r="F135" i="39" s="1"/>
  <c r="H129" i="11"/>
  <c r="O129" i="11" s="1"/>
  <c r="G135" i="34" s="1"/>
  <c r="G129" i="12" s="1"/>
  <c r="F129" i="39" s="1"/>
  <c r="H213" i="11"/>
  <c r="H205" i="11"/>
  <c r="O205" i="11" s="1"/>
  <c r="G211" i="34" s="1"/>
  <c r="G205" i="12" s="1"/>
  <c r="F205" i="39" s="1"/>
  <c r="H197" i="11"/>
  <c r="H189" i="11"/>
  <c r="H181" i="11"/>
  <c r="H139" i="11"/>
  <c r="O139" i="11" s="1"/>
  <c r="G145" i="34" s="1"/>
  <c r="G139" i="12" s="1"/>
  <c r="F139" i="39" s="1"/>
  <c r="H137" i="11"/>
  <c r="O137" i="11" s="1"/>
  <c r="G143" i="34" s="1"/>
  <c r="G137" i="12" s="1"/>
  <c r="F137" i="39" s="1"/>
  <c r="H127" i="11"/>
  <c r="O127" i="11" s="1"/>
  <c r="G133" i="34" s="1"/>
  <c r="G127" i="12" s="1"/>
  <c r="F127" i="39" s="1"/>
  <c r="H121" i="11"/>
  <c r="H111" i="11"/>
  <c r="O111" i="11" s="1"/>
  <c r="G117" i="34" s="1"/>
  <c r="G111" i="12" s="1"/>
  <c r="F111" i="39" s="1"/>
  <c r="H103" i="11"/>
  <c r="H95" i="11"/>
  <c r="H87" i="11"/>
  <c r="H131" i="11"/>
  <c r="O131" i="11" s="1"/>
  <c r="G137" i="34" s="1"/>
  <c r="G131" i="12" s="1"/>
  <c r="F131" i="39" s="1"/>
  <c r="H113" i="11"/>
  <c r="O113" i="11" s="1"/>
  <c r="G119" i="34" s="1"/>
  <c r="G113" i="12" s="1"/>
  <c r="F113" i="39" s="1"/>
  <c r="H105" i="11"/>
  <c r="O105" i="11" s="1"/>
  <c r="G111" i="34" s="1"/>
  <c r="G105" i="12" s="1"/>
  <c r="F105" i="39" s="1"/>
  <c r="H97" i="11"/>
  <c r="O97" i="11" s="1"/>
  <c r="G103" i="34" s="1"/>
  <c r="G97" i="12" s="1"/>
  <c r="F97" i="39" s="1"/>
  <c r="H89" i="11"/>
  <c r="O89" i="11" s="1"/>
  <c r="G95" i="34" s="1"/>
  <c r="G89" i="12" s="1"/>
  <c r="F89" i="39" s="1"/>
  <c r="H81" i="11"/>
  <c r="O81" i="11" s="1"/>
  <c r="G87" i="34" s="1"/>
  <c r="G81" i="12" s="1"/>
  <c r="F81" i="39" s="1"/>
  <c r="H108" i="11"/>
  <c r="H100" i="11"/>
  <c r="H92" i="11"/>
  <c r="H84" i="11"/>
  <c r="O84" i="11" s="1"/>
  <c r="G90" i="34" s="1"/>
  <c r="G84" i="12" s="1"/>
  <c r="F84" i="39" s="1"/>
  <c r="H79" i="11"/>
  <c r="O79" i="11" s="1"/>
  <c r="G85" i="34" s="1"/>
  <c r="G79" i="12" s="1"/>
  <c r="F79" i="39" s="1"/>
  <c r="H49" i="11"/>
  <c r="H9" i="11"/>
  <c r="H18" i="11"/>
  <c r="H10" i="11"/>
  <c r="O10" i="11" s="1"/>
  <c r="G16" i="34" s="1"/>
  <c r="G10" i="12" s="1"/>
  <c r="F10" i="39" s="1"/>
  <c r="H214" i="11"/>
  <c r="H206" i="11"/>
  <c r="O206" i="11" s="1"/>
  <c r="G212" i="34" s="1"/>
  <c r="G206" i="12" s="1"/>
  <c r="F206" i="39" s="1"/>
  <c r="H198" i="11"/>
  <c r="O198" i="11" s="1"/>
  <c r="G204" i="34" s="1"/>
  <c r="G198" i="12" s="1"/>
  <c r="F198" i="39" s="1"/>
  <c r="H186" i="11"/>
  <c r="O186" i="11" s="1"/>
  <c r="G192" i="34" s="1"/>
  <c r="G186" i="12" s="1"/>
  <c r="F186" i="39" s="1"/>
  <c r="H193" i="11"/>
  <c r="H115" i="11"/>
  <c r="O115" i="11" s="1"/>
  <c r="G121" i="34" s="1"/>
  <c r="G115" i="12" s="1"/>
  <c r="F115" i="39" s="1"/>
  <c r="H91" i="11"/>
  <c r="H109" i="11"/>
  <c r="H104" i="11"/>
  <c r="H88" i="11"/>
  <c r="O88" i="11" s="1"/>
  <c r="G94" i="34" s="1"/>
  <c r="G88" i="12" s="1"/>
  <c r="F88" i="39" s="1"/>
  <c r="H14" i="11"/>
  <c r="O14" i="11" s="1"/>
  <c r="G20" i="34" s="1"/>
  <c r="G14" i="12" s="1"/>
  <c r="F14" i="39" s="1"/>
  <c r="H118" i="11"/>
  <c r="O118" i="11" s="1"/>
  <c r="G124" i="34" s="1"/>
  <c r="G118" i="12" s="1"/>
  <c r="F118" i="39" s="1"/>
  <c r="H133" i="11"/>
  <c r="H128" i="11"/>
  <c r="O128" i="11" s="1"/>
  <c r="G134" i="34" s="1"/>
  <c r="G128" i="12" s="1"/>
  <c r="F128" i="39" s="1"/>
  <c r="H211" i="11"/>
  <c r="H203" i="11"/>
  <c r="H195" i="11"/>
  <c r="H187" i="11"/>
  <c r="O187" i="11" s="1"/>
  <c r="G193" i="34" s="1"/>
  <c r="G187" i="12" s="1"/>
  <c r="F187" i="39" s="1"/>
  <c r="H126" i="11"/>
  <c r="O126" i="11" s="1"/>
  <c r="G132" i="34" s="1"/>
  <c r="G126" i="12" s="1"/>
  <c r="F126" i="39" s="1"/>
  <c r="H136" i="11"/>
  <c r="O136" i="11" s="1"/>
  <c r="G142" i="34" s="1"/>
  <c r="G136" i="12" s="1"/>
  <c r="F136" i="39" s="1"/>
  <c r="H125" i="11"/>
  <c r="H120" i="11"/>
  <c r="O120" i="11" s="1"/>
  <c r="G126" i="34" s="1"/>
  <c r="G120" i="12" s="1"/>
  <c r="F120" i="39" s="1"/>
  <c r="H119" i="11"/>
  <c r="H114" i="11"/>
  <c r="H106" i="11"/>
  <c r="H98" i="11"/>
  <c r="H90" i="11"/>
  <c r="O90" i="11" s="1"/>
  <c r="G96" i="34" s="1"/>
  <c r="G90" i="12" s="1"/>
  <c r="F90" i="39" s="1"/>
  <c r="H82" i="11"/>
  <c r="O82" i="11" s="1"/>
  <c r="G88" i="34" s="1"/>
  <c r="G82" i="12" s="1"/>
  <c r="F82" i="39" s="1"/>
  <c r="H15" i="11"/>
  <c r="H16" i="11"/>
  <c r="O16" i="11" s="1"/>
  <c r="G22" i="34" s="1"/>
  <c r="G16" i="12" s="1"/>
  <c r="F16" i="39" s="1"/>
  <c r="H8" i="11"/>
  <c r="H190" i="11"/>
  <c r="H209" i="11"/>
  <c r="H185" i="11"/>
  <c r="O185" i="11" s="1"/>
  <c r="G191" i="34" s="1"/>
  <c r="G185" i="12" s="1"/>
  <c r="F185" i="39" s="1"/>
  <c r="H107" i="11"/>
  <c r="O107" i="11" s="1"/>
  <c r="G113" i="34" s="1"/>
  <c r="G107" i="12" s="1"/>
  <c r="F107" i="39" s="1"/>
  <c r="H93" i="11"/>
  <c r="O93" i="11" s="1"/>
  <c r="G99" i="34" s="1"/>
  <c r="G93" i="12" s="1"/>
  <c r="F93" i="39" s="1"/>
  <c r="H96" i="11"/>
  <c r="H83" i="11"/>
  <c r="O83" i="11" s="1"/>
  <c r="G89" i="34" s="1"/>
  <c r="G83" i="12" s="1"/>
  <c r="F83" i="39" s="1"/>
  <c r="H17" i="11"/>
  <c r="H144" i="11"/>
  <c r="H77" i="11"/>
  <c r="O77" i="11" s="1"/>
  <c r="G83" i="34" s="1"/>
  <c r="G77" i="12" s="1"/>
  <c r="F77" i="39" s="1"/>
  <c r="H148" i="11"/>
  <c r="O148" i="11" s="1"/>
  <c r="G154" i="34" s="1"/>
  <c r="G148" i="12" s="1"/>
  <c r="F148" i="39" s="1"/>
  <c r="H23" i="11"/>
  <c r="O23" i="11" s="1"/>
  <c r="G29" i="34" s="1"/>
  <c r="G23" i="12" s="1"/>
  <c r="F23" i="39" s="1"/>
  <c r="H40" i="11"/>
  <c r="O40" i="11" s="1"/>
  <c r="G46" i="34" s="1"/>
  <c r="G40" i="12" s="1"/>
  <c r="F40" i="39" s="1"/>
  <c r="H32" i="11"/>
  <c r="H166" i="11"/>
  <c r="O166" i="11" s="1"/>
  <c r="G172" i="34" s="1"/>
  <c r="G166" i="12" s="1"/>
  <c r="F166" i="39" s="1"/>
  <c r="H245" i="11"/>
  <c r="O245" i="11" s="1"/>
  <c r="G251" i="34" s="1"/>
  <c r="G245" i="12" s="1"/>
  <c r="F245" i="39" s="1"/>
  <c r="H29" i="11"/>
  <c r="H56" i="11"/>
  <c r="H167" i="11"/>
  <c r="O167" i="11" s="1"/>
  <c r="G173" i="34" s="1"/>
  <c r="G167" i="12" s="1"/>
  <c r="F167" i="39" s="1"/>
  <c r="H235" i="11"/>
  <c r="O235" i="11" s="1"/>
  <c r="G241" i="34" s="1"/>
  <c r="G235" i="12" s="1"/>
  <c r="F235" i="39" s="1"/>
  <c r="H268" i="11"/>
  <c r="O268" i="11" s="1"/>
  <c r="G274" i="34" s="1"/>
  <c r="G268" i="12" s="1"/>
  <c r="F268" i="39" s="1"/>
  <c r="H300" i="11"/>
  <c r="H246" i="11"/>
  <c r="O246" i="11" s="1"/>
  <c r="G252" i="34" s="1"/>
  <c r="G246" i="12" s="1"/>
  <c r="F246" i="39" s="1"/>
  <c r="H281" i="11"/>
  <c r="O281" i="11" s="1"/>
  <c r="G287" i="34" s="1"/>
  <c r="G281" i="12" s="1"/>
  <c r="F281" i="39" s="1"/>
  <c r="H220" i="11"/>
  <c r="O220" i="11" s="1"/>
  <c r="G226" i="34" s="1"/>
  <c r="G220" i="12" s="1"/>
  <c r="F220" i="39" s="1"/>
  <c r="H252" i="11"/>
  <c r="O252" i="11" s="1"/>
  <c r="G258" i="34" s="1"/>
  <c r="G252" i="12" s="1"/>
  <c r="F252" i="39" s="1"/>
  <c r="H283" i="11"/>
  <c r="O283" i="11" s="1"/>
  <c r="G289" i="34" s="1"/>
  <c r="G283" i="12" s="1"/>
  <c r="F283" i="39" s="1"/>
  <c r="H48" i="11"/>
  <c r="O48" i="11" s="1"/>
  <c r="G54" i="34" s="1"/>
  <c r="G48" i="12" s="1"/>
  <c r="F48" i="39" s="1"/>
  <c r="H63" i="11"/>
  <c r="O63" i="11" s="1"/>
  <c r="G69" i="34" s="1"/>
  <c r="G63" i="12" s="1"/>
  <c r="F63" i="39" s="1"/>
  <c r="H162" i="11"/>
  <c r="H140" i="11"/>
  <c r="O140" i="11" s="1"/>
  <c r="G146" i="34" s="1"/>
  <c r="G140" i="12" s="1"/>
  <c r="F140" i="39" s="1"/>
  <c r="H46" i="11"/>
  <c r="H25" i="11"/>
  <c r="H43" i="11"/>
  <c r="H65" i="11"/>
  <c r="O65" i="11" s="1"/>
  <c r="G71" i="34" s="1"/>
  <c r="G65" i="12" s="1"/>
  <c r="F65" i="39" s="1"/>
  <c r="H172" i="11"/>
  <c r="H155" i="11"/>
  <c r="O155" i="11" s="1"/>
  <c r="G161" i="34" s="1"/>
  <c r="G155" i="12" s="1"/>
  <c r="F155" i="39" s="1"/>
  <c r="H241" i="11"/>
  <c r="H270" i="11"/>
  <c r="O270" i="11" s="1"/>
  <c r="G276" i="34" s="1"/>
  <c r="G270" i="12" s="1"/>
  <c r="F270" i="39" s="1"/>
  <c r="H302" i="11"/>
  <c r="O302" i="11" s="1"/>
  <c r="G308" i="34" s="1"/>
  <c r="G302" i="12" s="1"/>
  <c r="F302" i="39" s="1"/>
  <c r="H39" i="11"/>
  <c r="O39" i="11" s="1"/>
  <c r="G45" i="34" s="1"/>
  <c r="G39" i="12" s="1"/>
  <c r="F39" i="39" s="1"/>
  <c r="H170" i="11"/>
  <c r="H258" i="11"/>
  <c r="O258" i="11" s="1"/>
  <c r="G264" i="34" s="1"/>
  <c r="G258" i="12" s="1"/>
  <c r="F258" i="39" s="1"/>
  <c r="H69" i="11"/>
  <c r="O69" i="11" s="1"/>
  <c r="G75" i="34" s="1"/>
  <c r="G69" i="12" s="1"/>
  <c r="F69" i="39" s="1"/>
  <c r="H58" i="11"/>
  <c r="O58" i="11" s="1"/>
  <c r="G64" i="34" s="1"/>
  <c r="G58" i="12" s="1"/>
  <c r="F58" i="39" s="1"/>
  <c r="H68" i="11"/>
  <c r="H165" i="11"/>
  <c r="O165" i="11" s="1"/>
  <c r="G171" i="34" s="1"/>
  <c r="G165" i="12" s="1"/>
  <c r="F165" i="39" s="1"/>
  <c r="H215" i="11"/>
  <c r="O215" i="11" s="1"/>
  <c r="G221" i="34" s="1"/>
  <c r="G215" i="12" s="1"/>
  <c r="F215" i="39" s="1"/>
  <c r="H247" i="11"/>
  <c r="H280" i="11"/>
  <c r="H218" i="11"/>
  <c r="O218" i="11" s="1"/>
  <c r="G224" i="34" s="1"/>
  <c r="G218" i="12" s="1"/>
  <c r="F218" i="39" s="1"/>
  <c r="H250" i="11"/>
  <c r="O250" i="11" s="1"/>
  <c r="G256" i="34" s="1"/>
  <c r="G250" i="12" s="1"/>
  <c r="F250" i="39" s="1"/>
  <c r="H285" i="11"/>
  <c r="O285" i="11" s="1"/>
  <c r="G291" i="34" s="1"/>
  <c r="G285" i="12" s="1"/>
  <c r="F285" i="39" s="1"/>
  <c r="H232" i="11"/>
  <c r="H263" i="11"/>
  <c r="O263" i="11" s="1"/>
  <c r="G269" i="34" s="1"/>
  <c r="G263" i="12" s="1"/>
  <c r="F263" i="39" s="1"/>
  <c r="H295" i="11"/>
  <c r="O295" i="11" s="1"/>
  <c r="G301" i="34" s="1"/>
  <c r="G295" i="12" s="1"/>
  <c r="F295" i="39" s="1"/>
  <c r="H153" i="11"/>
  <c r="O153" i="11" s="1"/>
  <c r="G159" i="34" s="1"/>
  <c r="G153" i="12" s="1"/>
  <c r="F153" i="39" s="1"/>
  <c r="H36" i="11"/>
  <c r="H71" i="11"/>
  <c r="O71" i="11" s="1"/>
  <c r="G77" i="34" s="1"/>
  <c r="G71" i="12" s="1"/>
  <c r="F71" i="39" s="1"/>
  <c r="H151" i="11"/>
  <c r="O151" i="11" s="1"/>
  <c r="G157" i="34" s="1"/>
  <c r="G151" i="12" s="1"/>
  <c r="F151" i="39" s="1"/>
  <c r="H229" i="11"/>
  <c r="O229" i="11" s="1"/>
  <c r="G235" i="34" s="1"/>
  <c r="G229" i="12" s="1"/>
  <c r="F229" i="39" s="1"/>
  <c r="H52" i="11"/>
  <c r="H163" i="11"/>
  <c r="O163" i="11" s="1"/>
  <c r="G169" i="34" s="1"/>
  <c r="G163" i="12" s="1"/>
  <c r="F163" i="39" s="1"/>
  <c r="H179" i="11"/>
  <c r="H227" i="11"/>
  <c r="H292" i="11"/>
  <c r="H273" i="11"/>
  <c r="O273" i="11" s="1"/>
  <c r="G279" i="34" s="1"/>
  <c r="G273" i="12" s="1"/>
  <c r="F273" i="39" s="1"/>
  <c r="H244" i="11"/>
  <c r="O244" i="11" s="1"/>
  <c r="G250" i="34" s="1"/>
  <c r="G244" i="12" s="1"/>
  <c r="F244" i="39" s="1"/>
  <c r="H51" i="11"/>
  <c r="O51" i="11" s="1"/>
  <c r="G57" i="34" s="1"/>
  <c r="G51" i="12" s="1"/>
  <c r="F51" i="39" s="1"/>
  <c r="H24" i="11"/>
  <c r="H147" i="11"/>
  <c r="O147" i="11" s="1"/>
  <c r="G153" i="34" s="1"/>
  <c r="G147" i="12" s="1"/>
  <c r="F147" i="39" s="1"/>
  <c r="H233" i="11"/>
  <c r="H70" i="11"/>
  <c r="O70" i="11" s="1"/>
  <c r="G76" i="34" s="1"/>
  <c r="G70" i="12" s="1"/>
  <c r="F70" i="39" s="1"/>
  <c r="H253" i="11"/>
  <c r="H161" i="11"/>
  <c r="O161" i="11" s="1"/>
  <c r="G167" i="34" s="1"/>
  <c r="G161" i="12" s="1"/>
  <c r="F161" i="39" s="1"/>
  <c r="H304" i="11"/>
  <c r="O304" i="11" s="1"/>
  <c r="G310" i="34" s="1"/>
  <c r="G304" i="12" s="1"/>
  <c r="F304" i="39" s="1"/>
  <c r="H242" i="11"/>
  <c r="O242" i="11" s="1"/>
  <c r="G248" i="34" s="1"/>
  <c r="G242" i="12" s="1"/>
  <c r="F242" i="39" s="1"/>
  <c r="H224" i="11"/>
  <c r="H287" i="11"/>
  <c r="O287" i="11" s="1"/>
  <c r="G293" i="34" s="1"/>
  <c r="G287" i="12" s="1"/>
  <c r="F287" i="39" s="1"/>
  <c r="H152" i="11"/>
  <c r="O152" i="11" s="1"/>
  <c r="G158" i="34" s="1"/>
  <c r="G152" i="12" s="1"/>
  <c r="F152" i="39" s="1"/>
  <c r="H28" i="11"/>
  <c r="H22" i="11"/>
  <c r="H55" i="11"/>
  <c r="O55" i="11" s="1"/>
  <c r="G61" i="34" s="1"/>
  <c r="G55" i="12" s="1"/>
  <c r="F55" i="39" s="1"/>
  <c r="H142" i="11"/>
  <c r="O142" i="11" s="1"/>
  <c r="G148" i="34" s="1"/>
  <c r="G142" i="12" s="1"/>
  <c r="F142" i="39" s="1"/>
  <c r="H178" i="11"/>
  <c r="O178" i="11" s="1"/>
  <c r="G184" i="34" s="1"/>
  <c r="G178" i="12" s="1"/>
  <c r="F178" i="39" s="1"/>
  <c r="H266" i="11"/>
  <c r="H73" i="11"/>
  <c r="O73" i="11" s="1"/>
  <c r="G79" i="34" s="1"/>
  <c r="G73" i="12" s="1"/>
  <c r="F73" i="39" s="1"/>
  <c r="H60" i="11"/>
  <c r="O60" i="11" s="1"/>
  <c r="G66" i="34" s="1"/>
  <c r="G60" i="12" s="1"/>
  <c r="F60" i="39" s="1"/>
  <c r="H72" i="11"/>
  <c r="O72" i="11" s="1"/>
  <c r="G78" i="34" s="1"/>
  <c r="G72" i="12" s="1"/>
  <c r="F72" i="39" s="1"/>
  <c r="H171" i="11"/>
  <c r="H243" i="11"/>
  <c r="O243" i="11" s="1"/>
  <c r="G249" i="34" s="1"/>
  <c r="G243" i="12" s="1"/>
  <c r="F243" i="39" s="1"/>
  <c r="H276" i="11"/>
  <c r="O276" i="11" s="1"/>
  <c r="G282" i="34" s="1"/>
  <c r="G276" i="12" s="1"/>
  <c r="F276" i="39" s="1"/>
  <c r="H222" i="11"/>
  <c r="O222" i="11" s="1"/>
  <c r="G228" i="34" s="1"/>
  <c r="G222" i="12" s="1"/>
  <c r="F222" i="39" s="1"/>
  <c r="H254" i="11"/>
  <c r="H289" i="11"/>
  <c r="O289" i="11" s="1"/>
  <c r="G295" i="34" s="1"/>
  <c r="G289" i="12" s="1"/>
  <c r="F289" i="39" s="1"/>
  <c r="H228" i="11"/>
  <c r="O228" i="11" s="1"/>
  <c r="G234" i="34" s="1"/>
  <c r="G228" i="12" s="1"/>
  <c r="F228" i="39" s="1"/>
  <c r="H259" i="11"/>
  <c r="O259" i="11" s="1"/>
  <c r="G265" i="34" s="1"/>
  <c r="G259" i="12" s="1"/>
  <c r="F259" i="39" s="1"/>
  <c r="H291" i="11"/>
  <c r="H35" i="11"/>
  <c r="O35" i="11" s="1"/>
  <c r="G41" i="34" s="1"/>
  <c r="G35" i="12" s="1"/>
  <c r="F35" i="39" s="1"/>
  <c r="H174" i="11"/>
  <c r="O174" i="11" s="1"/>
  <c r="G180" i="34" s="1"/>
  <c r="G174" i="12" s="1"/>
  <c r="F174" i="39" s="1"/>
  <c r="H45" i="11"/>
  <c r="O45" i="11" s="1"/>
  <c r="G51" i="34" s="1"/>
  <c r="G45" i="12" s="1"/>
  <c r="F45" i="39" s="1"/>
  <c r="H53" i="11"/>
  <c r="H160" i="11"/>
  <c r="O160" i="11" s="1"/>
  <c r="G166" i="34" s="1"/>
  <c r="G160" i="12" s="1"/>
  <c r="F160" i="39" s="1"/>
  <c r="H176" i="11"/>
  <c r="O176" i="11" s="1"/>
  <c r="G182" i="34" s="1"/>
  <c r="G176" i="12" s="1"/>
  <c r="F176" i="39" s="1"/>
  <c r="H217" i="11"/>
  <c r="O217" i="11" s="1"/>
  <c r="G223" i="34" s="1"/>
  <c r="G217" i="12" s="1"/>
  <c r="F217" i="39" s="1"/>
  <c r="H249" i="11"/>
  <c r="H278" i="11"/>
  <c r="O278" i="11" s="1"/>
  <c r="G284" i="34" s="1"/>
  <c r="G278" i="12" s="1"/>
  <c r="F278" i="39" s="1"/>
  <c r="H44" i="11"/>
  <c r="O44" i="11" s="1"/>
  <c r="G50" i="34" s="1"/>
  <c r="G44" i="12" s="1"/>
  <c r="F44" i="39" s="1"/>
  <c r="H59" i="11"/>
  <c r="O59" i="11" s="1"/>
  <c r="G65" i="34" s="1"/>
  <c r="G59" i="12" s="1"/>
  <c r="F59" i="39" s="1"/>
  <c r="H149" i="11"/>
  <c r="H156" i="11"/>
  <c r="O156" i="11" s="1"/>
  <c r="G162" i="34" s="1"/>
  <c r="G156" i="12" s="1"/>
  <c r="F156" i="39" s="1"/>
  <c r="H274" i="11"/>
  <c r="O274" i="11" s="1"/>
  <c r="G280" i="34" s="1"/>
  <c r="G274" i="12" s="1"/>
  <c r="F274" i="39" s="1"/>
  <c r="H19" i="11"/>
  <c r="H62" i="11"/>
  <c r="H76" i="11"/>
  <c r="O76" i="11" s="1"/>
  <c r="G82" i="34" s="1"/>
  <c r="G76" i="12" s="1"/>
  <c r="F76" i="39" s="1"/>
  <c r="H169" i="11"/>
  <c r="O169" i="11" s="1"/>
  <c r="G175" i="34" s="1"/>
  <c r="G169" i="12" s="1"/>
  <c r="H223" i="11"/>
  <c r="O223" i="11" s="1"/>
  <c r="G229" i="34" s="1"/>
  <c r="G223" i="12" s="1"/>
  <c r="F223" i="39" s="1"/>
  <c r="H255" i="11"/>
  <c r="H288" i="11"/>
  <c r="O288" i="11" s="1"/>
  <c r="G294" i="34" s="1"/>
  <c r="G288" i="12" s="1"/>
  <c r="F288" i="39" s="1"/>
  <c r="H226" i="11"/>
  <c r="O226" i="11" s="1"/>
  <c r="G232" i="34" s="1"/>
  <c r="G226" i="12" s="1"/>
  <c r="F226" i="39" s="1"/>
  <c r="H261" i="11"/>
  <c r="O261" i="11" s="1"/>
  <c r="G267" i="34" s="1"/>
  <c r="G261" i="12" s="1"/>
  <c r="F261" i="39" s="1"/>
  <c r="H293" i="11"/>
  <c r="O293" i="11" s="1"/>
  <c r="G299" i="34" s="1"/>
  <c r="G293" i="12" s="1"/>
  <c r="F293" i="39" s="1"/>
  <c r="H240" i="11"/>
  <c r="O240" i="11" s="1"/>
  <c r="G246" i="34" s="1"/>
  <c r="G240" i="12" s="1"/>
  <c r="F240" i="39" s="1"/>
  <c r="H271" i="11"/>
  <c r="O271" i="11" s="1"/>
  <c r="G277" i="34" s="1"/>
  <c r="G271" i="12" s="1"/>
  <c r="F271" i="39" s="1"/>
  <c r="H303" i="11"/>
  <c r="O303" i="11" s="1"/>
  <c r="G309" i="34" s="1"/>
  <c r="G303" i="12" s="1"/>
  <c r="F303" i="39" s="1"/>
  <c r="H47" i="11"/>
  <c r="H54" i="11"/>
  <c r="O54" i="11" s="1"/>
  <c r="G60" i="34" s="1"/>
  <c r="G54" i="12" s="1"/>
  <c r="F54" i="39" s="1"/>
  <c r="H177" i="11"/>
  <c r="O177" i="11" s="1"/>
  <c r="G183" i="34" s="1"/>
  <c r="G177" i="12" s="1"/>
  <c r="F177" i="39" s="1"/>
  <c r="H272" i="11"/>
  <c r="H256" i="11"/>
  <c r="H41" i="11"/>
  <c r="O41" i="11" s="1"/>
  <c r="G47" i="34" s="1"/>
  <c r="G41" i="12" s="1"/>
  <c r="F41" i="39" s="1"/>
  <c r="H27" i="11"/>
  <c r="O27" i="11" s="1"/>
  <c r="G33" i="34" s="1"/>
  <c r="G27" i="12" s="1"/>
  <c r="F27" i="39" s="1"/>
  <c r="H145" i="11"/>
  <c r="O145" i="11" s="1"/>
  <c r="G151" i="34" s="1"/>
  <c r="G145" i="12" s="1"/>
  <c r="F145" i="39" s="1"/>
  <c r="H34" i="11"/>
  <c r="H30" i="11"/>
  <c r="O30" i="11" s="1"/>
  <c r="G36" i="34" s="1"/>
  <c r="G30" i="12" s="1"/>
  <c r="F30" i="39" s="1"/>
  <c r="H26" i="11"/>
  <c r="O26" i="11" s="1"/>
  <c r="G32" i="34" s="1"/>
  <c r="G26" i="12" s="1"/>
  <c r="F26" i="39" s="1"/>
  <c r="H67" i="11"/>
  <c r="O67" i="11" s="1"/>
  <c r="G73" i="34" s="1"/>
  <c r="G67" i="12" s="1"/>
  <c r="F67" i="39" s="1"/>
  <c r="H154" i="11"/>
  <c r="H141" i="11"/>
  <c r="O141" i="11" s="1"/>
  <c r="G147" i="34" s="1"/>
  <c r="G141" i="12" s="1"/>
  <c r="F141" i="39" s="1"/>
  <c r="H282" i="11"/>
  <c r="O282" i="11" s="1"/>
  <c r="G288" i="34" s="1"/>
  <c r="G282" i="12" s="1"/>
  <c r="F282" i="39" s="1"/>
  <c r="H11" i="11"/>
  <c r="O11" i="11" s="1"/>
  <c r="G17" i="34" s="1"/>
  <c r="G11" i="12" s="1"/>
  <c r="F11" i="39" s="1"/>
  <c r="H64" i="11"/>
  <c r="H159" i="11"/>
  <c r="O159" i="11" s="1"/>
  <c r="G165" i="34" s="1"/>
  <c r="G159" i="12" s="1"/>
  <c r="F159" i="39" s="1"/>
  <c r="H175" i="11"/>
  <c r="O175" i="11" s="1"/>
  <c r="G181" i="34" s="1"/>
  <c r="G175" i="12" s="1"/>
  <c r="F175" i="39" s="1"/>
  <c r="H219" i="11"/>
  <c r="H251" i="11"/>
  <c r="O251" i="11" s="1"/>
  <c r="G257" i="34" s="1"/>
  <c r="G251" i="12" s="1"/>
  <c r="F251" i="39" s="1"/>
  <c r="H284" i="11"/>
  <c r="O284" i="11" s="1"/>
  <c r="G290" i="34" s="1"/>
  <c r="G284" i="12" s="1"/>
  <c r="F284" i="39" s="1"/>
  <c r="H230" i="11"/>
  <c r="O230" i="11" s="1"/>
  <c r="G236" i="34" s="1"/>
  <c r="G230" i="12" s="1"/>
  <c r="F230" i="39" s="1"/>
  <c r="H265" i="11"/>
  <c r="O265" i="11" s="1"/>
  <c r="G271" i="34" s="1"/>
  <c r="G265" i="12" s="1"/>
  <c r="F265" i="39" s="1"/>
  <c r="H297" i="11"/>
  <c r="H236" i="11"/>
  <c r="O236" i="11" s="1"/>
  <c r="G242" i="34" s="1"/>
  <c r="G236" i="12" s="1"/>
  <c r="F236" i="39" s="1"/>
  <c r="H267" i="11"/>
  <c r="O267" i="11" s="1"/>
  <c r="G273" i="34" s="1"/>
  <c r="G267" i="12" s="1"/>
  <c r="F267" i="39" s="1"/>
  <c r="H299" i="11"/>
  <c r="O299" i="11" s="1"/>
  <c r="G305" i="34" s="1"/>
  <c r="G299" i="12" s="1"/>
  <c r="F299" i="39" s="1"/>
  <c r="H33" i="11"/>
  <c r="H146" i="11"/>
  <c r="O146" i="11" s="1"/>
  <c r="G152" i="34" s="1"/>
  <c r="G146" i="12" s="1"/>
  <c r="F146" i="39" s="1"/>
  <c r="H157" i="11"/>
  <c r="O157" i="11" s="1"/>
  <c r="G163" i="34" s="1"/>
  <c r="G157" i="12" s="1"/>
  <c r="F157" i="39" s="1"/>
  <c r="H221" i="11"/>
  <c r="O221" i="11" s="1"/>
  <c r="G227" i="34" s="1"/>
  <c r="G221" i="12" s="1"/>
  <c r="F221" i="39" s="1"/>
  <c r="H38" i="11"/>
  <c r="H75" i="11"/>
  <c r="O75" i="11" s="1"/>
  <c r="G81" i="34" s="1"/>
  <c r="G75" i="12" s="1"/>
  <c r="F75" i="39" s="1"/>
  <c r="H57" i="11"/>
  <c r="O57" i="11" s="1"/>
  <c r="G63" i="34" s="1"/>
  <c r="G57" i="12" s="1"/>
  <c r="F57" i="39" s="1"/>
  <c r="H74" i="11"/>
  <c r="O74" i="11" s="1"/>
  <c r="G80" i="34" s="1"/>
  <c r="G74" i="12" s="1"/>
  <c r="F74" i="39" s="1"/>
  <c r="H164" i="11"/>
  <c r="O164" i="11" s="1"/>
  <c r="G170" i="34" s="1"/>
  <c r="G164" i="12" s="1"/>
  <c r="F164" i="39" s="1"/>
  <c r="H180" i="11"/>
  <c r="O180" i="11" s="1"/>
  <c r="G186" i="34" s="1"/>
  <c r="G180" i="12" s="1"/>
  <c r="F180" i="39" s="1"/>
  <c r="H225" i="11"/>
  <c r="O225" i="11" s="1"/>
  <c r="G231" i="34" s="1"/>
  <c r="G225" i="12" s="1"/>
  <c r="F225" i="39" s="1"/>
  <c r="H257" i="11"/>
  <c r="O257" i="11" s="1"/>
  <c r="G263" i="34" s="1"/>
  <c r="G257" i="12" s="1"/>
  <c r="F257" i="39" s="1"/>
  <c r="H286" i="11"/>
  <c r="H150" i="11"/>
  <c r="O150" i="11" s="1"/>
  <c r="G156" i="34" s="1"/>
  <c r="G150" i="12" s="1"/>
  <c r="F150" i="39" s="1"/>
  <c r="H237" i="11"/>
  <c r="O237" i="11" s="1"/>
  <c r="G243" i="34" s="1"/>
  <c r="G237" i="12" s="1"/>
  <c r="F237" i="39" s="1"/>
  <c r="H290" i="11"/>
  <c r="O290" i="11" s="1"/>
  <c r="G296" i="34" s="1"/>
  <c r="G290" i="12" s="1"/>
  <c r="F290" i="39" s="1"/>
  <c r="H21" i="11"/>
  <c r="H50" i="11"/>
  <c r="O50" i="11" s="1"/>
  <c r="G56" i="34" s="1"/>
  <c r="G50" i="12" s="1"/>
  <c r="F50" i="39" s="1"/>
  <c r="H66" i="11"/>
  <c r="O66" i="11" s="1"/>
  <c r="G72" i="34" s="1"/>
  <c r="G66" i="12" s="1"/>
  <c r="F66" i="39" s="1"/>
  <c r="H173" i="11"/>
  <c r="O173" i="11" s="1"/>
  <c r="G179" i="34" s="1"/>
  <c r="G173" i="12" s="1"/>
  <c r="F173" i="39" s="1"/>
  <c r="H231" i="11"/>
  <c r="H264" i="11"/>
  <c r="O264" i="11" s="1"/>
  <c r="G270" i="34" s="1"/>
  <c r="G264" i="12" s="1"/>
  <c r="F264" i="39" s="1"/>
  <c r="H296" i="11"/>
  <c r="O296" i="11" s="1"/>
  <c r="G302" i="34" s="1"/>
  <c r="G296" i="12" s="1"/>
  <c r="F296" i="39" s="1"/>
  <c r="H234" i="11"/>
  <c r="O234" i="11" s="1"/>
  <c r="G240" i="34" s="1"/>
  <c r="G234" i="12" s="1"/>
  <c r="F234" i="39" s="1"/>
  <c r="H269" i="11"/>
  <c r="O269" i="11" s="1"/>
  <c r="G275" i="34" s="1"/>
  <c r="G269" i="12" s="1"/>
  <c r="F269" i="39" s="1"/>
  <c r="H301" i="11"/>
  <c r="O301" i="11" s="1"/>
  <c r="G307" i="34" s="1"/>
  <c r="G301" i="12" s="1"/>
  <c r="F301" i="39" s="1"/>
  <c r="H216" i="11"/>
  <c r="O216" i="11" s="1"/>
  <c r="G222" i="34" s="1"/>
  <c r="G216" i="12" s="1"/>
  <c r="F216" i="39" s="1"/>
  <c r="H248" i="11"/>
  <c r="O248" i="11" s="1"/>
  <c r="G254" i="34" s="1"/>
  <c r="G248" i="12" s="1"/>
  <c r="F248" i="39" s="1"/>
  <c r="H279" i="11"/>
  <c r="H31" i="11"/>
  <c r="O31" i="11" s="1"/>
  <c r="G37" i="34" s="1"/>
  <c r="G31" i="12" s="1"/>
  <c r="F31" i="39" s="1"/>
  <c r="H78" i="11"/>
  <c r="O78" i="11" s="1"/>
  <c r="G84" i="34" s="1"/>
  <c r="G78" i="12" s="1"/>
  <c r="F78" i="39" s="1"/>
  <c r="H298" i="11"/>
  <c r="O298" i="11" s="1"/>
  <c r="G304" i="34" s="1"/>
  <c r="G298" i="12" s="1"/>
  <c r="F298" i="39" s="1"/>
  <c r="H13" i="11"/>
  <c r="H260" i="11"/>
  <c r="O260" i="11" s="1"/>
  <c r="G266" i="34" s="1"/>
  <c r="G260" i="12" s="1"/>
  <c r="F260" i="39" s="1"/>
  <c r="H238" i="11"/>
  <c r="O238" i="11" s="1"/>
  <c r="G244" i="34" s="1"/>
  <c r="G238" i="12" s="1"/>
  <c r="F238" i="39" s="1"/>
  <c r="H305" i="11"/>
  <c r="O305" i="11" s="1"/>
  <c r="G311" i="34" s="1"/>
  <c r="G305" i="12" s="1"/>
  <c r="F305" i="39" s="1"/>
  <c r="H275" i="11"/>
  <c r="H143" i="11"/>
  <c r="O143" i="11" s="1"/>
  <c r="G149" i="34" s="1"/>
  <c r="G143" i="12" s="1"/>
  <c r="F143" i="39" s="1"/>
  <c r="H42" i="11"/>
  <c r="O42" i="11" s="1"/>
  <c r="G48" i="34" s="1"/>
  <c r="G42" i="12" s="1"/>
  <c r="F42" i="39" s="1"/>
  <c r="H61" i="11"/>
  <c r="O61" i="11" s="1"/>
  <c r="G67" i="34" s="1"/>
  <c r="G61" i="12" s="1"/>
  <c r="F61" i="39" s="1"/>
  <c r="H168" i="11"/>
  <c r="H262" i="11"/>
  <c r="O262" i="11" s="1"/>
  <c r="G268" i="34" s="1"/>
  <c r="G262" i="12" s="1"/>
  <c r="F262" i="39" s="1"/>
  <c r="H294" i="11"/>
  <c r="O294" i="11" s="1"/>
  <c r="G300" i="34" s="1"/>
  <c r="G294" i="12" s="1"/>
  <c r="F294" i="39" s="1"/>
  <c r="H158" i="11"/>
  <c r="O158" i="11" s="1"/>
  <c r="G164" i="34" s="1"/>
  <c r="G158" i="12" s="1"/>
  <c r="F158" i="39" s="1"/>
  <c r="H37" i="11"/>
  <c r="H239" i="11"/>
  <c r="O239" i="11" s="1"/>
  <c r="G245" i="34" s="1"/>
  <c r="G239" i="12" s="1"/>
  <c r="F239" i="39" s="1"/>
  <c r="H277" i="11"/>
  <c r="O277" i="11" s="1"/>
  <c r="G283" i="34" s="1"/>
  <c r="G277" i="12" s="1"/>
  <c r="F277" i="39" s="1"/>
  <c r="O33" i="11"/>
  <c r="G39" i="34" s="1"/>
  <c r="G33" i="12" s="1"/>
  <c r="F33" i="39" s="1"/>
  <c r="O170" i="11"/>
  <c r="G176" i="34" s="1"/>
  <c r="G170" i="12" s="1"/>
  <c r="F170" i="39" s="1"/>
  <c r="O29" i="11"/>
  <c r="G35" i="34" s="1"/>
  <c r="G29" i="12" s="1"/>
  <c r="F29" i="39" s="1"/>
  <c r="O275" i="11"/>
  <c r="G281" i="34" s="1"/>
  <c r="G275" i="12" s="1"/>
  <c r="F275" i="39" s="1"/>
  <c r="O110" i="11"/>
  <c r="G116" i="34" s="1"/>
  <c r="G110" i="12" s="1"/>
  <c r="F110" i="39" s="1"/>
  <c r="O64" i="11"/>
  <c r="G70" i="34" s="1"/>
  <c r="G64" i="12" s="1"/>
  <c r="F64" i="39" s="1"/>
  <c r="O91" i="11"/>
  <c r="G97" i="34" s="1"/>
  <c r="G91" i="12" s="1"/>
  <c r="F91" i="39" s="1"/>
  <c r="O191" i="11"/>
  <c r="G197" i="34" s="1"/>
  <c r="G191" i="12" s="1"/>
  <c r="F191" i="39" s="1"/>
  <c r="O133" i="11"/>
  <c r="G139" i="34" s="1"/>
  <c r="G133" i="12" s="1"/>
  <c r="F133" i="39" s="1"/>
  <c r="O106" i="11"/>
  <c r="G112" i="34" s="1"/>
  <c r="G106" i="12" s="1"/>
  <c r="F106" i="39" s="1"/>
  <c r="O96" i="11"/>
  <c r="G102" i="34" s="1"/>
  <c r="G96" i="12" s="1"/>
  <c r="F96" i="39" s="1"/>
  <c r="O172" i="11"/>
  <c r="G178" i="34" s="1"/>
  <c r="G172" i="12" s="1"/>
  <c r="F172" i="39" s="1"/>
  <c r="O256" i="11"/>
  <c r="G262" i="34" s="1"/>
  <c r="G256" i="12" s="1"/>
  <c r="F256" i="39" s="1"/>
  <c r="O279" i="11"/>
  <c r="G285" i="34" s="1"/>
  <c r="G279" i="12" s="1"/>
  <c r="F279" i="39" s="1"/>
  <c r="O15" i="11"/>
  <c r="G21" i="34" s="1"/>
  <c r="G15" i="12" s="1"/>
  <c r="F15" i="39" s="1"/>
  <c r="O286" i="11"/>
  <c r="G292" i="34" s="1"/>
  <c r="G286" i="12" s="1"/>
  <c r="F286" i="39" s="1"/>
  <c r="O38" i="11"/>
  <c r="G44" i="34" s="1"/>
  <c r="G38" i="12" s="1"/>
  <c r="F38" i="39" s="1"/>
  <c r="O9" i="11"/>
  <c r="G15" i="34" s="1"/>
  <c r="G9" i="12" s="1"/>
  <c r="F9" i="39" s="1"/>
  <c r="O24" i="11"/>
  <c r="G30" i="34" s="1"/>
  <c r="G24" i="12" s="1"/>
  <c r="F24" i="39" s="1"/>
  <c r="O171" i="11"/>
  <c r="G177" i="34" s="1"/>
  <c r="G171" i="12" s="1"/>
  <c r="F171" i="39" s="1"/>
  <c r="O297" i="11"/>
  <c r="G303" i="34" s="1"/>
  <c r="G297" i="12" s="1"/>
  <c r="F297" i="39" s="1"/>
  <c r="O231" i="11"/>
  <c r="G237" i="34" s="1"/>
  <c r="G231" i="12" s="1"/>
  <c r="F231" i="39" s="1"/>
  <c r="O18" i="11"/>
  <c r="G24" i="34" s="1"/>
  <c r="G18" i="12" s="1"/>
  <c r="F18" i="39" s="1"/>
  <c r="O134" i="11"/>
  <c r="G140" i="34" s="1"/>
  <c r="G134" i="12" s="1"/>
  <c r="F134" i="39" s="1"/>
  <c r="O92" i="11"/>
  <c r="G98" i="34" s="1"/>
  <c r="G92" i="12" s="1"/>
  <c r="F92" i="39" s="1"/>
  <c r="O181" i="11"/>
  <c r="G187" i="34" s="1"/>
  <c r="G181" i="12" s="1"/>
  <c r="F181" i="39" s="1"/>
  <c r="O213" i="11"/>
  <c r="G219" i="34" s="1"/>
  <c r="G213" i="12" s="1"/>
  <c r="F213" i="39" s="1"/>
  <c r="O210" i="11"/>
  <c r="G216" i="34" s="1"/>
  <c r="G210" i="12" s="1"/>
  <c r="F210" i="39" s="1"/>
  <c r="O203" i="11"/>
  <c r="G209" i="34" s="1"/>
  <c r="G203" i="12" s="1"/>
  <c r="F203" i="39" s="1"/>
  <c r="O99" i="11"/>
  <c r="G105" i="34" s="1"/>
  <c r="G99" i="12" s="1"/>
  <c r="F99" i="39" s="1"/>
  <c r="O199" i="11"/>
  <c r="G205" i="34" s="1"/>
  <c r="G199" i="12" s="1"/>
  <c r="F199" i="39" s="1"/>
  <c r="O119" i="11"/>
  <c r="G125" i="34" s="1"/>
  <c r="G119" i="12" s="1"/>
  <c r="F119" i="39" s="1"/>
  <c r="O101" i="11"/>
  <c r="G107" i="34" s="1"/>
  <c r="G101" i="12" s="1"/>
  <c r="F101" i="39" s="1"/>
  <c r="O114" i="11"/>
  <c r="G120" i="34" s="1"/>
  <c r="G114" i="12" s="1"/>
  <c r="F114" i="39" s="1"/>
  <c r="O104" i="11"/>
  <c r="G110" i="34" s="1"/>
  <c r="G104" i="12" s="1"/>
  <c r="F104" i="39" s="1"/>
  <c r="O193" i="11"/>
  <c r="G199" i="34" s="1"/>
  <c r="G193" i="12" s="1"/>
  <c r="F193" i="39" s="1"/>
  <c r="O188" i="11"/>
  <c r="G194" i="34" s="1"/>
  <c r="G188" i="12" s="1"/>
  <c r="F188" i="39" s="1"/>
  <c r="O204" i="11"/>
  <c r="G210" i="34" s="1"/>
  <c r="G204" i="12" s="1"/>
  <c r="F204" i="39" s="1"/>
  <c r="O162" i="11"/>
  <c r="G168" i="34" s="1"/>
  <c r="G162" i="12" s="1"/>
  <c r="F162" i="39" s="1"/>
  <c r="O300" i="11"/>
  <c r="G306" i="34" s="1"/>
  <c r="G300" i="12" s="1"/>
  <c r="F300" i="39" s="1"/>
  <c r="O47" i="11"/>
  <c r="G53" i="34" s="1"/>
  <c r="G47" i="12" s="1"/>
  <c r="F47" i="39" s="1"/>
  <c r="O224" i="11"/>
  <c r="O280" i="11"/>
  <c r="G286" i="34" s="1"/>
  <c r="G280" i="12" s="1"/>
  <c r="F280" i="39" s="1"/>
  <c r="O233" i="11"/>
  <c r="G239" i="34" s="1"/>
  <c r="G233" i="12" s="1"/>
  <c r="F233" i="39" s="1"/>
  <c r="O34" i="11"/>
  <c r="G40" i="34" s="1"/>
  <c r="G34" i="12" s="1"/>
  <c r="F34" i="39" s="1"/>
  <c r="O149" i="11"/>
  <c r="G155" i="34" s="1"/>
  <c r="G149" i="12" s="1"/>
  <c r="F149" i="39" s="1"/>
  <c r="O266" i="11"/>
  <c r="G272" i="34" s="1"/>
  <c r="G266" i="12" s="1"/>
  <c r="F266" i="39" s="1"/>
  <c r="O25" i="11"/>
  <c r="G31" i="34" s="1"/>
  <c r="G25" i="12" s="1"/>
  <c r="F25" i="39" s="1"/>
  <c r="O253" i="11"/>
  <c r="G259" i="34" s="1"/>
  <c r="G253" i="12" s="1"/>
  <c r="O255" i="11"/>
  <c r="G261" i="34" s="1"/>
  <c r="G255" i="12" s="1"/>
  <c r="F255" i="39" s="1"/>
  <c r="O241" i="11"/>
  <c r="G247" i="34" s="1"/>
  <c r="G241" i="12" s="1"/>
  <c r="F241" i="39" s="1"/>
  <c r="O8" i="11"/>
  <c r="G14" i="34" s="1"/>
  <c r="G8" i="12" s="1"/>
  <c r="F8" i="39" s="1"/>
  <c r="O28" i="11"/>
  <c r="G34" i="34" s="1"/>
  <c r="G28" i="12" s="1"/>
  <c r="F28" i="39" s="1"/>
  <c r="O292" i="11"/>
  <c r="G298" i="34" s="1"/>
  <c r="G292" i="12" s="1"/>
  <c r="F292" i="39" s="1"/>
  <c r="O22" i="11"/>
  <c r="G28" i="34" s="1"/>
  <c r="G22" i="12" s="1"/>
  <c r="F22" i="39" s="1"/>
  <c r="O13" i="11"/>
  <c r="G19" i="34" s="1"/>
  <c r="G13" i="12" s="1"/>
  <c r="F13" i="39" s="1"/>
  <c r="O94" i="11"/>
  <c r="G100" i="34" s="1"/>
  <c r="G94" i="12" s="1"/>
  <c r="F94" i="39" s="1"/>
  <c r="O100" i="11"/>
  <c r="G106" i="34" s="1"/>
  <c r="G100" i="12" s="1"/>
  <c r="F100" i="39" s="1"/>
  <c r="O189" i="11"/>
  <c r="G195" i="34" s="1"/>
  <c r="G189" i="12" s="1"/>
  <c r="F189" i="39" s="1"/>
  <c r="O182" i="11"/>
  <c r="G188" i="34" s="1"/>
  <c r="G182" i="12" s="1"/>
  <c r="F182" i="39" s="1"/>
  <c r="O214" i="11"/>
  <c r="G220" i="34" s="1"/>
  <c r="G214" i="12" s="1"/>
  <c r="F214" i="39" s="1"/>
  <c r="O53" i="11"/>
  <c r="G59" i="34" s="1"/>
  <c r="G53" i="12" s="1"/>
  <c r="F53" i="39" s="1"/>
  <c r="O211" i="11"/>
  <c r="G217" i="34" s="1"/>
  <c r="G211" i="12" s="1"/>
  <c r="F211" i="39" s="1"/>
  <c r="O207" i="11"/>
  <c r="G213" i="34" s="1"/>
  <c r="G207" i="12" s="1"/>
  <c r="F207" i="39" s="1"/>
  <c r="O62" i="11"/>
  <c r="G68" i="34" s="1"/>
  <c r="G62" i="12" s="1"/>
  <c r="F62" i="39" s="1"/>
  <c r="O109" i="11"/>
  <c r="G115" i="34" s="1"/>
  <c r="G109" i="12" s="1"/>
  <c r="F109" i="39" s="1"/>
  <c r="O112" i="11"/>
  <c r="G118" i="34" s="1"/>
  <c r="G112" i="12" s="1"/>
  <c r="F112" i="39" s="1"/>
  <c r="O46" i="11"/>
  <c r="G52" i="34" s="1"/>
  <c r="G46" i="12" s="1"/>
  <c r="F46" i="39" s="1"/>
  <c r="O132" i="11"/>
  <c r="G138" i="34" s="1"/>
  <c r="G132" i="12" s="1"/>
  <c r="F132" i="39" s="1"/>
  <c r="O232" i="11"/>
  <c r="G238" i="34" s="1"/>
  <c r="G232" i="12" s="1"/>
  <c r="F232" i="39" s="1"/>
  <c r="O43" i="11"/>
  <c r="G49" i="34" s="1"/>
  <c r="G43" i="12" s="1"/>
  <c r="F43" i="39" s="1"/>
  <c r="O7" i="11"/>
  <c r="G13" i="34" s="1"/>
  <c r="G7" i="12" s="1"/>
  <c r="F7" i="39" s="1"/>
  <c r="O144" i="11"/>
  <c r="G150" i="34" s="1"/>
  <c r="G144" i="12" s="1"/>
  <c r="F144" i="39" s="1"/>
  <c r="O17" i="11"/>
  <c r="G23" i="34" s="1"/>
  <c r="G17" i="12" s="1"/>
  <c r="F17" i="39" s="1"/>
  <c r="O125" i="11"/>
  <c r="G131" i="34" s="1"/>
  <c r="G125" i="12" s="1"/>
  <c r="F125" i="39" s="1"/>
  <c r="O190" i="11"/>
  <c r="G196" i="34" s="1"/>
  <c r="G190" i="12" s="1"/>
  <c r="F190" i="39" s="1"/>
  <c r="O195" i="11"/>
  <c r="G201" i="34" s="1"/>
  <c r="G195" i="12" s="1"/>
  <c r="F195" i="39" s="1"/>
  <c r="O121" i="11"/>
  <c r="G127" i="34" s="1"/>
  <c r="G121" i="12" s="1"/>
  <c r="F121" i="39" s="1"/>
  <c r="O95" i="11"/>
  <c r="G101" i="34" s="1"/>
  <c r="G95" i="12" s="1"/>
  <c r="F95" i="39" s="1"/>
  <c r="O19" i="11"/>
  <c r="G25" i="34" s="1"/>
  <c r="G19" i="12" s="1"/>
  <c r="F19" i="39" s="1"/>
  <c r="O68" i="11"/>
  <c r="G74" i="34" s="1"/>
  <c r="G68" i="12" s="1"/>
  <c r="F68" i="39" s="1"/>
  <c r="O154" i="11"/>
  <c r="G160" i="34" s="1"/>
  <c r="G154" i="12" s="1"/>
  <c r="F154" i="39" s="1"/>
  <c r="O254" i="11"/>
  <c r="G260" i="34" s="1"/>
  <c r="G254" i="12" s="1"/>
  <c r="F254" i="39" s="1"/>
  <c r="O21" i="11"/>
  <c r="G27" i="34" s="1"/>
  <c r="G21" i="12" s="1"/>
  <c r="F21" i="39" s="1"/>
  <c r="O247" i="11"/>
  <c r="G253" i="34" s="1"/>
  <c r="G247" i="12" s="1"/>
  <c r="F247" i="39" s="1"/>
  <c r="O168" i="11"/>
  <c r="G174" i="34" s="1"/>
  <c r="G168" i="12" s="1"/>
  <c r="F168" i="39" s="1"/>
  <c r="O219" i="11"/>
  <c r="G225" i="34" s="1"/>
  <c r="G219" i="12" s="1"/>
  <c r="F219" i="39" s="1"/>
  <c r="O32" i="11"/>
  <c r="G38" i="34" s="1"/>
  <c r="G32" i="12" s="1"/>
  <c r="F32" i="39" s="1"/>
  <c r="O36" i="11"/>
  <c r="G42" i="34" s="1"/>
  <c r="G36" i="12" s="1"/>
  <c r="F36" i="39" s="1"/>
  <c r="O227" i="11"/>
  <c r="G233" i="34" s="1"/>
  <c r="G227" i="12" s="1"/>
  <c r="F227" i="39" s="1"/>
  <c r="O272" i="11"/>
  <c r="G278" i="34" s="1"/>
  <c r="G272" i="12" s="1"/>
  <c r="F272" i="39" s="1"/>
  <c r="O37" i="11"/>
  <c r="G43" i="34" s="1"/>
  <c r="G37" i="12" s="1"/>
  <c r="F37" i="39" s="1"/>
  <c r="O291" i="11"/>
  <c r="G297" i="34" s="1"/>
  <c r="G291" i="12" s="1"/>
  <c r="F291" i="39" s="1"/>
  <c r="O179" i="11"/>
  <c r="G185" i="34" s="1"/>
  <c r="G179" i="12" s="1"/>
  <c r="F179" i="39" s="1"/>
  <c r="O249" i="11"/>
  <c r="G255" i="34" s="1"/>
  <c r="G249" i="12" s="1"/>
  <c r="F249" i="39" s="1"/>
  <c r="O87" i="11"/>
  <c r="G93" i="34" s="1"/>
  <c r="G87" i="12" s="1"/>
  <c r="F87" i="39" s="1"/>
  <c r="O52" i="11"/>
  <c r="G58" i="34" s="1"/>
  <c r="G52" i="12" s="1"/>
  <c r="F52" i="39" s="1"/>
  <c r="O108" i="11"/>
  <c r="G114" i="34" s="1"/>
  <c r="G108" i="12" s="1"/>
  <c r="F108" i="39" s="1"/>
  <c r="O197" i="11"/>
  <c r="G203" i="34" s="1"/>
  <c r="G197" i="12" s="1"/>
  <c r="F197" i="39" s="1"/>
  <c r="O202" i="11"/>
  <c r="G208" i="34" s="1"/>
  <c r="G202" i="12" s="1"/>
  <c r="F202" i="39" s="1"/>
  <c r="O103" i="11"/>
  <c r="G109" i="34" s="1"/>
  <c r="G103" i="12" s="1"/>
  <c r="F103" i="39" s="1"/>
  <c r="O56" i="11"/>
  <c r="G62" i="34" s="1"/>
  <c r="G56" i="12" s="1"/>
  <c r="F56" i="39" s="1"/>
  <c r="O130" i="11"/>
  <c r="G136" i="34" s="1"/>
  <c r="G130" i="12" s="1"/>
  <c r="F130" i="39" s="1"/>
  <c r="O85" i="11"/>
  <c r="G91" i="34" s="1"/>
  <c r="G85" i="12" s="1"/>
  <c r="F85" i="39" s="1"/>
  <c r="O49" i="11"/>
  <c r="G55" i="34" s="1"/>
  <c r="G49" i="12" s="1"/>
  <c r="F49" i="39" s="1"/>
  <c r="O98" i="11"/>
  <c r="G104" i="34" s="1"/>
  <c r="G98" i="12" s="1"/>
  <c r="F98" i="39" s="1"/>
  <c r="O209" i="11"/>
  <c r="G215" i="34" s="1"/>
  <c r="G209" i="12" s="1"/>
  <c r="F209" i="39" s="1"/>
  <c r="O196" i="11"/>
  <c r="G202" i="34" s="1"/>
  <c r="G196" i="12" s="1"/>
  <c r="F196" i="39" s="1"/>
  <c r="O212" i="11"/>
  <c r="G218" i="34" s="1"/>
  <c r="G212" i="12" s="1"/>
  <c r="F212" i="39" s="1"/>
  <c r="G230" i="34"/>
  <c r="G224" i="12" s="1"/>
  <c r="F224" i="39" s="1"/>
  <c r="H6" i="11"/>
  <c r="O6" i="11" s="1"/>
  <c r="G12" i="34" s="1"/>
  <c r="F306" i="12"/>
  <c r="F11" i="34"/>
  <c r="M306" i="11"/>
  <c r="H11" i="9"/>
  <c r="F169" i="39" l="1"/>
  <c r="F253" i="39"/>
  <c r="H14" i="9"/>
  <c r="I14" i="9" s="1"/>
  <c r="H18" i="9"/>
  <c r="I18" i="9" s="1"/>
  <c r="H22" i="9"/>
  <c r="I22" i="9" s="1"/>
  <c r="H26" i="9"/>
  <c r="I26" i="9" s="1"/>
  <c r="H30" i="9"/>
  <c r="I30" i="9" s="1"/>
  <c r="H34" i="9"/>
  <c r="I34" i="9" s="1"/>
  <c r="H38" i="9"/>
  <c r="I38" i="9" s="1"/>
  <c r="H42" i="9"/>
  <c r="I42" i="9" s="1"/>
  <c r="H46" i="9"/>
  <c r="I46" i="9" s="1"/>
  <c r="H50" i="9"/>
  <c r="I50" i="9" s="1"/>
  <c r="H54" i="9"/>
  <c r="I54" i="9" s="1"/>
  <c r="H58" i="9"/>
  <c r="I58" i="9" s="1"/>
  <c r="H62" i="9"/>
  <c r="I62" i="9" s="1"/>
  <c r="H66" i="9"/>
  <c r="I66" i="9" s="1"/>
  <c r="H70" i="9"/>
  <c r="I70" i="9" s="1"/>
  <c r="H74" i="9"/>
  <c r="I74" i="9" s="1"/>
  <c r="H78" i="9"/>
  <c r="I78" i="9" s="1"/>
  <c r="H82" i="9"/>
  <c r="I82" i="9" s="1"/>
  <c r="H86" i="9"/>
  <c r="I86" i="9" s="1"/>
  <c r="H90" i="9"/>
  <c r="I90" i="9" s="1"/>
  <c r="H15" i="9"/>
  <c r="I15" i="9" s="1"/>
  <c r="H19" i="9"/>
  <c r="I19" i="9" s="1"/>
  <c r="H23" i="9"/>
  <c r="I23" i="9" s="1"/>
  <c r="H27" i="9"/>
  <c r="I27" i="9" s="1"/>
  <c r="H31" i="9"/>
  <c r="I31" i="9" s="1"/>
  <c r="H35" i="9"/>
  <c r="I35" i="9" s="1"/>
  <c r="H39" i="9"/>
  <c r="I39" i="9" s="1"/>
  <c r="H43" i="9"/>
  <c r="I43" i="9" s="1"/>
  <c r="H47" i="9"/>
  <c r="I47" i="9" s="1"/>
  <c r="H51" i="9"/>
  <c r="I51" i="9" s="1"/>
  <c r="H55" i="9"/>
  <c r="I55" i="9" s="1"/>
  <c r="H59" i="9"/>
  <c r="I59" i="9" s="1"/>
  <c r="H63" i="9"/>
  <c r="I63" i="9" s="1"/>
  <c r="H67" i="9"/>
  <c r="I67" i="9" s="1"/>
  <c r="H71" i="9"/>
  <c r="I71" i="9" s="1"/>
  <c r="H75" i="9"/>
  <c r="I75" i="9" s="1"/>
  <c r="H79" i="9"/>
  <c r="I79" i="9" s="1"/>
  <c r="H83" i="9"/>
  <c r="I83" i="9" s="1"/>
  <c r="H87" i="9"/>
  <c r="I87" i="9" s="1"/>
  <c r="H91" i="9"/>
  <c r="I91" i="9" s="1"/>
  <c r="H95" i="9"/>
  <c r="I95" i="9" s="1"/>
  <c r="H99" i="9"/>
  <c r="I99" i="9" s="1"/>
  <c r="H103" i="9"/>
  <c r="I103" i="9" s="1"/>
  <c r="H107" i="9"/>
  <c r="I107" i="9" s="1"/>
  <c r="H111" i="9"/>
  <c r="I111" i="9" s="1"/>
  <c r="H115" i="9"/>
  <c r="I115" i="9" s="1"/>
  <c r="H119" i="9"/>
  <c r="I119" i="9" s="1"/>
  <c r="H123" i="9"/>
  <c r="I123" i="9" s="1"/>
  <c r="H16" i="9"/>
  <c r="I16" i="9" s="1"/>
  <c r="H20" i="9"/>
  <c r="I20" i="9" s="1"/>
  <c r="H24" i="9"/>
  <c r="I24" i="9" s="1"/>
  <c r="H28" i="9"/>
  <c r="I28" i="9" s="1"/>
  <c r="H32" i="9"/>
  <c r="I32" i="9" s="1"/>
  <c r="H36" i="9"/>
  <c r="I36" i="9" s="1"/>
  <c r="H40" i="9"/>
  <c r="I40" i="9" s="1"/>
  <c r="H44" i="9"/>
  <c r="I44" i="9" s="1"/>
  <c r="H48" i="9"/>
  <c r="I48" i="9" s="1"/>
  <c r="H52" i="9"/>
  <c r="I52" i="9" s="1"/>
  <c r="H56" i="9"/>
  <c r="I56" i="9" s="1"/>
  <c r="H60" i="9"/>
  <c r="I60" i="9" s="1"/>
  <c r="H64" i="9"/>
  <c r="I64" i="9" s="1"/>
  <c r="H68" i="9"/>
  <c r="I68" i="9" s="1"/>
  <c r="H72" i="9"/>
  <c r="I72" i="9" s="1"/>
  <c r="H76" i="9"/>
  <c r="I76" i="9" s="1"/>
  <c r="H80" i="9"/>
  <c r="I80" i="9" s="1"/>
  <c r="H84" i="9"/>
  <c r="I84" i="9" s="1"/>
  <c r="H88" i="9"/>
  <c r="I88" i="9" s="1"/>
  <c r="H92" i="9"/>
  <c r="I92" i="9" s="1"/>
  <c r="H96" i="9"/>
  <c r="I96" i="9" s="1"/>
  <c r="H100" i="9"/>
  <c r="I100" i="9" s="1"/>
  <c r="H104" i="9"/>
  <c r="I104" i="9" s="1"/>
  <c r="H108" i="9"/>
  <c r="I108" i="9" s="1"/>
  <c r="H112" i="9"/>
  <c r="I112" i="9" s="1"/>
  <c r="H116" i="9"/>
  <c r="I116" i="9" s="1"/>
  <c r="H120" i="9"/>
  <c r="I120" i="9" s="1"/>
  <c r="H124" i="9"/>
  <c r="I124" i="9" s="1"/>
  <c r="H13" i="9"/>
  <c r="I13" i="9" s="1"/>
  <c r="H17" i="9"/>
  <c r="I17" i="9" s="1"/>
  <c r="H25" i="9"/>
  <c r="I25" i="9" s="1"/>
  <c r="H41" i="9"/>
  <c r="I41" i="9" s="1"/>
  <c r="H57" i="9"/>
  <c r="I57" i="9" s="1"/>
  <c r="H73" i="9"/>
  <c r="I73" i="9" s="1"/>
  <c r="H89" i="9"/>
  <c r="I89" i="9" s="1"/>
  <c r="H127" i="9"/>
  <c r="I127" i="9" s="1"/>
  <c r="H131" i="9"/>
  <c r="I131" i="9" s="1"/>
  <c r="H135" i="9"/>
  <c r="I135" i="9" s="1"/>
  <c r="H139" i="9"/>
  <c r="I139" i="9" s="1"/>
  <c r="H143" i="9"/>
  <c r="I143" i="9" s="1"/>
  <c r="H147" i="9"/>
  <c r="I147" i="9" s="1"/>
  <c r="H151" i="9"/>
  <c r="I151" i="9" s="1"/>
  <c r="H155" i="9"/>
  <c r="I155" i="9" s="1"/>
  <c r="H159" i="9"/>
  <c r="I159" i="9" s="1"/>
  <c r="H163" i="9"/>
  <c r="I163" i="9" s="1"/>
  <c r="H167" i="9"/>
  <c r="I167" i="9" s="1"/>
  <c r="H171" i="9"/>
  <c r="I171" i="9" s="1"/>
  <c r="H175" i="9"/>
  <c r="I175" i="9" s="1"/>
  <c r="H21" i="9"/>
  <c r="I21" i="9" s="1"/>
  <c r="H37" i="9"/>
  <c r="I37" i="9" s="1"/>
  <c r="H53" i="9"/>
  <c r="I53" i="9" s="1"/>
  <c r="H69" i="9"/>
  <c r="I69" i="9" s="1"/>
  <c r="H85" i="9"/>
  <c r="I85" i="9" s="1"/>
  <c r="H97" i="9"/>
  <c r="I97" i="9" s="1"/>
  <c r="H98" i="9"/>
  <c r="I98" i="9" s="1"/>
  <c r="H105" i="9"/>
  <c r="I105" i="9" s="1"/>
  <c r="H106" i="9"/>
  <c r="I106" i="9" s="1"/>
  <c r="H113" i="9"/>
  <c r="I113" i="9" s="1"/>
  <c r="H114" i="9"/>
  <c r="I114" i="9" s="1"/>
  <c r="H121" i="9"/>
  <c r="I121" i="9" s="1"/>
  <c r="H122" i="9"/>
  <c r="I122" i="9" s="1"/>
  <c r="H128" i="9"/>
  <c r="I128" i="9" s="1"/>
  <c r="H132" i="9"/>
  <c r="I132" i="9" s="1"/>
  <c r="H136" i="9"/>
  <c r="I136" i="9" s="1"/>
  <c r="H140" i="9"/>
  <c r="I140" i="9" s="1"/>
  <c r="H144" i="9"/>
  <c r="I144" i="9" s="1"/>
  <c r="H148" i="9"/>
  <c r="I148" i="9" s="1"/>
  <c r="H152" i="9"/>
  <c r="I152" i="9" s="1"/>
  <c r="H156" i="9"/>
  <c r="I156" i="9" s="1"/>
  <c r="H33" i="9"/>
  <c r="I33" i="9" s="1"/>
  <c r="H49" i="9"/>
  <c r="I49" i="9" s="1"/>
  <c r="H65" i="9"/>
  <c r="I65" i="9" s="1"/>
  <c r="H81" i="9"/>
  <c r="I81" i="9" s="1"/>
  <c r="H129" i="9"/>
  <c r="I129" i="9" s="1"/>
  <c r="H133" i="9"/>
  <c r="I133" i="9" s="1"/>
  <c r="H137" i="9"/>
  <c r="I137" i="9" s="1"/>
  <c r="H141" i="9"/>
  <c r="I141" i="9" s="1"/>
  <c r="H145" i="9"/>
  <c r="I145" i="9" s="1"/>
  <c r="H149" i="9"/>
  <c r="I149" i="9" s="1"/>
  <c r="H153" i="9"/>
  <c r="I153" i="9" s="1"/>
  <c r="H157" i="9"/>
  <c r="I157" i="9" s="1"/>
  <c r="H161" i="9"/>
  <c r="I161" i="9" s="1"/>
  <c r="H165" i="9"/>
  <c r="I165" i="9" s="1"/>
  <c r="H169" i="9"/>
  <c r="I169" i="9" s="1"/>
  <c r="H173" i="9"/>
  <c r="I173" i="9" s="1"/>
  <c r="H45" i="9"/>
  <c r="I45" i="9" s="1"/>
  <c r="H77" i="9"/>
  <c r="I77" i="9" s="1"/>
  <c r="H130" i="9"/>
  <c r="I130" i="9" s="1"/>
  <c r="H146" i="9"/>
  <c r="I146" i="9" s="1"/>
  <c r="H160" i="9"/>
  <c r="I160" i="9" s="1"/>
  <c r="H168" i="9"/>
  <c r="I168" i="9" s="1"/>
  <c r="H176" i="9"/>
  <c r="I176" i="9" s="1"/>
  <c r="H180" i="9"/>
  <c r="I180" i="9" s="1"/>
  <c r="H184" i="9"/>
  <c r="I184" i="9" s="1"/>
  <c r="H188" i="9"/>
  <c r="I188" i="9" s="1"/>
  <c r="H192" i="9"/>
  <c r="I192" i="9" s="1"/>
  <c r="H196" i="9"/>
  <c r="I196" i="9" s="1"/>
  <c r="H200" i="9"/>
  <c r="I200" i="9" s="1"/>
  <c r="H204" i="9"/>
  <c r="I204" i="9" s="1"/>
  <c r="H208" i="9"/>
  <c r="I208" i="9" s="1"/>
  <c r="H212" i="9"/>
  <c r="I212" i="9" s="1"/>
  <c r="H216" i="9"/>
  <c r="I216" i="9" s="1"/>
  <c r="H220" i="9"/>
  <c r="I220" i="9" s="1"/>
  <c r="H224" i="9"/>
  <c r="I224" i="9" s="1"/>
  <c r="H228" i="9"/>
  <c r="I228" i="9" s="1"/>
  <c r="H232" i="9"/>
  <c r="I232" i="9" s="1"/>
  <c r="H236" i="9"/>
  <c r="I236" i="9" s="1"/>
  <c r="H240" i="9"/>
  <c r="I240" i="9" s="1"/>
  <c r="H244" i="9"/>
  <c r="I244" i="9" s="1"/>
  <c r="H248" i="9"/>
  <c r="I248" i="9" s="1"/>
  <c r="H252" i="9"/>
  <c r="I252" i="9" s="1"/>
  <c r="H256" i="9"/>
  <c r="I256" i="9" s="1"/>
  <c r="H260" i="9"/>
  <c r="I260" i="9" s="1"/>
  <c r="H264" i="9"/>
  <c r="I264" i="9" s="1"/>
  <c r="H268" i="9"/>
  <c r="I268" i="9" s="1"/>
  <c r="H272" i="9"/>
  <c r="I272" i="9" s="1"/>
  <c r="H94" i="9"/>
  <c r="I94" i="9" s="1"/>
  <c r="H102" i="9"/>
  <c r="I102" i="9" s="1"/>
  <c r="H110" i="9"/>
  <c r="I110" i="9" s="1"/>
  <c r="H118" i="9"/>
  <c r="I118" i="9" s="1"/>
  <c r="H126" i="9"/>
  <c r="I126" i="9" s="1"/>
  <c r="H142" i="9"/>
  <c r="I142" i="9" s="1"/>
  <c r="H158" i="9"/>
  <c r="I158" i="9" s="1"/>
  <c r="H166" i="9"/>
  <c r="I166" i="9" s="1"/>
  <c r="H174" i="9"/>
  <c r="I174" i="9" s="1"/>
  <c r="H177" i="9"/>
  <c r="I177" i="9" s="1"/>
  <c r="H181" i="9"/>
  <c r="I181" i="9" s="1"/>
  <c r="H185" i="9"/>
  <c r="I185" i="9" s="1"/>
  <c r="H189" i="9"/>
  <c r="I189" i="9" s="1"/>
  <c r="H193" i="9"/>
  <c r="I193" i="9" s="1"/>
  <c r="H197" i="9"/>
  <c r="I197" i="9" s="1"/>
  <c r="H201" i="9"/>
  <c r="I201" i="9" s="1"/>
  <c r="H205" i="9"/>
  <c r="I205" i="9" s="1"/>
  <c r="H209" i="9"/>
  <c r="I209" i="9" s="1"/>
  <c r="H213" i="9"/>
  <c r="I213" i="9" s="1"/>
  <c r="H217" i="9"/>
  <c r="I217" i="9" s="1"/>
  <c r="H221" i="9"/>
  <c r="I221" i="9" s="1"/>
  <c r="H225" i="9"/>
  <c r="I225" i="9" s="1"/>
  <c r="H229" i="9"/>
  <c r="I229" i="9" s="1"/>
  <c r="H233" i="9"/>
  <c r="I233" i="9" s="1"/>
  <c r="H237" i="9"/>
  <c r="I237" i="9" s="1"/>
  <c r="H241" i="9"/>
  <c r="I241" i="9" s="1"/>
  <c r="H245" i="9"/>
  <c r="I245" i="9" s="1"/>
  <c r="H249" i="9"/>
  <c r="I249" i="9" s="1"/>
  <c r="H29" i="9"/>
  <c r="I29" i="9" s="1"/>
  <c r="H61" i="9"/>
  <c r="I61" i="9" s="1"/>
  <c r="H93" i="9"/>
  <c r="I93" i="9" s="1"/>
  <c r="H101" i="9"/>
  <c r="I101" i="9" s="1"/>
  <c r="H109" i="9"/>
  <c r="I109" i="9" s="1"/>
  <c r="H117" i="9"/>
  <c r="I117" i="9" s="1"/>
  <c r="H125" i="9"/>
  <c r="I125" i="9" s="1"/>
  <c r="H138" i="9"/>
  <c r="I138" i="9" s="1"/>
  <c r="H154" i="9"/>
  <c r="I154" i="9" s="1"/>
  <c r="H164" i="9"/>
  <c r="I164" i="9" s="1"/>
  <c r="H172" i="9"/>
  <c r="I172" i="9" s="1"/>
  <c r="H178" i="9"/>
  <c r="I178" i="9" s="1"/>
  <c r="H182" i="9"/>
  <c r="I182" i="9" s="1"/>
  <c r="H186" i="9"/>
  <c r="I186" i="9" s="1"/>
  <c r="H190" i="9"/>
  <c r="I190" i="9" s="1"/>
  <c r="H194" i="9"/>
  <c r="I194" i="9" s="1"/>
  <c r="H198" i="9"/>
  <c r="I198" i="9" s="1"/>
  <c r="H202" i="9"/>
  <c r="I202" i="9" s="1"/>
  <c r="H206" i="9"/>
  <c r="I206" i="9" s="1"/>
  <c r="H210" i="9"/>
  <c r="I210" i="9" s="1"/>
  <c r="H214" i="9"/>
  <c r="I214" i="9" s="1"/>
  <c r="H218" i="9"/>
  <c r="I218" i="9" s="1"/>
  <c r="H222" i="9"/>
  <c r="I222" i="9" s="1"/>
  <c r="H226" i="9"/>
  <c r="I226" i="9" s="1"/>
  <c r="H230" i="9"/>
  <c r="I230" i="9" s="1"/>
  <c r="H234" i="9"/>
  <c r="I234" i="9" s="1"/>
  <c r="H238" i="9"/>
  <c r="I238" i="9" s="1"/>
  <c r="H242" i="9"/>
  <c r="I242" i="9" s="1"/>
  <c r="H150" i="9"/>
  <c r="I150" i="9" s="1"/>
  <c r="H183" i="9"/>
  <c r="I183" i="9" s="1"/>
  <c r="H199" i="9"/>
  <c r="I199" i="9" s="1"/>
  <c r="H215" i="9"/>
  <c r="I215" i="9" s="1"/>
  <c r="H231" i="9"/>
  <c r="I231" i="9" s="1"/>
  <c r="H235" i="9"/>
  <c r="I235" i="9" s="1"/>
  <c r="H239" i="9"/>
  <c r="I239" i="9" s="1"/>
  <c r="H243" i="9"/>
  <c r="I243" i="9" s="1"/>
  <c r="H250" i="9"/>
  <c r="I250" i="9" s="1"/>
  <c r="H251" i="9"/>
  <c r="I251" i="9" s="1"/>
  <c r="H255" i="9"/>
  <c r="I255" i="9" s="1"/>
  <c r="H257" i="9"/>
  <c r="I257" i="9" s="1"/>
  <c r="H258" i="9"/>
  <c r="I258" i="9" s="1"/>
  <c r="H271" i="9"/>
  <c r="I271" i="9" s="1"/>
  <c r="H273" i="9"/>
  <c r="I273" i="9" s="1"/>
  <c r="H277" i="9"/>
  <c r="I277" i="9" s="1"/>
  <c r="H281" i="9"/>
  <c r="I281" i="9" s="1"/>
  <c r="H285" i="9"/>
  <c r="I285" i="9" s="1"/>
  <c r="H289" i="9"/>
  <c r="I289" i="9" s="1"/>
  <c r="H293" i="9"/>
  <c r="I293" i="9" s="1"/>
  <c r="H297" i="9"/>
  <c r="I297" i="9" s="1"/>
  <c r="H301" i="9"/>
  <c r="I301" i="9" s="1"/>
  <c r="H305" i="9"/>
  <c r="I305" i="9" s="1"/>
  <c r="H309" i="9"/>
  <c r="I309" i="9" s="1"/>
  <c r="H179" i="9"/>
  <c r="I179" i="9" s="1"/>
  <c r="H195" i="9"/>
  <c r="I195" i="9" s="1"/>
  <c r="H211" i="9"/>
  <c r="I211" i="9" s="1"/>
  <c r="H227" i="9"/>
  <c r="I227" i="9" s="1"/>
  <c r="H259" i="9"/>
  <c r="I259" i="9" s="1"/>
  <c r="H261" i="9"/>
  <c r="I261" i="9" s="1"/>
  <c r="H262" i="9"/>
  <c r="I262" i="9" s="1"/>
  <c r="H274" i="9"/>
  <c r="I274" i="9" s="1"/>
  <c r="H278" i="9"/>
  <c r="I278" i="9" s="1"/>
  <c r="H282" i="9"/>
  <c r="I282" i="9" s="1"/>
  <c r="H286" i="9"/>
  <c r="I286" i="9" s="1"/>
  <c r="H290" i="9"/>
  <c r="I290" i="9" s="1"/>
  <c r="H294" i="9"/>
  <c r="I294" i="9" s="1"/>
  <c r="H298" i="9"/>
  <c r="I298" i="9" s="1"/>
  <c r="H302" i="9"/>
  <c r="I302" i="9" s="1"/>
  <c r="H306" i="9"/>
  <c r="I306" i="9" s="1"/>
  <c r="H310" i="9"/>
  <c r="I310" i="9" s="1"/>
  <c r="H134" i="9"/>
  <c r="I134" i="9" s="1"/>
  <c r="H162" i="9"/>
  <c r="I162" i="9" s="1"/>
  <c r="H170" i="9"/>
  <c r="I170" i="9" s="1"/>
  <c r="H191" i="9"/>
  <c r="I191" i="9" s="1"/>
  <c r="H207" i="9"/>
  <c r="I207" i="9" s="1"/>
  <c r="H223" i="9"/>
  <c r="I223" i="9" s="1"/>
  <c r="H246" i="9"/>
  <c r="I246" i="9" s="1"/>
  <c r="H247" i="9"/>
  <c r="I247" i="9" s="1"/>
  <c r="H263" i="9"/>
  <c r="I263" i="9" s="1"/>
  <c r="H265" i="9"/>
  <c r="I265" i="9" s="1"/>
  <c r="H266" i="9"/>
  <c r="I266" i="9" s="1"/>
  <c r="H275" i="9"/>
  <c r="I275" i="9" s="1"/>
  <c r="H279" i="9"/>
  <c r="I279" i="9" s="1"/>
  <c r="H283" i="9"/>
  <c r="I283" i="9" s="1"/>
  <c r="H287" i="9"/>
  <c r="I287" i="9" s="1"/>
  <c r="H291" i="9"/>
  <c r="I291" i="9" s="1"/>
  <c r="H295" i="9"/>
  <c r="I295" i="9" s="1"/>
  <c r="H299" i="9"/>
  <c r="I299" i="9" s="1"/>
  <c r="H303" i="9"/>
  <c r="I303" i="9" s="1"/>
  <c r="H307" i="9"/>
  <c r="I307" i="9" s="1"/>
  <c r="H311" i="9"/>
  <c r="I311" i="9" s="1"/>
  <c r="H187" i="9"/>
  <c r="I187" i="9" s="1"/>
  <c r="H203" i="9"/>
  <c r="I203" i="9" s="1"/>
  <c r="H219" i="9"/>
  <c r="I219" i="9" s="1"/>
  <c r="H253" i="9"/>
  <c r="I253" i="9" s="1"/>
  <c r="H254" i="9"/>
  <c r="I254" i="9" s="1"/>
  <c r="H267" i="9"/>
  <c r="I267" i="9" s="1"/>
  <c r="H269" i="9"/>
  <c r="I269" i="9" s="1"/>
  <c r="H270" i="9"/>
  <c r="I270" i="9" s="1"/>
  <c r="H276" i="9"/>
  <c r="I276" i="9" s="1"/>
  <c r="H280" i="9"/>
  <c r="I280" i="9" s="1"/>
  <c r="H284" i="9"/>
  <c r="I284" i="9" s="1"/>
  <c r="H288" i="9"/>
  <c r="I288" i="9" s="1"/>
  <c r="H292" i="9"/>
  <c r="I292" i="9" s="1"/>
  <c r="H296" i="9"/>
  <c r="I296" i="9" s="1"/>
  <c r="H300" i="9"/>
  <c r="I300" i="9" s="1"/>
  <c r="H304" i="9"/>
  <c r="I304" i="9" s="1"/>
  <c r="H308" i="9"/>
  <c r="I308" i="9" s="1"/>
  <c r="B21" i="48"/>
  <c r="H12" i="9"/>
  <c r="G6" i="12"/>
  <c r="F6" i="39" s="1"/>
  <c r="H306" i="11"/>
  <c r="O306" i="11"/>
  <c r="G293" i="25" l="1"/>
  <c r="D294" i="54" s="1"/>
  <c r="E294" i="54" s="1"/>
  <c r="D294" i="12"/>
  <c r="E294" i="39"/>
  <c r="G262" i="25"/>
  <c r="D263" i="54" s="1"/>
  <c r="E263" i="54" s="1"/>
  <c r="D263" i="12"/>
  <c r="E263" i="39"/>
  <c r="G300" i="25"/>
  <c r="D301" i="54" s="1"/>
  <c r="E301" i="54" s="1"/>
  <c r="E301" i="39"/>
  <c r="D301" i="12"/>
  <c r="G268" i="25"/>
  <c r="D269" i="54" s="1"/>
  <c r="E269" i="54" s="1"/>
  <c r="E269" i="39"/>
  <c r="D269" i="12"/>
  <c r="G184" i="25"/>
  <c r="D185" i="54" s="1"/>
  <c r="E185" i="54" s="1"/>
  <c r="E185" i="39"/>
  <c r="D185" i="12"/>
  <c r="G289" i="25"/>
  <c r="D290" i="54" s="1"/>
  <c r="E290" i="54" s="1"/>
  <c r="E290" i="39"/>
  <c r="D290" i="12"/>
  <c r="G273" i="25"/>
  <c r="D274" i="54" s="1"/>
  <c r="E274" i="54" s="1"/>
  <c r="E274" i="39"/>
  <c r="D274" i="12"/>
  <c r="G260" i="25"/>
  <c r="D261" i="54" s="1"/>
  <c r="E261" i="54" s="1"/>
  <c r="E261" i="39"/>
  <c r="D261" i="12"/>
  <c r="G196" i="25"/>
  <c r="D197" i="54" s="1"/>
  <c r="E197" i="54" s="1"/>
  <c r="E197" i="39"/>
  <c r="D197" i="12"/>
  <c r="G296" i="25"/>
  <c r="D297" i="54" s="1"/>
  <c r="E297" i="54" s="1"/>
  <c r="E297" i="39"/>
  <c r="D297" i="12"/>
  <c r="G280" i="25"/>
  <c r="D281" i="54" s="1"/>
  <c r="E281" i="54" s="1"/>
  <c r="E281" i="39"/>
  <c r="D281" i="12"/>
  <c r="G259" i="25"/>
  <c r="D260" i="54" s="1"/>
  <c r="E260" i="54" s="1"/>
  <c r="E260" i="39"/>
  <c r="D260" i="12"/>
  <c r="G239" i="25"/>
  <c r="D240" i="54" s="1"/>
  <c r="E240" i="54" s="1"/>
  <c r="E240" i="39"/>
  <c r="D240" i="12"/>
  <c r="G163" i="25"/>
  <c r="D164" i="54" s="1"/>
  <c r="E164" i="54" s="1"/>
  <c r="E164" i="39"/>
  <c r="D164" i="12"/>
  <c r="G299" i="25"/>
  <c r="D300" i="54" s="1"/>
  <c r="E300" i="54" s="1"/>
  <c r="E300" i="39"/>
  <c r="D300" i="12"/>
  <c r="G283" i="25"/>
  <c r="D284" i="54" s="1"/>
  <c r="E284" i="54" s="1"/>
  <c r="E284" i="39"/>
  <c r="D284" i="12"/>
  <c r="G267" i="25"/>
  <c r="D268" i="54" s="1"/>
  <c r="E268" i="54" s="1"/>
  <c r="E268" i="39"/>
  <c r="D268" i="12"/>
  <c r="G220" i="25"/>
  <c r="D221" i="54" s="1"/>
  <c r="E221" i="54" s="1"/>
  <c r="E221" i="39"/>
  <c r="D221" i="12"/>
  <c r="G302" i="25"/>
  <c r="D303" i="54" s="1"/>
  <c r="E303" i="54" s="1"/>
  <c r="D303" i="12"/>
  <c r="E303" i="39"/>
  <c r="G286" i="25"/>
  <c r="D287" i="54" s="1"/>
  <c r="E287" i="54" s="1"/>
  <c r="D287" i="12"/>
  <c r="E287" i="39"/>
  <c r="G270" i="25"/>
  <c r="D271" i="54" s="1"/>
  <c r="E271" i="54" s="1"/>
  <c r="D271" i="12"/>
  <c r="E271" i="39"/>
  <c r="G250" i="25"/>
  <c r="D251" i="54" s="1"/>
  <c r="E251" i="54" s="1"/>
  <c r="D251" i="12"/>
  <c r="E251" i="39"/>
  <c r="G236" i="25"/>
  <c r="D237" i="54" s="1"/>
  <c r="E237" i="54" s="1"/>
  <c r="E237" i="39"/>
  <c r="D237" i="12"/>
  <c r="G208" i="25"/>
  <c r="D209" i="54" s="1"/>
  <c r="E209" i="54" s="1"/>
  <c r="E209" i="39"/>
  <c r="D209" i="12"/>
  <c r="G235" i="25"/>
  <c r="D236" i="54" s="1"/>
  <c r="E236" i="54" s="1"/>
  <c r="E236" i="39"/>
  <c r="D236" i="12"/>
  <c r="G219" i="25"/>
  <c r="D220" i="54" s="1"/>
  <c r="E220" i="54" s="1"/>
  <c r="E220" i="39"/>
  <c r="D220" i="12"/>
  <c r="G203" i="25"/>
  <c r="D204" i="54" s="1"/>
  <c r="E204" i="54" s="1"/>
  <c r="D204" i="12"/>
  <c r="E204" i="39"/>
  <c r="G187" i="25"/>
  <c r="D188" i="54" s="1"/>
  <c r="E188" i="54" s="1"/>
  <c r="E188" i="39"/>
  <c r="D188" i="12"/>
  <c r="G171" i="25"/>
  <c r="D172" i="54" s="1"/>
  <c r="E172" i="54" s="1"/>
  <c r="D172" i="12"/>
  <c r="E172" i="39"/>
  <c r="G131" i="25"/>
  <c r="D132" i="54" s="1"/>
  <c r="E132" i="54" s="1"/>
  <c r="D132" i="12"/>
  <c r="E132" i="39"/>
  <c r="G94" i="25"/>
  <c r="D95" i="54" s="1"/>
  <c r="E95" i="54" s="1"/>
  <c r="D95" i="12"/>
  <c r="E95" i="39"/>
  <c r="G242" i="25"/>
  <c r="D243" i="54" s="1"/>
  <c r="E243" i="54" s="1"/>
  <c r="D243" i="12"/>
  <c r="E243" i="39"/>
  <c r="G226" i="25"/>
  <c r="D227" i="54" s="1"/>
  <c r="E227" i="54" s="1"/>
  <c r="D227" i="12"/>
  <c r="E227" i="39"/>
  <c r="G210" i="25"/>
  <c r="D211" i="54" s="1"/>
  <c r="E211" i="54" s="1"/>
  <c r="D211" i="12"/>
  <c r="E211" i="39"/>
  <c r="G194" i="25"/>
  <c r="D195" i="54" s="1"/>
  <c r="E195" i="54" s="1"/>
  <c r="E195" i="39"/>
  <c r="D195" i="12"/>
  <c r="G178" i="25"/>
  <c r="D179" i="54" s="1"/>
  <c r="E179" i="54" s="1"/>
  <c r="E179" i="39"/>
  <c r="D179" i="12"/>
  <c r="G159" i="25"/>
  <c r="D160" i="54" s="1"/>
  <c r="E160" i="54" s="1"/>
  <c r="D160" i="12"/>
  <c r="E160" i="39"/>
  <c r="G111" i="25"/>
  <c r="D112" i="54" s="1"/>
  <c r="E112" i="54" s="1"/>
  <c r="D112" i="12"/>
  <c r="E112" i="39"/>
  <c r="G265" i="25"/>
  <c r="D266" i="54" s="1"/>
  <c r="E266" i="54" s="1"/>
  <c r="D266" i="12"/>
  <c r="E266" i="39"/>
  <c r="G249" i="25"/>
  <c r="D250" i="54" s="1"/>
  <c r="E250" i="54" s="1"/>
  <c r="D250" i="12"/>
  <c r="E250" i="39"/>
  <c r="G233" i="25"/>
  <c r="D234" i="54" s="1"/>
  <c r="E234" i="54" s="1"/>
  <c r="D234" i="12"/>
  <c r="E234" i="39"/>
  <c r="G217" i="25"/>
  <c r="D218" i="54" s="1"/>
  <c r="E218" i="54" s="1"/>
  <c r="D218" i="12"/>
  <c r="E218" i="39"/>
  <c r="G201" i="25"/>
  <c r="D202" i="54" s="1"/>
  <c r="E202" i="54" s="1"/>
  <c r="E202" i="39"/>
  <c r="D202" i="12"/>
  <c r="G185" i="25"/>
  <c r="D186" i="54" s="1"/>
  <c r="E186" i="54" s="1"/>
  <c r="E186" i="39"/>
  <c r="D186" i="12"/>
  <c r="G169" i="25"/>
  <c r="D170" i="54" s="1"/>
  <c r="E170" i="54" s="1"/>
  <c r="E170" i="39"/>
  <c r="D170" i="12"/>
  <c r="G123" i="25"/>
  <c r="D124" i="54" s="1"/>
  <c r="E124" i="54" s="1"/>
  <c r="D124" i="12"/>
  <c r="E124" i="39"/>
  <c r="G162" i="25"/>
  <c r="D163" i="54" s="1"/>
  <c r="E163" i="54" s="1"/>
  <c r="D163" i="12"/>
  <c r="E163" i="39"/>
  <c r="G146" i="25"/>
  <c r="D147" i="54" s="1"/>
  <c r="E147" i="54" s="1"/>
  <c r="D147" i="12"/>
  <c r="E147" i="39"/>
  <c r="G130" i="25"/>
  <c r="D131" i="54" s="1"/>
  <c r="E131" i="54" s="1"/>
  <c r="D131" i="12"/>
  <c r="E131" i="39"/>
  <c r="G58" i="25"/>
  <c r="D59" i="54" s="1"/>
  <c r="E59" i="54" s="1"/>
  <c r="E59" i="39"/>
  <c r="D59" i="12"/>
  <c r="G145" i="25"/>
  <c r="D146" i="54" s="1"/>
  <c r="E146" i="54" s="1"/>
  <c r="E146" i="39"/>
  <c r="D146" i="12"/>
  <c r="G129" i="25"/>
  <c r="D130" i="54" s="1"/>
  <c r="E130" i="54" s="1"/>
  <c r="E130" i="39"/>
  <c r="D130" i="12"/>
  <c r="G114" i="25"/>
  <c r="D115" i="54" s="1"/>
  <c r="E115" i="54" s="1"/>
  <c r="D115" i="12"/>
  <c r="E115" i="39"/>
  <c r="G98" i="25"/>
  <c r="D99" i="54" s="1"/>
  <c r="E99" i="54" s="1"/>
  <c r="D99" i="12"/>
  <c r="E99" i="39"/>
  <c r="G62" i="25"/>
  <c r="D63" i="54" s="1"/>
  <c r="E63" i="54" s="1"/>
  <c r="E63" i="39"/>
  <c r="D63" i="12"/>
  <c r="G168" i="25"/>
  <c r="D169" i="54" s="1"/>
  <c r="E169" i="54" s="1"/>
  <c r="E169" i="39"/>
  <c r="D169" i="12"/>
  <c r="G152" i="25"/>
  <c r="D153" i="54" s="1"/>
  <c r="E153" i="54" s="1"/>
  <c r="D153" i="12"/>
  <c r="E153" i="39"/>
  <c r="G136" i="25"/>
  <c r="D137" i="54" s="1"/>
  <c r="E137" i="54" s="1"/>
  <c r="D137" i="12"/>
  <c r="E137" i="39"/>
  <c r="G120" i="25"/>
  <c r="D121" i="54" s="1"/>
  <c r="E121" i="54" s="1"/>
  <c r="E121" i="39"/>
  <c r="D121" i="12"/>
  <c r="G34" i="25"/>
  <c r="D35" i="54" s="1"/>
  <c r="E35" i="54" s="1"/>
  <c r="D35" i="12"/>
  <c r="E35" i="39"/>
  <c r="G117" i="25"/>
  <c r="D118" i="54" s="1"/>
  <c r="E118" i="54" s="1"/>
  <c r="E118" i="39"/>
  <c r="D118" i="12"/>
  <c r="G101" i="25"/>
  <c r="D102" i="54" s="1"/>
  <c r="E102" i="54" s="1"/>
  <c r="E102" i="39"/>
  <c r="D102" i="12"/>
  <c r="G85" i="25"/>
  <c r="D86" i="54" s="1"/>
  <c r="E86" i="54" s="1"/>
  <c r="E86" i="39"/>
  <c r="D86" i="12"/>
  <c r="G69" i="25"/>
  <c r="D70" i="54" s="1"/>
  <c r="E70" i="54" s="1"/>
  <c r="E70" i="39"/>
  <c r="D70" i="12"/>
  <c r="G53" i="25"/>
  <c r="D54" i="54" s="1"/>
  <c r="E54" i="54" s="1"/>
  <c r="E54" i="39"/>
  <c r="D54" i="12"/>
  <c r="G37" i="25"/>
  <c r="D38" i="54" s="1"/>
  <c r="E38" i="54" s="1"/>
  <c r="E38" i="39"/>
  <c r="D38" i="12"/>
  <c r="G21" i="25"/>
  <c r="D22" i="54" s="1"/>
  <c r="E22" i="54" s="1"/>
  <c r="E22" i="39"/>
  <c r="D22" i="12"/>
  <c r="G116" i="25"/>
  <c r="D117" i="54" s="1"/>
  <c r="E117" i="54" s="1"/>
  <c r="E117" i="39"/>
  <c r="D117" i="12"/>
  <c r="G100" i="25"/>
  <c r="D101" i="54" s="1"/>
  <c r="E101" i="54" s="1"/>
  <c r="E101" i="39"/>
  <c r="D101" i="12"/>
  <c r="G84" i="25"/>
  <c r="D85" i="54" s="1"/>
  <c r="E85" i="54" s="1"/>
  <c r="E85" i="39"/>
  <c r="D85" i="12"/>
  <c r="G68" i="25"/>
  <c r="D69" i="54" s="1"/>
  <c r="E69" i="54" s="1"/>
  <c r="E69" i="39"/>
  <c r="D69" i="12"/>
  <c r="G52" i="25"/>
  <c r="D53" i="54" s="1"/>
  <c r="E53" i="54" s="1"/>
  <c r="E53" i="39"/>
  <c r="D53" i="12"/>
  <c r="G36" i="25"/>
  <c r="D37" i="54" s="1"/>
  <c r="E37" i="54" s="1"/>
  <c r="E37" i="39"/>
  <c r="D37" i="12"/>
  <c r="G20" i="25"/>
  <c r="D21" i="54" s="1"/>
  <c r="E21" i="54" s="1"/>
  <c r="E21" i="39"/>
  <c r="D21" i="12"/>
  <c r="G83" i="25"/>
  <c r="D84" i="54" s="1"/>
  <c r="E84" i="54" s="1"/>
  <c r="D84" i="12"/>
  <c r="E84" i="39"/>
  <c r="G67" i="25"/>
  <c r="D68" i="54" s="1"/>
  <c r="E68" i="54" s="1"/>
  <c r="D68" i="12"/>
  <c r="E68" i="39"/>
  <c r="G51" i="25"/>
  <c r="D52" i="54" s="1"/>
  <c r="E52" i="54" s="1"/>
  <c r="D52" i="12"/>
  <c r="E52" i="39"/>
  <c r="G35" i="25"/>
  <c r="D36" i="54" s="1"/>
  <c r="E36" i="54" s="1"/>
  <c r="D36" i="12"/>
  <c r="E36" i="39"/>
  <c r="G19" i="25"/>
  <c r="D20" i="54" s="1"/>
  <c r="E20" i="54" s="1"/>
  <c r="D20" i="12"/>
  <c r="E20" i="39"/>
  <c r="G298" i="25"/>
  <c r="D299" i="54" s="1"/>
  <c r="E299" i="54" s="1"/>
  <c r="D299" i="12"/>
  <c r="E299" i="39"/>
  <c r="G266" i="25"/>
  <c r="D267" i="54" s="1"/>
  <c r="E267" i="54" s="1"/>
  <c r="D267" i="12"/>
  <c r="E267" i="39"/>
  <c r="G232" i="25"/>
  <c r="D233" i="54" s="1"/>
  <c r="E233" i="54" s="1"/>
  <c r="E233" i="39"/>
  <c r="D233" i="12"/>
  <c r="G231" i="25"/>
  <c r="D232" i="54" s="1"/>
  <c r="E232" i="54" s="1"/>
  <c r="E232" i="39"/>
  <c r="D232" i="12"/>
  <c r="G199" i="25"/>
  <c r="D200" i="54" s="1"/>
  <c r="E200" i="54" s="1"/>
  <c r="E200" i="39"/>
  <c r="D200" i="12"/>
  <c r="G118" i="25"/>
  <c r="D119" i="54" s="1"/>
  <c r="E119" i="54" s="1"/>
  <c r="D119" i="12"/>
  <c r="E119" i="39"/>
  <c r="G238" i="25"/>
  <c r="D239" i="54" s="1"/>
  <c r="E239" i="54" s="1"/>
  <c r="D239" i="12"/>
  <c r="E239" i="39"/>
  <c r="G206" i="25"/>
  <c r="D207" i="54" s="1"/>
  <c r="E207" i="54" s="1"/>
  <c r="D207" i="12"/>
  <c r="E207" i="39"/>
  <c r="G151" i="25"/>
  <c r="D152" i="54" s="1"/>
  <c r="E152" i="54" s="1"/>
  <c r="E152" i="39"/>
  <c r="D152" i="12"/>
  <c r="G261" i="25"/>
  <c r="D262" i="54" s="1"/>
  <c r="E262" i="54" s="1"/>
  <c r="D262" i="12"/>
  <c r="E262" i="39"/>
  <c r="G213" i="25"/>
  <c r="D214" i="54" s="1"/>
  <c r="E214" i="54" s="1"/>
  <c r="D214" i="12"/>
  <c r="E214" i="39"/>
  <c r="G197" i="25"/>
  <c r="D198" i="54" s="1"/>
  <c r="E198" i="54" s="1"/>
  <c r="D198" i="12"/>
  <c r="E198" i="39"/>
  <c r="G161" i="25"/>
  <c r="D162" i="54" s="1"/>
  <c r="E162" i="54" s="1"/>
  <c r="E162" i="39"/>
  <c r="D162" i="12"/>
  <c r="G70" i="25"/>
  <c r="D71" i="54" s="1"/>
  <c r="E71" i="54" s="1"/>
  <c r="D71" i="12"/>
  <c r="E71" i="39"/>
  <c r="G158" i="25"/>
  <c r="D159" i="54" s="1"/>
  <c r="E159" i="54" s="1"/>
  <c r="E159" i="39"/>
  <c r="D159" i="12"/>
  <c r="G142" i="25"/>
  <c r="D143" i="54" s="1"/>
  <c r="E143" i="54" s="1"/>
  <c r="E143" i="39"/>
  <c r="D143" i="12"/>
  <c r="G126" i="25"/>
  <c r="D127" i="54" s="1"/>
  <c r="E127" i="54" s="1"/>
  <c r="D127" i="12"/>
  <c r="E127" i="39"/>
  <c r="G42" i="25"/>
  <c r="D43" i="54" s="1"/>
  <c r="E43" i="54" s="1"/>
  <c r="D43" i="12"/>
  <c r="E43" i="39"/>
  <c r="G141" i="25"/>
  <c r="D142" i="54" s="1"/>
  <c r="E142" i="54" s="1"/>
  <c r="E142" i="39"/>
  <c r="D142" i="12"/>
  <c r="G125" i="25"/>
  <c r="D126" i="54" s="1"/>
  <c r="E126" i="54" s="1"/>
  <c r="E126" i="39"/>
  <c r="D126" i="12"/>
  <c r="G107" i="25"/>
  <c r="D108" i="54" s="1"/>
  <c r="E108" i="54" s="1"/>
  <c r="D108" i="12"/>
  <c r="E108" i="39"/>
  <c r="G91" i="25"/>
  <c r="D92" i="54" s="1"/>
  <c r="E92" i="54" s="1"/>
  <c r="D92" i="12"/>
  <c r="E92" i="39"/>
  <c r="G46" i="25"/>
  <c r="D47" i="54" s="1"/>
  <c r="E47" i="54" s="1"/>
  <c r="E47" i="39"/>
  <c r="D47" i="12"/>
  <c r="G164" i="25"/>
  <c r="D165" i="54" s="1"/>
  <c r="E165" i="54" s="1"/>
  <c r="E165" i="39"/>
  <c r="D165" i="12"/>
  <c r="G148" i="25"/>
  <c r="D149" i="54" s="1"/>
  <c r="E149" i="54" s="1"/>
  <c r="E149" i="39"/>
  <c r="D149" i="12"/>
  <c r="G132" i="25"/>
  <c r="D133" i="54" s="1"/>
  <c r="E133" i="54" s="1"/>
  <c r="D133" i="12"/>
  <c r="E133" i="39"/>
  <c r="G82" i="25"/>
  <c r="D83" i="54" s="1"/>
  <c r="E83" i="54" s="1"/>
  <c r="D83" i="12"/>
  <c r="E83" i="39"/>
  <c r="G18" i="25"/>
  <c r="D19" i="54" s="1"/>
  <c r="E19" i="54" s="1"/>
  <c r="E19" i="39"/>
  <c r="D19" i="12"/>
  <c r="G113" i="25"/>
  <c r="D114" i="54" s="1"/>
  <c r="E114" i="54" s="1"/>
  <c r="E114" i="39"/>
  <c r="D114" i="12"/>
  <c r="G97" i="25"/>
  <c r="D98" i="54" s="1"/>
  <c r="E98" i="54" s="1"/>
  <c r="E98" i="39"/>
  <c r="D98" i="12"/>
  <c r="G81" i="25"/>
  <c r="D82" i="54" s="1"/>
  <c r="E82" i="54" s="1"/>
  <c r="E82" i="39"/>
  <c r="D82" i="12"/>
  <c r="G65" i="25"/>
  <c r="D66" i="54" s="1"/>
  <c r="E66" i="54" s="1"/>
  <c r="E66" i="39"/>
  <c r="D66" i="12"/>
  <c r="G49" i="25"/>
  <c r="D50" i="54" s="1"/>
  <c r="E50" i="54" s="1"/>
  <c r="E50" i="39"/>
  <c r="D50" i="12"/>
  <c r="G33" i="25"/>
  <c r="D34" i="54" s="1"/>
  <c r="E34" i="54" s="1"/>
  <c r="E34" i="39"/>
  <c r="D34" i="12"/>
  <c r="G17" i="25"/>
  <c r="D18" i="54" s="1"/>
  <c r="E18" i="54" s="1"/>
  <c r="E18" i="39"/>
  <c r="D18" i="12"/>
  <c r="G112" i="25"/>
  <c r="D113" i="54" s="1"/>
  <c r="E113" i="54" s="1"/>
  <c r="E113" i="39"/>
  <c r="D113" i="12"/>
  <c r="G96" i="25"/>
  <c r="D97" i="54" s="1"/>
  <c r="E97" i="54" s="1"/>
  <c r="E97" i="39"/>
  <c r="D97" i="12"/>
  <c r="G80" i="25"/>
  <c r="D81" i="54" s="1"/>
  <c r="E81" i="54" s="1"/>
  <c r="E81" i="39"/>
  <c r="D81" i="12"/>
  <c r="G64" i="25"/>
  <c r="D65" i="54" s="1"/>
  <c r="E65" i="54" s="1"/>
  <c r="E65" i="39"/>
  <c r="D65" i="12"/>
  <c r="G48" i="25"/>
  <c r="D49" i="54" s="1"/>
  <c r="E49" i="54" s="1"/>
  <c r="E49" i="39"/>
  <c r="D49" i="12"/>
  <c r="G32" i="25"/>
  <c r="D33" i="54" s="1"/>
  <c r="E33" i="54" s="1"/>
  <c r="E33" i="39"/>
  <c r="D33" i="12"/>
  <c r="G16" i="25"/>
  <c r="D17" i="54" s="1"/>
  <c r="E17" i="54" s="1"/>
  <c r="E17" i="39"/>
  <c r="D17" i="12"/>
  <c r="G79" i="25"/>
  <c r="D80" i="54" s="1"/>
  <c r="E80" i="54" s="1"/>
  <c r="D80" i="12"/>
  <c r="E80" i="39"/>
  <c r="G63" i="25"/>
  <c r="D64" i="54" s="1"/>
  <c r="E64" i="54" s="1"/>
  <c r="D64" i="12"/>
  <c r="E64" i="39"/>
  <c r="G47" i="25"/>
  <c r="D48" i="54" s="1"/>
  <c r="E48" i="54" s="1"/>
  <c r="D48" i="12"/>
  <c r="E48" i="39"/>
  <c r="G31" i="25"/>
  <c r="D32" i="54" s="1"/>
  <c r="E32" i="54" s="1"/>
  <c r="D32" i="12"/>
  <c r="E32" i="39"/>
  <c r="G15" i="25"/>
  <c r="D16" i="54" s="1"/>
  <c r="E16" i="54" s="1"/>
  <c r="D16" i="12"/>
  <c r="E16" i="39"/>
  <c r="G212" i="25"/>
  <c r="D213" i="54" s="1"/>
  <c r="E213" i="54" s="1"/>
  <c r="E213" i="39"/>
  <c r="D213" i="12"/>
  <c r="G301" i="25"/>
  <c r="D302" i="54" s="1"/>
  <c r="E302" i="54" s="1"/>
  <c r="D302" i="12"/>
  <c r="E302" i="39"/>
  <c r="G285" i="25"/>
  <c r="D286" i="54" s="1"/>
  <c r="E286" i="54" s="1"/>
  <c r="D286" i="12"/>
  <c r="E286" i="39"/>
  <c r="G269" i="25"/>
  <c r="D270" i="54" s="1"/>
  <c r="E270" i="54" s="1"/>
  <c r="D270" i="12"/>
  <c r="E270" i="39"/>
  <c r="G247" i="25"/>
  <c r="D248" i="54" s="1"/>
  <c r="E248" i="54" s="1"/>
  <c r="E248" i="39"/>
  <c r="D248" i="12"/>
  <c r="G180" i="25"/>
  <c r="D181" i="54" s="1"/>
  <c r="E181" i="54" s="1"/>
  <c r="E181" i="39"/>
  <c r="D181" i="12"/>
  <c r="G292" i="25"/>
  <c r="D293" i="54" s="1"/>
  <c r="E293" i="54" s="1"/>
  <c r="E293" i="39"/>
  <c r="D293" i="12"/>
  <c r="G276" i="25"/>
  <c r="D277" i="54" s="1"/>
  <c r="E277" i="54" s="1"/>
  <c r="E277" i="39"/>
  <c r="D277" i="12"/>
  <c r="G258" i="25"/>
  <c r="D259" i="54" s="1"/>
  <c r="E259" i="54" s="1"/>
  <c r="D259" i="12"/>
  <c r="E259" i="39"/>
  <c r="G216" i="25"/>
  <c r="D217" i="54" s="1"/>
  <c r="E217" i="54" s="1"/>
  <c r="E217" i="39"/>
  <c r="D217" i="12"/>
  <c r="G155" i="25"/>
  <c r="D156" i="54" s="1"/>
  <c r="E156" i="54" s="1"/>
  <c r="E156" i="39"/>
  <c r="D156" i="12"/>
  <c r="G295" i="25"/>
  <c r="D296" i="54" s="1"/>
  <c r="E296" i="54" s="1"/>
  <c r="E296" i="39"/>
  <c r="D296" i="12"/>
  <c r="G279" i="25"/>
  <c r="D280" i="54" s="1"/>
  <c r="E280" i="54" s="1"/>
  <c r="E280" i="39"/>
  <c r="D280" i="12"/>
  <c r="G255" i="25"/>
  <c r="D256" i="54" s="1"/>
  <c r="E256" i="54" s="1"/>
  <c r="E256" i="39"/>
  <c r="D256" i="12"/>
  <c r="G204" i="25"/>
  <c r="D205" i="54" s="1"/>
  <c r="E205" i="54" s="1"/>
  <c r="E205" i="39"/>
  <c r="D205" i="12"/>
  <c r="G282" i="25"/>
  <c r="D283" i="54" s="1"/>
  <c r="E283" i="54" s="1"/>
  <c r="D283" i="12"/>
  <c r="E283" i="39"/>
  <c r="G248" i="25"/>
  <c r="D249" i="54" s="1"/>
  <c r="E249" i="54" s="1"/>
  <c r="E249" i="39"/>
  <c r="D249" i="12"/>
  <c r="G192" i="25"/>
  <c r="D193" i="54" s="1"/>
  <c r="E193" i="54" s="1"/>
  <c r="E193" i="39"/>
  <c r="D193" i="12"/>
  <c r="G215" i="25"/>
  <c r="D216" i="54" s="1"/>
  <c r="E216" i="54" s="1"/>
  <c r="E216" i="39"/>
  <c r="D216" i="12"/>
  <c r="G183" i="25"/>
  <c r="D184" i="54" s="1"/>
  <c r="E184" i="54" s="1"/>
  <c r="D184" i="12"/>
  <c r="E184" i="39"/>
  <c r="G165" i="25"/>
  <c r="D166" i="54" s="1"/>
  <c r="E166" i="54" s="1"/>
  <c r="D166" i="12"/>
  <c r="E166" i="39"/>
  <c r="G86" i="25"/>
  <c r="D87" i="54" s="1"/>
  <c r="E87" i="54" s="1"/>
  <c r="D87" i="12"/>
  <c r="E87" i="39"/>
  <c r="G222" i="25"/>
  <c r="D223" i="54" s="1"/>
  <c r="E223" i="54" s="1"/>
  <c r="D223" i="12"/>
  <c r="E223" i="39"/>
  <c r="G190" i="25"/>
  <c r="D191" i="54" s="1"/>
  <c r="E191" i="54" s="1"/>
  <c r="E191" i="39"/>
  <c r="D191" i="12"/>
  <c r="G174" i="25"/>
  <c r="D175" i="54" s="1"/>
  <c r="E175" i="54" s="1"/>
  <c r="E175" i="39"/>
  <c r="D175" i="12"/>
  <c r="G103" i="25"/>
  <c r="D104" i="54" s="1"/>
  <c r="E104" i="54" s="1"/>
  <c r="D104" i="12"/>
  <c r="E104" i="39"/>
  <c r="G245" i="25"/>
  <c r="D246" i="54" s="1"/>
  <c r="E246" i="54" s="1"/>
  <c r="D246" i="12"/>
  <c r="E246" i="39"/>
  <c r="G229" i="25"/>
  <c r="D230" i="54" s="1"/>
  <c r="E230" i="54" s="1"/>
  <c r="D230" i="12"/>
  <c r="E230" i="39"/>
  <c r="G181" i="25"/>
  <c r="D182" i="54" s="1"/>
  <c r="E182" i="54" s="1"/>
  <c r="D182" i="12"/>
  <c r="E182" i="39"/>
  <c r="G297" i="25"/>
  <c r="D298" i="54" s="1"/>
  <c r="E298" i="54" s="1"/>
  <c r="D298" i="12"/>
  <c r="E298" i="39"/>
  <c r="G281" i="25"/>
  <c r="D282" i="54" s="1"/>
  <c r="E282" i="54" s="1"/>
  <c r="E282" i="39"/>
  <c r="D282" i="12"/>
  <c r="G263" i="25"/>
  <c r="D264" i="54" s="1"/>
  <c r="E264" i="54" s="1"/>
  <c r="E264" i="39"/>
  <c r="D264" i="12"/>
  <c r="G246" i="25"/>
  <c r="D247" i="54" s="1"/>
  <c r="E247" i="54" s="1"/>
  <c r="D247" i="12"/>
  <c r="E247" i="39"/>
  <c r="G304" i="25"/>
  <c r="D305" i="54" s="1"/>
  <c r="E305" i="54" s="1"/>
  <c r="E305" i="39"/>
  <c r="D305" i="12"/>
  <c r="G288" i="25"/>
  <c r="D289" i="54" s="1"/>
  <c r="E289" i="54" s="1"/>
  <c r="E289" i="39"/>
  <c r="D289" i="12"/>
  <c r="G272" i="25"/>
  <c r="D273" i="54" s="1"/>
  <c r="E273" i="54" s="1"/>
  <c r="E273" i="39"/>
  <c r="D273" i="12"/>
  <c r="G256" i="25"/>
  <c r="D257" i="54" s="1"/>
  <c r="E257" i="54" s="1"/>
  <c r="E257" i="39"/>
  <c r="D257" i="12"/>
  <c r="G200" i="25"/>
  <c r="D201" i="54" s="1"/>
  <c r="E201" i="54" s="1"/>
  <c r="E201" i="39"/>
  <c r="D201" i="12"/>
  <c r="G127" i="25"/>
  <c r="D128" i="54" s="1"/>
  <c r="E128" i="54" s="1"/>
  <c r="D128" i="12"/>
  <c r="E128" i="39"/>
  <c r="G291" i="25"/>
  <c r="D292" i="54" s="1"/>
  <c r="E292" i="54" s="1"/>
  <c r="E292" i="39"/>
  <c r="D292" i="12"/>
  <c r="G275" i="25"/>
  <c r="D276" i="54" s="1"/>
  <c r="E276" i="54" s="1"/>
  <c r="E276" i="39"/>
  <c r="D276" i="12"/>
  <c r="G254" i="25"/>
  <c r="D255" i="54" s="1"/>
  <c r="E255" i="54" s="1"/>
  <c r="D255" i="12"/>
  <c r="E255" i="39"/>
  <c r="G188" i="25"/>
  <c r="D189" i="54" s="1"/>
  <c r="E189" i="54" s="1"/>
  <c r="E189" i="39"/>
  <c r="D189" i="12"/>
  <c r="G294" i="25"/>
  <c r="D295" i="54" s="1"/>
  <c r="E295" i="54" s="1"/>
  <c r="D295" i="12"/>
  <c r="E295" i="39"/>
  <c r="G278" i="25"/>
  <c r="D279" i="54" s="1"/>
  <c r="E279" i="54" s="1"/>
  <c r="D279" i="12"/>
  <c r="E279" i="39"/>
  <c r="G264" i="25"/>
  <c r="D265" i="54" s="1"/>
  <c r="E265" i="54" s="1"/>
  <c r="E265" i="39"/>
  <c r="D265" i="12"/>
  <c r="G244" i="25"/>
  <c r="D245" i="54" s="1"/>
  <c r="E245" i="54" s="1"/>
  <c r="E245" i="39"/>
  <c r="D245" i="12"/>
  <c r="G228" i="25"/>
  <c r="D229" i="54" s="1"/>
  <c r="E229" i="54" s="1"/>
  <c r="E229" i="39"/>
  <c r="D229" i="12"/>
  <c r="G176" i="25"/>
  <c r="D177" i="54" s="1"/>
  <c r="E177" i="54" s="1"/>
  <c r="E177" i="39"/>
  <c r="D177" i="12"/>
  <c r="G227" i="25"/>
  <c r="D228" i="54" s="1"/>
  <c r="E228" i="54" s="1"/>
  <c r="E228" i="39"/>
  <c r="D228" i="12"/>
  <c r="G211" i="25"/>
  <c r="D212" i="54" s="1"/>
  <c r="E212" i="54" s="1"/>
  <c r="E212" i="39"/>
  <c r="D212" i="12"/>
  <c r="G195" i="25"/>
  <c r="D196" i="54" s="1"/>
  <c r="E196" i="54" s="1"/>
  <c r="E196" i="39"/>
  <c r="D196" i="12"/>
  <c r="G179" i="25"/>
  <c r="D180" i="54" s="1"/>
  <c r="E180" i="54" s="1"/>
  <c r="D180" i="12"/>
  <c r="E180" i="39"/>
  <c r="G157" i="25"/>
  <c r="D158" i="54" s="1"/>
  <c r="E158" i="54" s="1"/>
  <c r="E158" i="39"/>
  <c r="D158" i="12"/>
  <c r="G110" i="25"/>
  <c r="D111" i="54" s="1"/>
  <c r="D111" i="12"/>
  <c r="E111" i="39"/>
  <c r="G54" i="25"/>
  <c r="D55" i="54" s="1"/>
  <c r="E55" i="54" s="1"/>
  <c r="E55" i="39"/>
  <c r="D55" i="12"/>
  <c r="G234" i="25"/>
  <c r="D235" i="54" s="1"/>
  <c r="E235" i="54" s="1"/>
  <c r="D235" i="12"/>
  <c r="E235" i="39"/>
  <c r="G218" i="25"/>
  <c r="D219" i="54" s="1"/>
  <c r="E219" i="54" s="1"/>
  <c r="D219" i="12"/>
  <c r="E219" i="39"/>
  <c r="G202" i="25"/>
  <c r="D203" i="54" s="1"/>
  <c r="E203" i="54" s="1"/>
  <c r="D203" i="12"/>
  <c r="E203" i="39"/>
  <c r="G186" i="25"/>
  <c r="D187" i="54" s="1"/>
  <c r="E187" i="54" s="1"/>
  <c r="E187" i="39"/>
  <c r="D187" i="12"/>
  <c r="G170" i="25"/>
  <c r="D171" i="54" s="1"/>
  <c r="E171" i="54" s="1"/>
  <c r="E171" i="39"/>
  <c r="D171" i="12"/>
  <c r="G135" i="25"/>
  <c r="D136" i="54" s="1"/>
  <c r="E136" i="54" s="1"/>
  <c r="D136" i="12"/>
  <c r="E136" i="39"/>
  <c r="G95" i="25"/>
  <c r="D96" i="54" s="1"/>
  <c r="E96" i="54" s="1"/>
  <c r="E96" i="39"/>
  <c r="D96" i="12"/>
  <c r="G257" i="25"/>
  <c r="D258" i="54" s="1"/>
  <c r="E258" i="54" s="1"/>
  <c r="D258" i="12"/>
  <c r="E258" i="39"/>
  <c r="G241" i="25"/>
  <c r="D242" i="54" s="1"/>
  <c r="E242" i="54" s="1"/>
  <c r="D242" i="12"/>
  <c r="E242" i="39"/>
  <c r="G225" i="25"/>
  <c r="D226" i="54" s="1"/>
  <c r="E226" i="54" s="1"/>
  <c r="D226" i="12"/>
  <c r="E226" i="39"/>
  <c r="G209" i="25"/>
  <c r="D210" i="54" s="1"/>
  <c r="E210" i="54" s="1"/>
  <c r="D210" i="12"/>
  <c r="E210" i="39"/>
  <c r="G193" i="25"/>
  <c r="D194" i="54" s="1"/>
  <c r="E194" i="54" s="1"/>
  <c r="D194" i="12"/>
  <c r="E194" i="39"/>
  <c r="G177" i="25"/>
  <c r="D178" i="54" s="1"/>
  <c r="E178" i="54" s="1"/>
  <c r="D178" i="12"/>
  <c r="E178" i="39"/>
  <c r="G153" i="25"/>
  <c r="D154" i="54" s="1"/>
  <c r="E154" i="54" s="1"/>
  <c r="E154" i="39"/>
  <c r="D154" i="12"/>
  <c r="G38" i="25"/>
  <c r="D39" i="54" s="1"/>
  <c r="E39" i="54" s="1"/>
  <c r="E39" i="39"/>
  <c r="D39" i="12"/>
  <c r="G154" i="25"/>
  <c r="D155" i="54" s="1"/>
  <c r="E155" i="54" s="1"/>
  <c r="D155" i="12"/>
  <c r="E155" i="39"/>
  <c r="G138" i="25"/>
  <c r="D139" i="54" s="1"/>
  <c r="E139" i="54" s="1"/>
  <c r="D139" i="12"/>
  <c r="E139" i="39"/>
  <c r="G122" i="25"/>
  <c r="D123" i="54" s="1"/>
  <c r="E123" i="54" s="1"/>
  <c r="E123" i="39"/>
  <c r="D123" i="12"/>
  <c r="G26" i="25"/>
  <c r="D27" i="54" s="1"/>
  <c r="E27" i="54" s="1"/>
  <c r="E27" i="39"/>
  <c r="D27" i="12"/>
  <c r="G137" i="25"/>
  <c r="D138" i="54" s="1"/>
  <c r="E138" i="54" s="1"/>
  <c r="E138" i="39"/>
  <c r="D138" i="12"/>
  <c r="G121" i="25"/>
  <c r="D122" i="54" s="1"/>
  <c r="E122" i="54" s="1"/>
  <c r="E122" i="39"/>
  <c r="D122" i="12"/>
  <c r="G106" i="25"/>
  <c r="D107" i="54" s="1"/>
  <c r="E107" i="54" s="1"/>
  <c r="D107" i="12"/>
  <c r="E107" i="39"/>
  <c r="G90" i="25"/>
  <c r="D91" i="54" s="1"/>
  <c r="E91" i="54" s="1"/>
  <c r="D91" i="12"/>
  <c r="E91" i="39"/>
  <c r="G30" i="25"/>
  <c r="D31" i="54" s="1"/>
  <c r="E31" i="54" s="1"/>
  <c r="D31" i="12"/>
  <c r="E31" i="39"/>
  <c r="G160" i="25"/>
  <c r="D161" i="54" s="1"/>
  <c r="E161" i="54" s="1"/>
  <c r="D161" i="12"/>
  <c r="E161" i="39"/>
  <c r="G144" i="25"/>
  <c r="D145" i="54" s="1"/>
  <c r="E145" i="54" s="1"/>
  <c r="D145" i="12"/>
  <c r="E145" i="39"/>
  <c r="G128" i="25"/>
  <c r="D129" i="54" s="1"/>
  <c r="E129" i="54" s="1"/>
  <c r="E129" i="39"/>
  <c r="D129" i="12"/>
  <c r="G66" i="25"/>
  <c r="D67" i="54" s="1"/>
  <c r="E67" i="54" s="1"/>
  <c r="D67" i="12"/>
  <c r="E67" i="39"/>
  <c r="G10" i="25"/>
  <c r="D11" i="54" s="1"/>
  <c r="E11" i="54" s="1"/>
  <c r="E11" i="39"/>
  <c r="D11" i="12"/>
  <c r="G109" i="25"/>
  <c r="D110" i="54" s="1"/>
  <c r="E110" i="54" s="1"/>
  <c r="E110" i="39"/>
  <c r="D110" i="12"/>
  <c r="G93" i="25"/>
  <c r="D94" i="54" s="1"/>
  <c r="E94" i="54" s="1"/>
  <c r="D94" i="12"/>
  <c r="E94" i="39"/>
  <c r="G77" i="25"/>
  <c r="D78" i="54" s="1"/>
  <c r="E78" i="54" s="1"/>
  <c r="E78" i="39"/>
  <c r="D78" i="12"/>
  <c r="G61" i="25"/>
  <c r="D62" i="54" s="1"/>
  <c r="E62" i="54" s="1"/>
  <c r="E62" i="39"/>
  <c r="D62" i="12"/>
  <c r="G45" i="25"/>
  <c r="D46" i="54" s="1"/>
  <c r="E46" i="54" s="1"/>
  <c r="E46" i="39"/>
  <c r="D46" i="12"/>
  <c r="G29" i="25"/>
  <c r="D30" i="54" s="1"/>
  <c r="E30" i="54" s="1"/>
  <c r="E30" i="39"/>
  <c r="D30" i="12"/>
  <c r="G13" i="25"/>
  <c r="D14" i="54" s="1"/>
  <c r="E14" i="54" s="1"/>
  <c r="E14" i="39"/>
  <c r="D14" i="12"/>
  <c r="G108" i="25"/>
  <c r="D109" i="54" s="1"/>
  <c r="E109" i="54" s="1"/>
  <c r="E109" i="39"/>
  <c r="D109" i="12"/>
  <c r="G92" i="25"/>
  <c r="D93" i="54" s="1"/>
  <c r="E93" i="54" s="1"/>
  <c r="E93" i="39"/>
  <c r="D93" i="12"/>
  <c r="G76" i="25"/>
  <c r="D77" i="54" s="1"/>
  <c r="E77" i="54" s="1"/>
  <c r="E77" i="39"/>
  <c r="D77" i="12"/>
  <c r="G60" i="25"/>
  <c r="D61" i="54" s="1"/>
  <c r="E61" i="54" s="1"/>
  <c r="E61" i="39"/>
  <c r="D61" i="12"/>
  <c r="G44" i="25"/>
  <c r="D45" i="54" s="1"/>
  <c r="E45" i="54" s="1"/>
  <c r="E45" i="39"/>
  <c r="D45" i="12"/>
  <c r="G28" i="25"/>
  <c r="D29" i="54" s="1"/>
  <c r="E29" i="54" s="1"/>
  <c r="E29" i="39"/>
  <c r="D29" i="12"/>
  <c r="G12" i="25"/>
  <c r="D13" i="54" s="1"/>
  <c r="E13" i="54" s="1"/>
  <c r="E13" i="39"/>
  <c r="D13" i="12"/>
  <c r="G75" i="25"/>
  <c r="D76" i="54" s="1"/>
  <c r="E76" i="54" s="1"/>
  <c r="D76" i="12"/>
  <c r="E76" i="39"/>
  <c r="G59" i="25"/>
  <c r="D60" i="54" s="1"/>
  <c r="E60" i="54" s="1"/>
  <c r="D60" i="12"/>
  <c r="E60" i="39"/>
  <c r="G43" i="25"/>
  <c r="D44" i="54" s="1"/>
  <c r="E44" i="54" s="1"/>
  <c r="D44" i="12"/>
  <c r="E44" i="39"/>
  <c r="G27" i="25"/>
  <c r="D28" i="54" s="1"/>
  <c r="E28" i="54" s="1"/>
  <c r="D28" i="12"/>
  <c r="E28" i="39"/>
  <c r="G11" i="25"/>
  <c r="D12" i="54" s="1"/>
  <c r="E12" i="54" s="1"/>
  <c r="D12" i="12"/>
  <c r="E12" i="39"/>
  <c r="G277" i="25"/>
  <c r="D278" i="54" s="1"/>
  <c r="E278" i="54" s="1"/>
  <c r="D278" i="12"/>
  <c r="E278" i="39"/>
  <c r="G284" i="25"/>
  <c r="D285" i="54" s="1"/>
  <c r="E285" i="54" s="1"/>
  <c r="E285" i="39"/>
  <c r="D285" i="12"/>
  <c r="G240" i="25"/>
  <c r="D241" i="54" s="1"/>
  <c r="E241" i="54" s="1"/>
  <c r="E241" i="39"/>
  <c r="D241" i="12"/>
  <c r="G303" i="25"/>
  <c r="D304" i="54" s="1"/>
  <c r="E304" i="54" s="1"/>
  <c r="E304" i="39"/>
  <c r="D304" i="12"/>
  <c r="G287" i="25"/>
  <c r="D288" i="54" s="1"/>
  <c r="E288" i="54" s="1"/>
  <c r="E288" i="39"/>
  <c r="D288" i="12"/>
  <c r="G271" i="25"/>
  <c r="D272" i="54" s="1"/>
  <c r="E272" i="54" s="1"/>
  <c r="E272" i="39"/>
  <c r="D272" i="12"/>
  <c r="G252" i="25"/>
  <c r="D253" i="54" s="1"/>
  <c r="E253" i="54" s="1"/>
  <c r="E253" i="39"/>
  <c r="D253" i="12"/>
  <c r="G172" i="25"/>
  <c r="D173" i="54" s="1"/>
  <c r="E173" i="54" s="1"/>
  <c r="E173" i="39"/>
  <c r="D173" i="12"/>
  <c r="G290" i="25"/>
  <c r="D291" i="54" s="1"/>
  <c r="E291" i="54" s="1"/>
  <c r="D291" i="12"/>
  <c r="E291" i="39"/>
  <c r="G274" i="25"/>
  <c r="D275" i="54" s="1"/>
  <c r="E275" i="54" s="1"/>
  <c r="D275" i="12"/>
  <c r="E275" i="39"/>
  <c r="G251" i="25"/>
  <c r="D252" i="54" s="1"/>
  <c r="E252" i="54" s="1"/>
  <c r="E252" i="39"/>
  <c r="D252" i="12"/>
  <c r="G243" i="25"/>
  <c r="D244" i="54" s="1"/>
  <c r="E244" i="54" s="1"/>
  <c r="E244" i="39"/>
  <c r="D244" i="12"/>
  <c r="G224" i="25"/>
  <c r="D225" i="54" s="1"/>
  <c r="E225" i="54" s="1"/>
  <c r="E225" i="39"/>
  <c r="D225" i="12"/>
  <c r="G143" i="25"/>
  <c r="D144" i="54" s="1"/>
  <c r="E144" i="54" s="1"/>
  <c r="E144" i="39"/>
  <c r="D144" i="12"/>
  <c r="G223" i="25"/>
  <c r="D224" i="54" s="1"/>
  <c r="E224" i="54" s="1"/>
  <c r="E224" i="39"/>
  <c r="D224" i="12"/>
  <c r="G207" i="25"/>
  <c r="D208" i="54" s="1"/>
  <c r="E208" i="54" s="1"/>
  <c r="D208" i="12"/>
  <c r="E208" i="39"/>
  <c r="G191" i="25"/>
  <c r="D192" i="54" s="1"/>
  <c r="E192" i="54" s="1"/>
  <c r="E192" i="39"/>
  <c r="D192" i="12"/>
  <c r="G175" i="25"/>
  <c r="D176" i="54" s="1"/>
  <c r="E176" i="54" s="1"/>
  <c r="D176" i="12"/>
  <c r="E176" i="39"/>
  <c r="G147" i="25"/>
  <c r="D148" i="54" s="1"/>
  <c r="E148" i="54" s="1"/>
  <c r="E148" i="39"/>
  <c r="D148" i="12"/>
  <c r="G102" i="25"/>
  <c r="D103" i="54" s="1"/>
  <c r="E103" i="54" s="1"/>
  <c r="D103" i="12"/>
  <c r="E103" i="39"/>
  <c r="G22" i="25"/>
  <c r="D23" i="54" s="1"/>
  <c r="E23" i="54" s="1"/>
  <c r="D23" i="12"/>
  <c r="E23" i="39"/>
  <c r="G230" i="25"/>
  <c r="D231" i="54" s="1"/>
  <c r="E231" i="54" s="1"/>
  <c r="D231" i="12"/>
  <c r="E231" i="39"/>
  <c r="G214" i="25"/>
  <c r="D215" i="54" s="1"/>
  <c r="E215" i="54" s="1"/>
  <c r="D215" i="12"/>
  <c r="E215" i="39"/>
  <c r="G198" i="25"/>
  <c r="D199" i="54" s="1"/>
  <c r="E199" i="54" s="1"/>
  <c r="E199" i="39"/>
  <c r="D199" i="12"/>
  <c r="G182" i="25"/>
  <c r="D183" i="54" s="1"/>
  <c r="E183" i="54" s="1"/>
  <c r="E183" i="39"/>
  <c r="D183" i="12"/>
  <c r="G167" i="25"/>
  <c r="D168" i="54" s="1"/>
  <c r="E168" i="54" s="1"/>
  <c r="E168" i="39"/>
  <c r="D168" i="12"/>
  <c r="G119" i="25"/>
  <c r="D120" i="54" s="1"/>
  <c r="E120" i="54" s="1"/>
  <c r="D120" i="12"/>
  <c r="E120" i="39"/>
  <c r="G87" i="25"/>
  <c r="D88" i="54" s="1"/>
  <c r="E88" i="54" s="1"/>
  <c r="D88" i="12"/>
  <c r="E88" i="39"/>
  <c r="G253" i="25"/>
  <c r="D254" i="54" s="1"/>
  <c r="E254" i="54" s="1"/>
  <c r="D254" i="12"/>
  <c r="E254" i="39"/>
  <c r="G237" i="25"/>
  <c r="D238" i="54" s="1"/>
  <c r="E238" i="54" s="1"/>
  <c r="D238" i="12"/>
  <c r="E238" i="39"/>
  <c r="G221" i="25"/>
  <c r="D222" i="54" s="1"/>
  <c r="E222" i="54" s="1"/>
  <c r="D222" i="12"/>
  <c r="E222" i="39"/>
  <c r="G205" i="25"/>
  <c r="D206" i="54" s="1"/>
  <c r="E206" i="54" s="1"/>
  <c r="E206" i="39"/>
  <c r="D206" i="12"/>
  <c r="G189" i="25"/>
  <c r="D190" i="54" s="1"/>
  <c r="E190" i="54" s="1"/>
  <c r="E190" i="39"/>
  <c r="D190" i="12"/>
  <c r="G173" i="25"/>
  <c r="D174" i="54" s="1"/>
  <c r="E174" i="54" s="1"/>
  <c r="E174" i="39"/>
  <c r="D174" i="12"/>
  <c r="G139" i="25"/>
  <c r="D140" i="54" s="1"/>
  <c r="E140" i="54" s="1"/>
  <c r="D140" i="12"/>
  <c r="E140" i="39"/>
  <c r="G166" i="25"/>
  <c r="D167" i="54" s="1"/>
  <c r="E167" i="54" s="1"/>
  <c r="E167" i="39"/>
  <c r="D167" i="12"/>
  <c r="G150" i="25"/>
  <c r="D151" i="54" s="1"/>
  <c r="E151" i="54" s="1"/>
  <c r="E151" i="39"/>
  <c r="D151" i="12"/>
  <c r="G134" i="25"/>
  <c r="D135" i="54" s="1"/>
  <c r="E135" i="54" s="1"/>
  <c r="D135" i="12"/>
  <c r="E135" i="39"/>
  <c r="G74" i="25"/>
  <c r="D75" i="54" s="1"/>
  <c r="E75" i="54" s="1"/>
  <c r="D75" i="12"/>
  <c r="E75" i="39"/>
  <c r="G149" i="25"/>
  <c r="D150" i="54" s="1"/>
  <c r="E150" i="54" s="1"/>
  <c r="E150" i="39"/>
  <c r="D150" i="12"/>
  <c r="G133" i="25"/>
  <c r="D134" i="54" s="1"/>
  <c r="E134" i="54" s="1"/>
  <c r="E134" i="39"/>
  <c r="D134" i="12"/>
  <c r="G115" i="25"/>
  <c r="D116" i="54" s="1"/>
  <c r="E116" i="54" s="1"/>
  <c r="D116" i="12"/>
  <c r="E116" i="39"/>
  <c r="G99" i="25"/>
  <c r="D100" i="54" s="1"/>
  <c r="E100" i="54" s="1"/>
  <c r="D100" i="12"/>
  <c r="E100" i="39"/>
  <c r="G78" i="25"/>
  <c r="D79" i="54" s="1"/>
  <c r="E79" i="54" s="1"/>
  <c r="D79" i="12"/>
  <c r="E79" i="39"/>
  <c r="G14" i="25"/>
  <c r="D15" i="54" s="1"/>
  <c r="E15" i="54" s="1"/>
  <c r="D15" i="12"/>
  <c r="E15" i="39"/>
  <c r="G156" i="25"/>
  <c r="D157" i="54" s="1"/>
  <c r="E157" i="54" s="1"/>
  <c r="E157" i="39"/>
  <c r="D157" i="12"/>
  <c r="G140" i="25"/>
  <c r="D141" i="54" s="1"/>
  <c r="E141" i="54" s="1"/>
  <c r="E141" i="39"/>
  <c r="D141" i="12"/>
  <c r="G124" i="25"/>
  <c r="D125" i="54" s="1"/>
  <c r="E125" i="54" s="1"/>
  <c r="E125" i="39"/>
  <c r="D125" i="12"/>
  <c r="G50" i="25"/>
  <c r="D51" i="54" s="1"/>
  <c r="E51" i="54" s="1"/>
  <c r="E51" i="39"/>
  <c r="D51" i="12"/>
  <c r="G6" i="25"/>
  <c r="D7" i="54" s="1"/>
  <c r="E7" i="54" s="1"/>
  <c r="E7" i="39"/>
  <c r="D7" i="12"/>
  <c r="G105" i="25"/>
  <c r="D106" i="54" s="1"/>
  <c r="E106" i="54" s="1"/>
  <c r="E106" i="39"/>
  <c r="D106" i="12"/>
  <c r="G89" i="25"/>
  <c r="D90" i="54" s="1"/>
  <c r="E90" i="54" s="1"/>
  <c r="E90" i="39"/>
  <c r="D90" i="12"/>
  <c r="G73" i="25"/>
  <c r="D74" i="54" s="1"/>
  <c r="E74" i="54" s="1"/>
  <c r="E74" i="39"/>
  <c r="D74" i="12"/>
  <c r="G57" i="25"/>
  <c r="D58" i="54" s="1"/>
  <c r="E58" i="54" s="1"/>
  <c r="E58" i="39"/>
  <c r="D58" i="12"/>
  <c r="G41" i="25"/>
  <c r="D42" i="54" s="1"/>
  <c r="E42" i="54" s="1"/>
  <c r="E42" i="39"/>
  <c r="D42" i="12"/>
  <c r="G25" i="25"/>
  <c r="D26" i="54" s="1"/>
  <c r="E26" i="54" s="1"/>
  <c r="E26" i="39"/>
  <c r="D26" i="12"/>
  <c r="G9" i="25"/>
  <c r="D10" i="54" s="1"/>
  <c r="E10" i="54" s="1"/>
  <c r="E10" i="39"/>
  <c r="D10" i="12"/>
  <c r="G104" i="25"/>
  <c r="D105" i="54" s="1"/>
  <c r="E105" i="54" s="1"/>
  <c r="E105" i="39"/>
  <c r="D105" i="12"/>
  <c r="G88" i="25"/>
  <c r="D89" i="54" s="1"/>
  <c r="E89" i="54" s="1"/>
  <c r="E89" i="39"/>
  <c r="D89" i="12"/>
  <c r="G72" i="25"/>
  <c r="D73" i="54" s="1"/>
  <c r="E73" i="54" s="1"/>
  <c r="E73" i="39"/>
  <c r="D73" i="12"/>
  <c r="G56" i="25"/>
  <c r="D57" i="54" s="1"/>
  <c r="E57" i="54" s="1"/>
  <c r="E57" i="39"/>
  <c r="D57" i="12"/>
  <c r="G40" i="25"/>
  <c r="D41" i="54" s="1"/>
  <c r="E41" i="54" s="1"/>
  <c r="E41" i="39"/>
  <c r="D41" i="12"/>
  <c r="G24" i="25"/>
  <c r="D25" i="54" s="1"/>
  <c r="E25" i="54" s="1"/>
  <c r="E25" i="39"/>
  <c r="D25" i="12"/>
  <c r="G8" i="25"/>
  <c r="D9" i="54" s="1"/>
  <c r="E9" i="54" s="1"/>
  <c r="E9" i="39"/>
  <c r="D9" i="12"/>
  <c r="G71" i="25"/>
  <c r="D72" i="54" s="1"/>
  <c r="E72" i="54" s="1"/>
  <c r="D72" i="12"/>
  <c r="E72" i="39"/>
  <c r="G55" i="25"/>
  <c r="D56" i="54" s="1"/>
  <c r="E56" i="54" s="1"/>
  <c r="D56" i="12"/>
  <c r="E56" i="39"/>
  <c r="G39" i="25"/>
  <c r="D40" i="54" s="1"/>
  <c r="E40" i="54" s="1"/>
  <c r="D40" i="12"/>
  <c r="E40" i="39"/>
  <c r="G23" i="25"/>
  <c r="D24" i="54" s="1"/>
  <c r="E24" i="54" s="1"/>
  <c r="E24" i="39"/>
  <c r="D24" i="12"/>
  <c r="G7" i="25"/>
  <c r="D8" i="54" s="1"/>
  <c r="E8" i="54" s="1"/>
  <c r="D8" i="12"/>
  <c r="E8" i="39"/>
  <c r="F22" i="48"/>
  <c r="F24" i="48" s="1"/>
  <c r="C5" i="34"/>
  <c r="C8" i="34" s="1"/>
  <c r="I12" i="9"/>
  <c r="H312" i="9"/>
  <c r="E111" i="54" l="1"/>
  <c r="D65" i="48" s="1"/>
  <c r="D64" i="48"/>
  <c r="D6" i="12"/>
  <c r="E6" i="39"/>
  <c r="G5" i="25"/>
  <c r="D6" i="54" s="1"/>
  <c r="E6" i="54" s="1"/>
  <c r="G11" i="34"/>
  <c r="G306" i="12"/>
  <c r="I312" i="9"/>
  <c r="D306" i="12" s="1"/>
  <c r="D63" i="48" l="1"/>
  <c r="G305" i="25"/>
  <c r="C306" i="54"/>
  <c r="D5" i="34" l="1"/>
  <c r="D6" i="34" l="1"/>
  <c r="D8" i="34" s="1"/>
  <c r="J11" i="34" s="1"/>
  <c r="J91" i="34" l="1"/>
  <c r="H85" i="12" s="1"/>
  <c r="I85" i="12" s="1"/>
  <c r="J95" i="34"/>
  <c r="H89" i="12" s="1"/>
  <c r="I89" i="12" s="1"/>
  <c r="J15" i="34"/>
  <c r="H9" i="12" s="1"/>
  <c r="I9" i="12" s="1"/>
  <c r="J19" i="34"/>
  <c r="H13" i="12" s="1"/>
  <c r="I13" i="12" s="1"/>
  <c r="J23" i="34"/>
  <c r="H17" i="12" s="1"/>
  <c r="I17" i="12" s="1"/>
  <c r="J27" i="34"/>
  <c r="H21" i="12" s="1"/>
  <c r="I21" i="12" s="1"/>
  <c r="J31" i="34"/>
  <c r="H25" i="12" s="1"/>
  <c r="I25" i="12" s="1"/>
  <c r="J35" i="34"/>
  <c r="H29" i="12" s="1"/>
  <c r="I29" i="12" s="1"/>
  <c r="J39" i="34"/>
  <c r="H33" i="12" s="1"/>
  <c r="I33" i="12" s="1"/>
  <c r="J43" i="34"/>
  <c r="H37" i="12" s="1"/>
  <c r="I37" i="12" s="1"/>
  <c r="J47" i="34"/>
  <c r="H41" i="12" s="1"/>
  <c r="I41" i="12" s="1"/>
  <c r="J51" i="34"/>
  <c r="H45" i="12" s="1"/>
  <c r="I45" i="12" s="1"/>
  <c r="J55" i="34"/>
  <c r="H49" i="12" s="1"/>
  <c r="I49" i="12" s="1"/>
  <c r="J59" i="34"/>
  <c r="H53" i="12" s="1"/>
  <c r="I53" i="12" s="1"/>
  <c r="J63" i="34"/>
  <c r="H57" i="12" s="1"/>
  <c r="I57" i="12" s="1"/>
  <c r="J67" i="34"/>
  <c r="H61" i="12" s="1"/>
  <c r="I61" i="12" s="1"/>
  <c r="J71" i="34"/>
  <c r="H65" i="12" s="1"/>
  <c r="I65" i="12" s="1"/>
  <c r="J75" i="34"/>
  <c r="H69" i="12" s="1"/>
  <c r="I69" i="12" s="1"/>
  <c r="J79" i="34"/>
  <c r="H73" i="12" s="1"/>
  <c r="I73" i="12" s="1"/>
  <c r="J83" i="34"/>
  <c r="H77" i="12" s="1"/>
  <c r="I77" i="12" s="1"/>
  <c r="J87" i="34"/>
  <c r="H81" i="12" s="1"/>
  <c r="I81" i="12" s="1"/>
  <c r="J99" i="34"/>
  <c r="H93" i="12" s="1"/>
  <c r="I93" i="12" s="1"/>
  <c r="J103" i="34"/>
  <c r="H97" i="12" s="1"/>
  <c r="I97" i="12" s="1"/>
  <c r="J107" i="34"/>
  <c r="H101" i="12" s="1"/>
  <c r="I101" i="12" s="1"/>
  <c r="J111" i="34"/>
  <c r="H105" i="12" s="1"/>
  <c r="I105" i="12" s="1"/>
  <c r="J115" i="34"/>
  <c r="H109" i="12" s="1"/>
  <c r="I109" i="12" s="1"/>
  <c r="J108" i="34"/>
  <c r="H102" i="12" s="1"/>
  <c r="I102" i="12" s="1"/>
  <c r="J116" i="34"/>
  <c r="H110" i="12" s="1"/>
  <c r="I110" i="12" s="1"/>
  <c r="J119" i="34"/>
  <c r="H113" i="12" s="1"/>
  <c r="I113" i="12" s="1"/>
  <c r="J123" i="34"/>
  <c r="H117" i="12" s="1"/>
  <c r="I117" i="12" s="1"/>
  <c r="J127" i="34"/>
  <c r="H121" i="12" s="1"/>
  <c r="I121" i="12" s="1"/>
  <c r="J131" i="34"/>
  <c r="H125" i="12" s="1"/>
  <c r="I125" i="12" s="1"/>
  <c r="J135" i="34"/>
  <c r="H129" i="12" s="1"/>
  <c r="I129" i="12" s="1"/>
  <c r="J139" i="34"/>
  <c r="H133" i="12" s="1"/>
  <c r="I133" i="12" s="1"/>
  <c r="J143" i="34"/>
  <c r="H137" i="12" s="1"/>
  <c r="I137" i="12" s="1"/>
  <c r="J147" i="34"/>
  <c r="H141" i="12" s="1"/>
  <c r="I141" i="12" s="1"/>
  <c r="J151" i="34"/>
  <c r="H145" i="12" s="1"/>
  <c r="I145" i="12" s="1"/>
  <c r="J155" i="34"/>
  <c r="H149" i="12" s="1"/>
  <c r="I149" i="12" s="1"/>
  <c r="J159" i="34"/>
  <c r="H153" i="12" s="1"/>
  <c r="I153" i="12" s="1"/>
  <c r="J164" i="34"/>
  <c r="H158" i="12" s="1"/>
  <c r="I158" i="12" s="1"/>
  <c r="J168" i="34"/>
  <c r="H162" i="12" s="1"/>
  <c r="I162" i="12" s="1"/>
  <c r="J172" i="34"/>
  <c r="H166" i="12" s="1"/>
  <c r="I166" i="12" s="1"/>
  <c r="J176" i="34"/>
  <c r="H170" i="12" s="1"/>
  <c r="I170" i="12" s="1"/>
  <c r="J180" i="34"/>
  <c r="H174" i="12" s="1"/>
  <c r="I174" i="12" s="1"/>
  <c r="J184" i="34"/>
  <c r="H178" i="12" s="1"/>
  <c r="I178" i="12" s="1"/>
  <c r="J188" i="34"/>
  <c r="H182" i="12" s="1"/>
  <c r="I182" i="12" s="1"/>
  <c r="J192" i="34"/>
  <c r="H186" i="12" s="1"/>
  <c r="I186" i="12" s="1"/>
  <c r="J196" i="34"/>
  <c r="H190" i="12" s="1"/>
  <c r="I190" i="12" s="1"/>
  <c r="J200" i="34"/>
  <c r="H194" i="12" s="1"/>
  <c r="I194" i="12" s="1"/>
  <c r="J204" i="34"/>
  <c r="H198" i="12" s="1"/>
  <c r="I198" i="12" s="1"/>
  <c r="J208" i="34"/>
  <c r="H202" i="12" s="1"/>
  <c r="I202" i="12" s="1"/>
  <c r="J212" i="34"/>
  <c r="H206" i="12" s="1"/>
  <c r="I206" i="12" s="1"/>
  <c r="J216" i="34"/>
  <c r="H210" i="12" s="1"/>
  <c r="I210" i="12" s="1"/>
  <c r="J220" i="34"/>
  <c r="H214" i="12" s="1"/>
  <c r="I214" i="12" s="1"/>
  <c r="J224" i="34"/>
  <c r="H218" i="12" s="1"/>
  <c r="I218" i="12" s="1"/>
  <c r="J228" i="34"/>
  <c r="H222" i="12" s="1"/>
  <c r="I222" i="12" s="1"/>
  <c r="J232" i="34"/>
  <c r="H226" i="12" s="1"/>
  <c r="I226" i="12" s="1"/>
  <c r="J236" i="34"/>
  <c r="H230" i="12" s="1"/>
  <c r="I230" i="12" s="1"/>
  <c r="J240" i="34"/>
  <c r="H234" i="12" s="1"/>
  <c r="I234" i="12" s="1"/>
  <c r="J244" i="34"/>
  <c r="H238" i="12" s="1"/>
  <c r="I238" i="12" s="1"/>
  <c r="J248" i="34"/>
  <c r="H242" i="12" s="1"/>
  <c r="I242" i="12" s="1"/>
  <c r="J252" i="34"/>
  <c r="H246" i="12" s="1"/>
  <c r="I246" i="12" s="1"/>
  <c r="J256" i="34"/>
  <c r="H250" i="12" s="1"/>
  <c r="I250" i="12" s="1"/>
  <c r="J260" i="34"/>
  <c r="H254" i="12" s="1"/>
  <c r="I254" i="12" s="1"/>
  <c r="J264" i="34"/>
  <c r="H258" i="12" s="1"/>
  <c r="I258" i="12" s="1"/>
  <c r="J268" i="34"/>
  <c r="H262" i="12" s="1"/>
  <c r="I262" i="12" s="1"/>
  <c r="J272" i="34"/>
  <c r="H266" i="12" s="1"/>
  <c r="I266" i="12" s="1"/>
  <c r="J276" i="34"/>
  <c r="H270" i="12" s="1"/>
  <c r="I270" i="12" s="1"/>
  <c r="J280" i="34"/>
  <c r="H274" i="12" s="1"/>
  <c r="I274" i="12" s="1"/>
  <c r="J284" i="34"/>
  <c r="H278" i="12" s="1"/>
  <c r="I278" i="12" s="1"/>
  <c r="J163" i="34"/>
  <c r="H157" i="12" s="1"/>
  <c r="I157" i="12" s="1"/>
  <c r="J112" i="34"/>
  <c r="H106" i="12" s="1"/>
  <c r="I106" i="12" s="1"/>
  <c r="J292" i="34"/>
  <c r="H286" i="12" s="1"/>
  <c r="I286" i="12" s="1"/>
  <c r="J296" i="34"/>
  <c r="H290" i="12" s="1"/>
  <c r="I290" i="12" s="1"/>
  <c r="J300" i="34"/>
  <c r="H294" i="12" s="1"/>
  <c r="I294" i="12" s="1"/>
  <c r="J304" i="34"/>
  <c r="H298" i="12" s="1"/>
  <c r="I298" i="12" s="1"/>
  <c r="J308" i="34"/>
  <c r="H302" i="12" s="1"/>
  <c r="I302" i="12" s="1"/>
  <c r="J104" i="34"/>
  <c r="H98" i="12" s="1"/>
  <c r="I98" i="12" s="1"/>
  <c r="J288" i="34"/>
  <c r="H282" i="12" s="1"/>
  <c r="I282" i="12" s="1"/>
  <c r="J169" i="34"/>
  <c r="H163" i="12" s="1"/>
  <c r="I163" i="12" s="1"/>
  <c r="J170" i="34"/>
  <c r="H164" i="12" s="1"/>
  <c r="I164" i="12" s="1"/>
  <c r="J177" i="34"/>
  <c r="H171" i="12" s="1"/>
  <c r="I171" i="12" s="1"/>
  <c r="J178" i="34"/>
  <c r="H172" i="12" s="1"/>
  <c r="I172" i="12" s="1"/>
  <c r="J185" i="34"/>
  <c r="H179" i="12" s="1"/>
  <c r="I179" i="12" s="1"/>
  <c r="J186" i="34"/>
  <c r="H180" i="12" s="1"/>
  <c r="I180" i="12" s="1"/>
  <c r="J193" i="34"/>
  <c r="H187" i="12" s="1"/>
  <c r="I187" i="12" s="1"/>
  <c r="J194" i="34"/>
  <c r="H188" i="12" s="1"/>
  <c r="I188" i="12" s="1"/>
  <c r="J201" i="34"/>
  <c r="H195" i="12" s="1"/>
  <c r="I195" i="12" s="1"/>
  <c r="J202" i="34"/>
  <c r="H196" i="12" s="1"/>
  <c r="I196" i="12" s="1"/>
  <c r="J209" i="34"/>
  <c r="H203" i="12" s="1"/>
  <c r="I203" i="12" s="1"/>
  <c r="J210" i="34"/>
  <c r="H204" i="12" s="1"/>
  <c r="I204" i="12" s="1"/>
  <c r="J217" i="34"/>
  <c r="H211" i="12" s="1"/>
  <c r="I211" i="12" s="1"/>
  <c r="J218" i="34"/>
  <c r="H212" i="12" s="1"/>
  <c r="I212" i="12" s="1"/>
  <c r="J225" i="34"/>
  <c r="H219" i="12" s="1"/>
  <c r="I219" i="12" s="1"/>
  <c r="J226" i="34"/>
  <c r="H220" i="12" s="1"/>
  <c r="I220" i="12" s="1"/>
  <c r="J233" i="34"/>
  <c r="H227" i="12" s="1"/>
  <c r="I227" i="12" s="1"/>
  <c r="J234" i="34"/>
  <c r="H228" i="12" s="1"/>
  <c r="I228" i="12" s="1"/>
  <c r="J241" i="34"/>
  <c r="H235" i="12" s="1"/>
  <c r="I235" i="12" s="1"/>
  <c r="J242" i="34"/>
  <c r="H236" i="12" s="1"/>
  <c r="I236" i="12" s="1"/>
  <c r="J249" i="34"/>
  <c r="H243" i="12" s="1"/>
  <c r="I243" i="12" s="1"/>
  <c r="J250" i="34"/>
  <c r="H244" i="12" s="1"/>
  <c r="I244" i="12" s="1"/>
  <c r="J257" i="34"/>
  <c r="H251" i="12" s="1"/>
  <c r="I251" i="12" s="1"/>
  <c r="J258" i="34"/>
  <c r="H252" i="12" s="1"/>
  <c r="I252" i="12" s="1"/>
  <c r="J265" i="34"/>
  <c r="H259" i="12" s="1"/>
  <c r="I259" i="12" s="1"/>
  <c r="J266" i="34"/>
  <c r="H260" i="12" s="1"/>
  <c r="I260" i="12" s="1"/>
  <c r="J273" i="34"/>
  <c r="H267" i="12" s="1"/>
  <c r="I267" i="12" s="1"/>
  <c r="J274" i="34"/>
  <c r="H268" i="12" s="1"/>
  <c r="I268" i="12" s="1"/>
  <c r="J281" i="34"/>
  <c r="H275" i="12" s="1"/>
  <c r="I275" i="12" s="1"/>
  <c r="J282" i="34"/>
  <c r="H276" i="12" s="1"/>
  <c r="I276" i="12" s="1"/>
  <c r="J289" i="34"/>
  <c r="H283" i="12" s="1"/>
  <c r="I283" i="12" s="1"/>
  <c r="J293" i="34"/>
  <c r="H287" i="12" s="1"/>
  <c r="I287" i="12" s="1"/>
  <c r="J297" i="34"/>
  <c r="H291" i="12" s="1"/>
  <c r="I291" i="12" s="1"/>
  <c r="J301" i="34"/>
  <c r="H295" i="12" s="1"/>
  <c r="I295" i="12" s="1"/>
  <c r="J305" i="34"/>
  <c r="H299" i="12" s="1"/>
  <c r="I299" i="12" s="1"/>
  <c r="J309" i="34"/>
  <c r="H303" i="12" s="1"/>
  <c r="I303" i="12" s="1"/>
  <c r="J92" i="34"/>
  <c r="H86" i="12" s="1"/>
  <c r="I86" i="12" s="1"/>
  <c r="J96" i="34"/>
  <c r="H90" i="12" s="1"/>
  <c r="I90" i="12" s="1"/>
  <c r="J97" i="34"/>
  <c r="H91" i="12" s="1"/>
  <c r="I91" i="12" s="1"/>
  <c r="J101" i="34"/>
  <c r="H95" i="12" s="1"/>
  <c r="I95" i="12" s="1"/>
  <c r="J93" i="34"/>
  <c r="H87" i="12" s="1"/>
  <c r="I87" i="12" s="1"/>
  <c r="J165" i="34"/>
  <c r="H159" i="12" s="1"/>
  <c r="I159" i="12" s="1"/>
  <c r="J166" i="34"/>
  <c r="H160" i="12" s="1"/>
  <c r="I160" i="12" s="1"/>
  <c r="J173" i="34"/>
  <c r="H167" i="12" s="1"/>
  <c r="I167" i="12" s="1"/>
  <c r="J174" i="34"/>
  <c r="H168" i="12" s="1"/>
  <c r="I168" i="12" s="1"/>
  <c r="J181" i="34"/>
  <c r="H175" i="12" s="1"/>
  <c r="I175" i="12" s="1"/>
  <c r="J182" i="34"/>
  <c r="H176" i="12" s="1"/>
  <c r="I176" i="12" s="1"/>
  <c r="J189" i="34"/>
  <c r="H183" i="12" s="1"/>
  <c r="I183" i="12" s="1"/>
  <c r="J190" i="34"/>
  <c r="H184" i="12" s="1"/>
  <c r="I184" i="12" s="1"/>
  <c r="J197" i="34"/>
  <c r="H191" i="12" s="1"/>
  <c r="I191" i="12" s="1"/>
  <c r="J198" i="34"/>
  <c r="H192" i="12" s="1"/>
  <c r="I192" i="12" s="1"/>
  <c r="J205" i="34"/>
  <c r="H199" i="12" s="1"/>
  <c r="I199" i="12" s="1"/>
  <c r="J206" i="34"/>
  <c r="H200" i="12" s="1"/>
  <c r="I200" i="12" s="1"/>
  <c r="J213" i="34"/>
  <c r="H207" i="12" s="1"/>
  <c r="I207" i="12" s="1"/>
  <c r="J214" i="34"/>
  <c r="H208" i="12" s="1"/>
  <c r="I208" i="12" s="1"/>
  <c r="J221" i="34"/>
  <c r="H215" i="12" s="1"/>
  <c r="I215" i="12" s="1"/>
  <c r="J222" i="34"/>
  <c r="H216" i="12" s="1"/>
  <c r="I216" i="12" s="1"/>
  <c r="J229" i="34"/>
  <c r="H223" i="12" s="1"/>
  <c r="I223" i="12" s="1"/>
  <c r="J230" i="34"/>
  <c r="H224" i="12" s="1"/>
  <c r="I224" i="12" s="1"/>
  <c r="J237" i="34"/>
  <c r="H231" i="12" s="1"/>
  <c r="I231" i="12" s="1"/>
  <c r="J238" i="34"/>
  <c r="H232" i="12" s="1"/>
  <c r="I232" i="12" s="1"/>
  <c r="J245" i="34"/>
  <c r="H239" i="12" s="1"/>
  <c r="I239" i="12" s="1"/>
  <c r="J246" i="34"/>
  <c r="H240" i="12" s="1"/>
  <c r="I240" i="12" s="1"/>
  <c r="J253" i="34"/>
  <c r="H247" i="12" s="1"/>
  <c r="I247" i="12" s="1"/>
  <c r="J254" i="34"/>
  <c r="H248" i="12" s="1"/>
  <c r="I248" i="12" s="1"/>
  <c r="J261" i="34"/>
  <c r="H255" i="12" s="1"/>
  <c r="I255" i="12" s="1"/>
  <c r="J262" i="34"/>
  <c r="H256" i="12" s="1"/>
  <c r="I256" i="12" s="1"/>
  <c r="J269" i="34"/>
  <c r="H263" i="12" s="1"/>
  <c r="I263" i="12" s="1"/>
  <c r="J270" i="34"/>
  <c r="H264" i="12" s="1"/>
  <c r="I264" i="12" s="1"/>
  <c r="J277" i="34"/>
  <c r="H271" i="12" s="1"/>
  <c r="I271" i="12" s="1"/>
  <c r="J278" i="34"/>
  <c r="H272" i="12" s="1"/>
  <c r="I272" i="12" s="1"/>
  <c r="J285" i="34"/>
  <c r="H279" i="12" s="1"/>
  <c r="I279" i="12" s="1"/>
  <c r="J156" i="34"/>
  <c r="H150" i="12" s="1"/>
  <c r="I150" i="12" s="1"/>
  <c r="J124" i="34"/>
  <c r="H118" i="12" s="1"/>
  <c r="I118" i="12" s="1"/>
  <c r="J243" i="34"/>
  <c r="H237" i="12" s="1"/>
  <c r="I237" i="12" s="1"/>
  <c r="J179" i="34"/>
  <c r="H173" i="12" s="1"/>
  <c r="I173" i="12" s="1"/>
  <c r="J263" i="34"/>
  <c r="H257" i="12" s="1"/>
  <c r="I257" i="12" s="1"/>
  <c r="J231" i="34"/>
  <c r="H225" i="12" s="1"/>
  <c r="I225" i="12" s="1"/>
  <c r="J199" i="34"/>
  <c r="H193" i="12" s="1"/>
  <c r="I193" i="12" s="1"/>
  <c r="J167" i="34"/>
  <c r="H161" i="12" s="1"/>
  <c r="I161" i="12" s="1"/>
  <c r="J307" i="34"/>
  <c r="H301" i="12" s="1"/>
  <c r="I301" i="12" s="1"/>
  <c r="J299" i="34"/>
  <c r="H293" i="12" s="1"/>
  <c r="I293" i="12" s="1"/>
  <c r="J291" i="34"/>
  <c r="H285" i="12" s="1"/>
  <c r="I285" i="12" s="1"/>
  <c r="J219" i="34"/>
  <c r="H213" i="12" s="1"/>
  <c r="I213" i="12" s="1"/>
  <c r="J195" i="34"/>
  <c r="H189" i="12" s="1"/>
  <c r="I189" i="12" s="1"/>
  <c r="J160" i="34"/>
  <c r="H154" i="12" s="1"/>
  <c r="I154" i="12" s="1"/>
  <c r="J128" i="34"/>
  <c r="H122" i="12" s="1"/>
  <c r="I122" i="12" s="1"/>
  <c r="J98" i="34"/>
  <c r="H92" i="12" s="1"/>
  <c r="I92" i="12" s="1"/>
  <c r="J86" i="34"/>
  <c r="H80" i="12" s="1"/>
  <c r="I80" i="12" s="1"/>
  <c r="J78" i="34"/>
  <c r="H72" i="12" s="1"/>
  <c r="I72" i="12" s="1"/>
  <c r="J70" i="34"/>
  <c r="H64" i="12" s="1"/>
  <c r="I64" i="12" s="1"/>
  <c r="J62" i="34"/>
  <c r="H56" i="12" s="1"/>
  <c r="I56" i="12" s="1"/>
  <c r="J54" i="34"/>
  <c r="H48" i="12" s="1"/>
  <c r="I48" i="12" s="1"/>
  <c r="J46" i="34"/>
  <c r="H40" i="12" s="1"/>
  <c r="I40" i="12" s="1"/>
  <c r="J38" i="34"/>
  <c r="H32" i="12" s="1"/>
  <c r="I32" i="12" s="1"/>
  <c r="J30" i="34"/>
  <c r="H24" i="12" s="1"/>
  <c r="I24" i="12" s="1"/>
  <c r="J22" i="34"/>
  <c r="H16" i="12" s="1"/>
  <c r="I16" i="12" s="1"/>
  <c r="J14" i="34"/>
  <c r="H8" i="12" s="1"/>
  <c r="I8" i="12" s="1"/>
  <c r="J162" i="34"/>
  <c r="H156" i="12" s="1"/>
  <c r="I156" i="12" s="1"/>
  <c r="J146" i="34"/>
  <c r="H140" i="12" s="1"/>
  <c r="I140" i="12" s="1"/>
  <c r="J130" i="34"/>
  <c r="H124" i="12" s="1"/>
  <c r="I124" i="12" s="1"/>
  <c r="J161" i="34"/>
  <c r="H155" i="12" s="1"/>
  <c r="I155" i="12" s="1"/>
  <c r="J145" i="34"/>
  <c r="H139" i="12" s="1"/>
  <c r="I139" i="12" s="1"/>
  <c r="J129" i="34"/>
  <c r="H123" i="12" s="1"/>
  <c r="I123" i="12" s="1"/>
  <c r="J89" i="34"/>
  <c r="H83" i="12" s="1"/>
  <c r="I83" i="12" s="1"/>
  <c r="J73" i="34"/>
  <c r="H67" i="12" s="1"/>
  <c r="I67" i="12" s="1"/>
  <c r="J57" i="34"/>
  <c r="H51" i="12" s="1"/>
  <c r="I51" i="12" s="1"/>
  <c r="J41" i="34"/>
  <c r="H35" i="12" s="1"/>
  <c r="I35" i="12" s="1"/>
  <c r="J25" i="34"/>
  <c r="H19" i="12" s="1"/>
  <c r="I19" i="12" s="1"/>
  <c r="J16" i="34"/>
  <c r="H10" i="12" s="1"/>
  <c r="I10" i="12" s="1"/>
  <c r="J149" i="34"/>
  <c r="H143" i="12" s="1"/>
  <c r="I143" i="12" s="1"/>
  <c r="J106" i="34"/>
  <c r="H100" i="12" s="1"/>
  <c r="I100" i="12" s="1"/>
  <c r="J61" i="34"/>
  <c r="H55" i="12" s="1"/>
  <c r="I55" i="12" s="1"/>
  <c r="J13" i="34"/>
  <c r="H7" i="12" s="1"/>
  <c r="I7" i="12" s="1"/>
  <c r="J148" i="34"/>
  <c r="H142" i="12" s="1"/>
  <c r="I142" i="12" s="1"/>
  <c r="J283" i="34"/>
  <c r="H277" i="12" s="1"/>
  <c r="I277" i="12" s="1"/>
  <c r="J259" i="34"/>
  <c r="H253" i="12" s="1"/>
  <c r="I253" i="12" s="1"/>
  <c r="J171" i="34"/>
  <c r="H165" i="12" s="1"/>
  <c r="I165" i="12" s="1"/>
  <c r="J271" i="34"/>
  <c r="H265" i="12" s="1"/>
  <c r="I265" i="12" s="1"/>
  <c r="J239" i="34"/>
  <c r="H233" i="12" s="1"/>
  <c r="I233" i="12" s="1"/>
  <c r="J207" i="34"/>
  <c r="H201" i="12" s="1"/>
  <c r="I201" i="12" s="1"/>
  <c r="J175" i="34"/>
  <c r="H169" i="12" s="1"/>
  <c r="I169" i="12" s="1"/>
  <c r="J306" i="34"/>
  <c r="H300" i="12" s="1"/>
  <c r="I300" i="12" s="1"/>
  <c r="J290" i="34"/>
  <c r="H284" i="12" s="1"/>
  <c r="I284" i="12" s="1"/>
  <c r="J275" i="34"/>
  <c r="H269" i="12" s="1"/>
  <c r="I269" i="12" s="1"/>
  <c r="J235" i="34"/>
  <c r="H229" i="12" s="1"/>
  <c r="I229" i="12" s="1"/>
  <c r="J211" i="34"/>
  <c r="H205" i="12" s="1"/>
  <c r="I205" i="12" s="1"/>
  <c r="J152" i="34"/>
  <c r="H146" i="12" s="1"/>
  <c r="I146" i="12" s="1"/>
  <c r="J120" i="34"/>
  <c r="H114" i="12" s="1"/>
  <c r="I114" i="12" s="1"/>
  <c r="J94" i="34"/>
  <c r="H88" i="12" s="1"/>
  <c r="I88" i="12" s="1"/>
  <c r="J84" i="34"/>
  <c r="H78" i="12" s="1"/>
  <c r="I78" i="12" s="1"/>
  <c r="J76" i="34"/>
  <c r="H70" i="12" s="1"/>
  <c r="I70" i="12" s="1"/>
  <c r="J68" i="34"/>
  <c r="H62" i="12" s="1"/>
  <c r="I62" i="12" s="1"/>
  <c r="J60" i="34"/>
  <c r="H54" i="12" s="1"/>
  <c r="I54" i="12" s="1"/>
  <c r="J52" i="34"/>
  <c r="H46" i="12" s="1"/>
  <c r="I46" i="12" s="1"/>
  <c r="J44" i="34"/>
  <c r="H38" i="12" s="1"/>
  <c r="I38" i="12" s="1"/>
  <c r="J36" i="34"/>
  <c r="H30" i="12" s="1"/>
  <c r="I30" i="12" s="1"/>
  <c r="J28" i="34"/>
  <c r="H22" i="12" s="1"/>
  <c r="I22" i="12" s="1"/>
  <c r="J20" i="34"/>
  <c r="H14" i="12" s="1"/>
  <c r="I14" i="12" s="1"/>
  <c r="J287" i="34"/>
  <c r="H281" i="12" s="1"/>
  <c r="I281" i="12" s="1"/>
  <c r="J158" i="34"/>
  <c r="H152" i="12" s="1"/>
  <c r="I152" i="12" s="1"/>
  <c r="J142" i="34"/>
  <c r="H136" i="12" s="1"/>
  <c r="I136" i="12" s="1"/>
  <c r="J126" i="34"/>
  <c r="H120" i="12" s="1"/>
  <c r="I120" i="12" s="1"/>
  <c r="J157" i="34"/>
  <c r="H151" i="12" s="1"/>
  <c r="I151" i="12" s="1"/>
  <c r="J141" i="34"/>
  <c r="H135" i="12" s="1"/>
  <c r="I135" i="12" s="1"/>
  <c r="J125" i="34"/>
  <c r="H119" i="12" s="1"/>
  <c r="I119" i="12" s="1"/>
  <c r="J109" i="34"/>
  <c r="H103" i="12" s="1"/>
  <c r="I103" i="12" s="1"/>
  <c r="J114" i="34"/>
  <c r="H108" i="12" s="1"/>
  <c r="I108" i="12" s="1"/>
  <c r="J100" i="34"/>
  <c r="H94" i="12" s="1"/>
  <c r="I94" i="12" s="1"/>
  <c r="J85" i="34"/>
  <c r="H79" i="12" s="1"/>
  <c r="I79" i="12" s="1"/>
  <c r="J69" i="34"/>
  <c r="H63" i="12" s="1"/>
  <c r="I63" i="12" s="1"/>
  <c r="J53" i="34"/>
  <c r="H47" i="12" s="1"/>
  <c r="I47" i="12" s="1"/>
  <c r="J37" i="34"/>
  <c r="H31" i="12" s="1"/>
  <c r="I31" i="12" s="1"/>
  <c r="J21" i="34"/>
  <c r="H15" i="12" s="1"/>
  <c r="I15" i="12" s="1"/>
  <c r="J286" i="34"/>
  <c r="H280" i="12" s="1"/>
  <c r="I280" i="12" s="1"/>
  <c r="J223" i="34"/>
  <c r="H217" i="12" s="1"/>
  <c r="I217" i="12" s="1"/>
  <c r="J310" i="34"/>
  <c r="H304" i="12" s="1"/>
  <c r="I304" i="12" s="1"/>
  <c r="J294" i="34"/>
  <c r="H288" i="12" s="1"/>
  <c r="I288" i="12" s="1"/>
  <c r="J136" i="34"/>
  <c r="H130" i="12" s="1"/>
  <c r="I130" i="12" s="1"/>
  <c r="J88" i="34"/>
  <c r="H82" i="12" s="1"/>
  <c r="I82" i="12" s="1"/>
  <c r="J72" i="34"/>
  <c r="H66" i="12" s="1"/>
  <c r="I66" i="12" s="1"/>
  <c r="J56" i="34"/>
  <c r="H50" i="12" s="1"/>
  <c r="I50" i="12" s="1"/>
  <c r="J40" i="34"/>
  <c r="H34" i="12" s="1"/>
  <c r="I34" i="12" s="1"/>
  <c r="J24" i="34"/>
  <c r="H18" i="12" s="1"/>
  <c r="I18" i="12" s="1"/>
  <c r="J150" i="34"/>
  <c r="H144" i="12" s="1"/>
  <c r="I144" i="12" s="1"/>
  <c r="J118" i="34"/>
  <c r="H112" i="12" s="1"/>
  <c r="I112" i="12" s="1"/>
  <c r="J133" i="34"/>
  <c r="H127" i="12" s="1"/>
  <c r="I127" i="12" s="1"/>
  <c r="J77" i="34"/>
  <c r="H71" i="12" s="1"/>
  <c r="I71" i="12" s="1"/>
  <c r="J45" i="34"/>
  <c r="H39" i="12" s="1"/>
  <c r="I39" i="12" s="1"/>
  <c r="J140" i="34"/>
  <c r="H134" i="12" s="1"/>
  <c r="I134" i="12" s="1"/>
  <c r="J298" i="34"/>
  <c r="H292" i="12" s="1"/>
  <c r="I292" i="12" s="1"/>
  <c r="J279" i="34"/>
  <c r="H273" i="12" s="1"/>
  <c r="I273" i="12" s="1"/>
  <c r="J247" i="34"/>
  <c r="H241" i="12" s="1"/>
  <c r="I241" i="12" s="1"/>
  <c r="J215" i="34"/>
  <c r="H209" i="12" s="1"/>
  <c r="I209" i="12" s="1"/>
  <c r="J183" i="34"/>
  <c r="H177" i="12" s="1"/>
  <c r="I177" i="12" s="1"/>
  <c r="J311" i="34"/>
  <c r="H305" i="12" s="1"/>
  <c r="I305" i="12" s="1"/>
  <c r="J303" i="34"/>
  <c r="H297" i="12" s="1"/>
  <c r="I297" i="12" s="1"/>
  <c r="J295" i="34"/>
  <c r="H289" i="12" s="1"/>
  <c r="I289" i="12" s="1"/>
  <c r="J267" i="34"/>
  <c r="H261" i="12" s="1"/>
  <c r="I261" i="12" s="1"/>
  <c r="J251" i="34"/>
  <c r="H245" i="12" s="1"/>
  <c r="I245" i="12" s="1"/>
  <c r="J227" i="34"/>
  <c r="H221" i="12" s="1"/>
  <c r="I221" i="12" s="1"/>
  <c r="J187" i="34"/>
  <c r="H181" i="12" s="1"/>
  <c r="I181" i="12" s="1"/>
  <c r="J144" i="34"/>
  <c r="H138" i="12" s="1"/>
  <c r="I138" i="12" s="1"/>
  <c r="J105" i="34"/>
  <c r="H99" i="12" s="1"/>
  <c r="I99" i="12" s="1"/>
  <c r="J90" i="34"/>
  <c r="H84" i="12" s="1"/>
  <c r="I84" i="12" s="1"/>
  <c r="J82" i="34"/>
  <c r="H76" i="12" s="1"/>
  <c r="I76" i="12" s="1"/>
  <c r="J74" i="34"/>
  <c r="H68" i="12" s="1"/>
  <c r="I68" i="12" s="1"/>
  <c r="J66" i="34"/>
  <c r="H60" i="12" s="1"/>
  <c r="I60" i="12" s="1"/>
  <c r="J58" i="34"/>
  <c r="H52" i="12" s="1"/>
  <c r="I52" i="12" s="1"/>
  <c r="J50" i="34"/>
  <c r="H44" i="12" s="1"/>
  <c r="I44" i="12" s="1"/>
  <c r="J42" i="34"/>
  <c r="H36" i="12" s="1"/>
  <c r="I36" i="12" s="1"/>
  <c r="J34" i="34"/>
  <c r="H28" i="12" s="1"/>
  <c r="I28" i="12" s="1"/>
  <c r="J26" i="34"/>
  <c r="H20" i="12" s="1"/>
  <c r="I20" i="12" s="1"/>
  <c r="J18" i="34"/>
  <c r="H12" i="12" s="1"/>
  <c r="I12" i="12" s="1"/>
  <c r="J154" i="34"/>
  <c r="H148" i="12" s="1"/>
  <c r="I148" i="12" s="1"/>
  <c r="J138" i="34"/>
  <c r="H132" i="12" s="1"/>
  <c r="I132" i="12" s="1"/>
  <c r="J122" i="34"/>
  <c r="H116" i="12" s="1"/>
  <c r="I116" i="12" s="1"/>
  <c r="J153" i="34"/>
  <c r="H147" i="12" s="1"/>
  <c r="I147" i="12" s="1"/>
  <c r="J137" i="34"/>
  <c r="H131" i="12" s="1"/>
  <c r="I131" i="12" s="1"/>
  <c r="J121" i="34"/>
  <c r="H115" i="12" s="1"/>
  <c r="I115" i="12" s="1"/>
  <c r="J110" i="34"/>
  <c r="H104" i="12" s="1"/>
  <c r="I104" i="12" s="1"/>
  <c r="J81" i="34"/>
  <c r="H75" i="12" s="1"/>
  <c r="I75" i="12" s="1"/>
  <c r="J65" i="34"/>
  <c r="H59" i="12" s="1"/>
  <c r="I59" i="12" s="1"/>
  <c r="J49" i="34"/>
  <c r="H43" i="12" s="1"/>
  <c r="I43" i="12" s="1"/>
  <c r="J33" i="34"/>
  <c r="H27" i="12" s="1"/>
  <c r="I27" i="12" s="1"/>
  <c r="J17" i="34"/>
  <c r="H11" i="12" s="1"/>
  <c r="I11" i="12" s="1"/>
  <c r="J132" i="34"/>
  <c r="H126" i="12" s="1"/>
  <c r="I126" i="12" s="1"/>
  <c r="J255" i="34"/>
  <c r="H249" i="12" s="1"/>
  <c r="I249" i="12" s="1"/>
  <c r="J191" i="34"/>
  <c r="H185" i="12" s="1"/>
  <c r="I185" i="12" s="1"/>
  <c r="J302" i="34"/>
  <c r="H296" i="12" s="1"/>
  <c r="I296" i="12" s="1"/>
  <c r="J203" i="34"/>
  <c r="H197" i="12" s="1"/>
  <c r="I197" i="12" s="1"/>
  <c r="J102" i="34"/>
  <c r="H96" i="12" s="1"/>
  <c r="I96" i="12" s="1"/>
  <c r="J80" i="34"/>
  <c r="H74" i="12" s="1"/>
  <c r="I74" i="12" s="1"/>
  <c r="J64" i="34"/>
  <c r="H58" i="12" s="1"/>
  <c r="I58" i="12" s="1"/>
  <c r="J48" i="34"/>
  <c r="H42" i="12" s="1"/>
  <c r="I42" i="12" s="1"/>
  <c r="J32" i="34"/>
  <c r="H26" i="12" s="1"/>
  <c r="I26" i="12" s="1"/>
  <c r="J113" i="34"/>
  <c r="H107" i="12" s="1"/>
  <c r="I107" i="12" s="1"/>
  <c r="J134" i="34"/>
  <c r="H128" i="12" s="1"/>
  <c r="I128" i="12" s="1"/>
  <c r="J117" i="34"/>
  <c r="J29" i="34"/>
  <c r="H23" i="12" s="1"/>
  <c r="I23" i="12" s="1"/>
  <c r="J312" i="34"/>
  <c r="H306" i="12" s="1"/>
  <c r="I306" i="12" s="1"/>
  <c r="J12" i="34"/>
  <c r="H111" i="12" l="1"/>
  <c r="I111" i="12" s="1"/>
  <c r="F37" i="48"/>
  <c r="J152" i="12"/>
  <c r="K152" i="12" s="1"/>
  <c r="D152" i="39"/>
  <c r="G152" i="39" s="1"/>
  <c r="H152" i="39" s="1"/>
  <c r="I152" i="39" s="1"/>
  <c r="J30" i="12"/>
  <c r="K30" i="12" s="1"/>
  <c r="D30" i="39"/>
  <c r="G30" i="39" s="1"/>
  <c r="H30" i="39" s="1"/>
  <c r="I30" i="39" s="1"/>
  <c r="J62" i="12"/>
  <c r="K62" i="12" s="1"/>
  <c r="D62" i="39"/>
  <c r="G62" i="39" s="1"/>
  <c r="H62" i="39" s="1"/>
  <c r="I62" i="39" s="1"/>
  <c r="J114" i="12"/>
  <c r="K114" i="12" s="1"/>
  <c r="D114" i="39"/>
  <c r="G114" i="39" s="1"/>
  <c r="H114" i="39" s="1"/>
  <c r="I114" i="39" s="1"/>
  <c r="J269" i="12"/>
  <c r="K269" i="12" s="1"/>
  <c r="D269" i="39"/>
  <c r="G269" i="39" s="1"/>
  <c r="H269" i="39" s="1"/>
  <c r="I269" i="39" s="1"/>
  <c r="J201" i="12"/>
  <c r="K201" i="12" s="1"/>
  <c r="D201" i="39"/>
  <c r="G201" i="39" s="1"/>
  <c r="H201" i="39" s="1"/>
  <c r="I201" i="39" s="1"/>
  <c r="J253" i="12"/>
  <c r="K253" i="12" s="1"/>
  <c r="D253" i="39"/>
  <c r="G253" i="39" s="1"/>
  <c r="H253" i="39" s="1"/>
  <c r="I253" i="39" s="1"/>
  <c r="J55" i="12"/>
  <c r="K55" i="12" s="1"/>
  <c r="D55" i="39"/>
  <c r="G55" i="39" s="1"/>
  <c r="H55" i="39" s="1"/>
  <c r="I55" i="39" s="1"/>
  <c r="G55" i="13" s="1"/>
  <c r="H55" i="13" s="1"/>
  <c r="I55" i="13" s="1"/>
  <c r="J55" i="13" s="1"/>
  <c r="J19" i="12"/>
  <c r="K19" i="12" s="1"/>
  <c r="D19" i="39"/>
  <c r="G19" i="39" s="1"/>
  <c r="H19" i="39" s="1"/>
  <c r="I19" i="39" s="1"/>
  <c r="J83" i="12"/>
  <c r="K83" i="12" s="1"/>
  <c r="D83" i="39"/>
  <c r="G83" i="39" s="1"/>
  <c r="H83" i="39" s="1"/>
  <c r="I83" i="39" s="1"/>
  <c r="G83" i="13" s="1"/>
  <c r="H83" i="13" s="1"/>
  <c r="I83" i="13" s="1"/>
  <c r="J83" i="13" s="1"/>
  <c r="J124" i="12"/>
  <c r="K124" i="12" s="1"/>
  <c r="D124" i="39"/>
  <c r="G124" i="39" s="1"/>
  <c r="H124" i="39" s="1"/>
  <c r="I124" i="39" s="1"/>
  <c r="J16" i="12"/>
  <c r="K16" i="12" s="1"/>
  <c r="D16" i="39"/>
  <c r="G16" i="39" s="1"/>
  <c r="H16" i="39" s="1"/>
  <c r="I16" i="39" s="1"/>
  <c r="G16" i="13" s="1"/>
  <c r="H16" i="13" s="1"/>
  <c r="I16" i="13" s="1"/>
  <c r="J16" i="13" s="1"/>
  <c r="J48" i="12"/>
  <c r="K48" i="12" s="1"/>
  <c r="D48" i="39"/>
  <c r="G48" i="39" s="1"/>
  <c r="H48" i="39" s="1"/>
  <c r="I48" i="39" s="1"/>
  <c r="J80" i="12"/>
  <c r="K80" i="12" s="1"/>
  <c r="D80" i="39"/>
  <c r="G80" i="39" s="1"/>
  <c r="H80" i="39" s="1"/>
  <c r="I80" i="39" s="1"/>
  <c r="J189" i="12"/>
  <c r="K189" i="12" s="1"/>
  <c r="D189" i="39"/>
  <c r="G189" i="39" s="1"/>
  <c r="H189" i="39" s="1"/>
  <c r="I189" i="39" s="1"/>
  <c r="J301" i="12"/>
  <c r="K301" i="12" s="1"/>
  <c r="D301" i="39"/>
  <c r="G301" i="39" s="1"/>
  <c r="H301" i="39" s="1"/>
  <c r="I301" i="39" s="1"/>
  <c r="J257" i="12"/>
  <c r="K257" i="12" s="1"/>
  <c r="D257" i="39"/>
  <c r="G257" i="39" s="1"/>
  <c r="H257" i="39" s="1"/>
  <c r="I257" i="39" s="1"/>
  <c r="J150" i="12"/>
  <c r="K150" i="12" s="1"/>
  <c r="D150" i="39"/>
  <c r="G150" i="39" s="1"/>
  <c r="H150" i="39" s="1"/>
  <c r="I150" i="39" s="1"/>
  <c r="J264" i="12"/>
  <c r="K264" i="12" s="1"/>
  <c r="D264" i="39"/>
  <c r="G264" i="39" s="1"/>
  <c r="H264" i="39" s="1"/>
  <c r="I264" i="39" s="1"/>
  <c r="J248" i="12"/>
  <c r="K248" i="12" s="1"/>
  <c r="D248" i="39"/>
  <c r="G248" i="39" s="1"/>
  <c r="H248" i="39" s="1"/>
  <c r="I248" i="39" s="1"/>
  <c r="J232" i="12"/>
  <c r="K232" i="12" s="1"/>
  <c r="D232" i="39"/>
  <c r="G232" i="39" s="1"/>
  <c r="H232" i="39" s="1"/>
  <c r="I232" i="39" s="1"/>
  <c r="J216" i="12"/>
  <c r="K216" i="12" s="1"/>
  <c r="D216" i="39"/>
  <c r="G216" i="39" s="1"/>
  <c r="H216" i="39" s="1"/>
  <c r="I216" i="39" s="1"/>
  <c r="J200" i="12"/>
  <c r="K200" i="12" s="1"/>
  <c r="D200" i="39"/>
  <c r="G200" i="39" s="1"/>
  <c r="H200" i="39" s="1"/>
  <c r="I200" i="39" s="1"/>
  <c r="D184" i="39"/>
  <c r="G184" i="39" s="1"/>
  <c r="H184" i="39" s="1"/>
  <c r="I184" i="39" s="1"/>
  <c r="J184" i="12"/>
  <c r="K184" i="12" s="1"/>
  <c r="J168" i="12"/>
  <c r="K168" i="12" s="1"/>
  <c r="D168" i="39"/>
  <c r="G168" i="39" s="1"/>
  <c r="H168" i="39" s="1"/>
  <c r="I168" i="39" s="1"/>
  <c r="J87" i="12"/>
  <c r="K87" i="12" s="1"/>
  <c r="D87" i="39"/>
  <c r="G87" i="39" s="1"/>
  <c r="H87" i="39" s="1"/>
  <c r="I87" i="39" s="1"/>
  <c r="J86" i="12"/>
  <c r="K86" i="12" s="1"/>
  <c r="D86" i="39"/>
  <c r="G86" i="39" s="1"/>
  <c r="H86" i="39" s="1"/>
  <c r="I86" i="39" s="1"/>
  <c r="J291" i="12"/>
  <c r="K291" i="12" s="1"/>
  <c r="D291" i="39"/>
  <c r="G291" i="39" s="1"/>
  <c r="H291" i="39" s="1"/>
  <c r="I291" i="39" s="1"/>
  <c r="J275" i="12"/>
  <c r="K275" i="12" s="1"/>
  <c r="D275" i="39"/>
  <c r="G275" i="39" s="1"/>
  <c r="H275" i="39" s="1"/>
  <c r="I275" i="39" s="1"/>
  <c r="J259" i="12"/>
  <c r="K259" i="12" s="1"/>
  <c r="D259" i="39"/>
  <c r="G259" i="39" s="1"/>
  <c r="H259" i="39" s="1"/>
  <c r="I259" i="39" s="1"/>
  <c r="J243" i="12"/>
  <c r="K243" i="12" s="1"/>
  <c r="D243" i="39"/>
  <c r="G243" i="39" s="1"/>
  <c r="H243" i="39" s="1"/>
  <c r="I243" i="39" s="1"/>
  <c r="J227" i="12"/>
  <c r="K227" i="12" s="1"/>
  <c r="D227" i="39"/>
  <c r="G227" i="39" s="1"/>
  <c r="H227" i="39" s="1"/>
  <c r="I227" i="39" s="1"/>
  <c r="J211" i="12"/>
  <c r="K211" i="12" s="1"/>
  <c r="D211" i="39"/>
  <c r="G211" i="39" s="1"/>
  <c r="H211" i="39" s="1"/>
  <c r="I211" i="39" s="1"/>
  <c r="J195" i="12"/>
  <c r="K195" i="12" s="1"/>
  <c r="D195" i="39"/>
  <c r="G195" i="39" s="1"/>
  <c r="H195" i="39" s="1"/>
  <c r="I195" i="39" s="1"/>
  <c r="J179" i="12"/>
  <c r="K179" i="12" s="1"/>
  <c r="D179" i="39"/>
  <c r="G179" i="39" s="1"/>
  <c r="H179" i="39" s="1"/>
  <c r="I179" i="39" s="1"/>
  <c r="J163" i="12"/>
  <c r="K163" i="12" s="1"/>
  <c r="D163" i="39"/>
  <c r="G163" i="39" s="1"/>
  <c r="H163" i="39" s="1"/>
  <c r="I163" i="39" s="1"/>
  <c r="J298" i="12"/>
  <c r="K298" i="12" s="1"/>
  <c r="D298" i="39"/>
  <c r="G298" i="39" s="1"/>
  <c r="H298" i="39" s="1"/>
  <c r="I298" i="39" s="1"/>
  <c r="J106" i="12"/>
  <c r="K106" i="12" s="1"/>
  <c r="D106" i="39"/>
  <c r="G106" i="39" s="1"/>
  <c r="H106" i="39" s="1"/>
  <c r="I106" i="39" s="1"/>
  <c r="J270" i="12"/>
  <c r="K270" i="12" s="1"/>
  <c r="D270" i="39"/>
  <c r="G270" i="39" s="1"/>
  <c r="H270" i="39" s="1"/>
  <c r="I270" i="39" s="1"/>
  <c r="J254" i="12"/>
  <c r="K254" i="12" s="1"/>
  <c r="D254" i="39"/>
  <c r="G254" i="39" s="1"/>
  <c r="H254" i="39" s="1"/>
  <c r="I254" i="39" s="1"/>
  <c r="J238" i="12"/>
  <c r="K238" i="12" s="1"/>
  <c r="D238" i="39"/>
  <c r="G238" i="39" s="1"/>
  <c r="H238" i="39" s="1"/>
  <c r="I238" i="39" s="1"/>
  <c r="J222" i="12"/>
  <c r="K222" i="12" s="1"/>
  <c r="D222" i="39"/>
  <c r="G222" i="39" s="1"/>
  <c r="H222" i="39" s="1"/>
  <c r="I222" i="39" s="1"/>
  <c r="J206" i="12"/>
  <c r="K206" i="12" s="1"/>
  <c r="D206" i="39"/>
  <c r="G206" i="39" s="1"/>
  <c r="H206" i="39" s="1"/>
  <c r="I206" i="39" s="1"/>
  <c r="J190" i="12"/>
  <c r="K190" i="12" s="1"/>
  <c r="D190" i="39"/>
  <c r="G190" i="39" s="1"/>
  <c r="H190" i="39" s="1"/>
  <c r="I190" i="39" s="1"/>
  <c r="J174" i="12"/>
  <c r="K174" i="12" s="1"/>
  <c r="D174" i="39"/>
  <c r="G174" i="39" s="1"/>
  <c r="H174" i="39" s="1"/>
  <c r="I174" i="39" s="1"/>
  <c r="J158" i="12"/>
  <c r="K158" i="12" s="1"/>
  <c r="D158" i="39"/>
  <c r="G158" i="39" s="1"/>
  <c r="H158" i="39" s="1"/>
  <c r="I158" i="39" s="1"/>
  <c r="J141" i="12"/>
  <c r="K141" i="12" s="1"/>
  <c r="D141" i="39"/>
  <c r="G141" i="39" s="1"/>
  <c r="H141" i="39" s="1"/>
  <c r="I141" i="39" s="1"/>
  <c r="J125" i="12"/>
  <c r="K125" i="12" s="1"/>
  <c r="D125" i="39"/>
  <c r="G125" i="39" s="1"/>
  <c r="H125" i="39" s="1"/>
  <c r="I125" i="39" s="1"/>
  <c r="J110" i="12"/>
  <c r="K110" i="12" s="1"/>
  <c r="D110" i="39"/>
  <c r="G110" i="39" s="1"/>
  <c r="H110" i="39" s="1"/>
  <c r="I110" i="39" s="1"/>
  <c r="J101" i="12"/>
  <c r="K101" i="12" s="1"/>
  <c r="D101" i="39"/>
  <c r="G101" i="39" s="1"/>
  <c r="H101" i="39" s="1"/>
  <c r="I101" i="39" s="1"/>
  <c r="J77" i="12"/>
  <c r="K77" i="12" s="1"/>
  <c r="D77" i="39"/>
  <c r="G77" i="39" s="1"/>
  <c r="H77" i="39" s="1"/>
  <c r="I77" i="39" s="1"/>
  <c r="J61" i="12"/>
  <c r="K61" i="12" s="1"/>
  <c r="D61" i="39"/>
  <c r="G61" i="39" s="1"/>
  <c r="H61" i="39" s="1"/>
  <c r="I61" i="39" s="1"/>
  <c r="J45" i="12"/>
  <c r="K45" i="12" s="1"/>
  <c r="D45" i="39"/>
  <c r="G45" i="39" s="1"/>
  <c r="H45" i="39" s="1"/>
  <c r="I45" i="39" s="1"/>
  <c r="J29" i="12"/>
  <c r="K29" i="12" s="1"/>
  <c r="D29" i="39"/>
  <c r="G29" i="39" s="1"/>
  <c r="H29" i="39" s="1"/>
  <c r="I29" i="39" s="1"/>
  <c r="J13" i="12"/>
  <c r="K13" i="12" s="1"/>
  <c r="D13" i="39"/>
  <c r="G13" i="39" s="1"/>
  <c r="H13" i="39" s="1"/>
  <c r="I13" i="39" s="1"/>
  <c r="J74" i="12"/>
  <c r="K74" i="12" s="1"/>
  <c r="D74" i="39"/>
  <c r="G74" i="39" s="1"/>
  <c r="H74" i="39" s="1"/>
  <c r="I74" i="39" s="1"/>
  <c r="J104" i="12"/>
  <c r="K104" i="12" s="1"/>
  <c r="D104" i="39"/>
  <c r="G104" i="39" s="1"/>
  <c r="H104" i="39" s="1"/>
  <c r="I104" i="39" s="1"/>
  <c r="J52" i="12"/>
  <c r="K52" i="12" s="1"/>
  <c r="D52" i="39"/>
  <c r="G52" i="39" s="1"/>
  <c r="H52" i="39" s="1"/>
  <c r="I52" i="39" s="1"/>
  <c r="J221" i="12"/>
  <c r="K221" i="12" s="1"/>
  <c r="D221" i="39"/>
  <c r="G221" i="39" s="1"/>
  <c r="H221" i="39" s="1"/>
  <c r="I221" i="39" s="1"/>
  <c r="J241" i="12"/>
  <c r="K241" i="12" s="1"/>
  <c r="D241" i="39"/>
  <c r="G241" i="39" s="1"/>
  <c r="H241" i="39" s="1"/>
  <c r="I241" i="39" s="1"/>
  <c r="J144" i="12"/>
  <c r="K144" i="12" s="1"/>
  <c r="D144" i="39"/>
  <c r="G144" i="39" s="1"/>
  <c r="H144" i="39" s="1"/>
  <c r="I144" i="39" s="1"/>
  <c r="J31" i="12"/>
  <c r="K31" i="12" s="1"/>
  <c r="D31" i="39"/>
  <c r="G31" i="39" s="1"/>
  <c r="H31" i="39" s="1"/>
  <c r="I31" i="39" s="1"/>
  <c r="J135" i="12"/>
  <c r="K135" i="12" s="1"/>
  <c r="D135" i="39"/>
  <c r="G135" i="39" s="1"/>
  <c r="H135" i="39" s="1"/>
  <c r="I135" i="39" s="1"/>
  <c r="J23" i="12"/>
  <c r="K23" i="12" s="1"/>
  <c r="D23" i="39"/>
  <c r="G23" i="39" s="1"/>
  <c r="H23" i="39" s="1"/>
  <c r="I23" i="39" s="1"/>
  <c r="J26" i="12"/>
  <c r="K26" i="12" s="1"/>
  <c r="D26" i="39"/>
  <c r="G26" i="39" s="1"/>
  <c r="H26" i="39" s="1"/>
  <c r="I26" i="39" s="1"/>
  <c r="J96" i="12"/>
  <c r="K96" i="12" s="1"/>
  <c r="D96" i="39"/>
  <c r="G96" i="39" s="1"/>
  <c r="H96" i="39" s="1"/>
  <c r="I96" i="39" s="1"/>
  <c r="J249" i="12"/>
  <c r="K249" i="12" s="1"/>
  <c r="D249" i="39"/>
  <c r="G249" i="39" s="1"/>
  <c r="H249" i="39" s="1"/>
  <c r="I249" i="39" s="1"/>
  <c r="J43" i="12"/>
  <c r="K43" i="12" s="1"/>
  <c r="D43" i="39"/>
  <c r="G43" i="39" s="1"/>
  <c r="H43" i="39" s="1"/>
  <c r="I43" i="39" s="1"/>
  <c r="J115" i="12"/>
  <c r="K115" i="12" s="1"/>
  <c r="D115" i="39"/>
  <c r="G115" i="39" s="1"/>
  <c r="H115" i="39" s="1"/>
  <c r="I115" i="39" s="1"/>
  <c r="J132" i="12"/>
  <c r="K132" i="12" s="1"/>
  <c r="D132" i="39"/>
  <c r="G132" i="39" s="1"/>
  <c r="H132" i="39" s="1"/>
  <c r="I132" i="39" s="1"/>
  <c r="J28" i="12"/>
  <c r="K28" i="12" s="1"/>
  <c r="D28" i="39"/>
  <c r="G28" i="39" s="1"/>
  <c r="H28" i="39" s="1"/>
  <c r="I28" i="39" s="1"/>
  <c r="J60" i="12"/>
  <c r="K60" i="12" s="1"/>
  <c r="D60" i="39"/>
  <c r="G60" i="39" s="1"/>
  <c r="H60" i="39" s="1"/>
  <c r="I60" i="39" s="1"/>
  <c r="J99" i="12"/>
  <c r="K99" i="12" s="1"/>
  <c r="D99" i="39"/>
  <c r="G99" i="39" s="1"/>
  <c r="H99" i="39" s="1"/>
  <c r="I99" i="39" s="1"/>
  <c r="J245" i="12"/>
  <c r="K245" i="12" s="1"/>
  <c r="D245" i="39"/>
  <c r="G245" i="39" s="1"/>
  <c r="H245" i="39" s="1"/>
  <c r="I245" i="39" s="1"/>
  <c r="J305" i="12"/>
  <c r="K305" i="12" s="1"/>
  <c r="D305" i="39"/>
  <c r="G305" i="39" s="1"/>
  <c r="H305" i="39" s="1"/>
  <c r="I305" i="39" s="1"/>
  <c r="J273" i="12"/>
  <c r="K273" i="12" s="1"/>
  <c r="D273" i="39"/>
  <c r="G273" i="39" s="1"/>
  <c r="H273" i="39" s="1"/>
  <c r="I273" i="39" s="1"/>
  <c r="J71" i="12"/>
  <c r="K71" i="12" s="1"/>
  <c r="D71" i="39"/>
  <c r="G71" i="39" s="1"/>
  <c r="H71" i="39" s="1"/>
  <c r="I71" i="39" s="1"/>
  <c r="J18" i="12"/>
  <c r="K18" i="12" s="1"/>
  <c r="D18" i="39"/>
  <c r="G18" i="39" s="1"/>
  <c r="H18" i="39" s="1"/>
  <c r="I18" i="39" s="1"/>
  <c r="J82" i="12"/>
  <c r="K82" i="12" s="1"/>
  <c r="D82" i="39"/>
  <c r="G82" i="39" s="1"/>
  <c r="H82" i="39" s="1"/>
  <c r="I82" i="39" s="1"/>
  <c r="J217" i="12"/>
  <c r="K217" i="12" s="1"/>
  <c r="D217" i="39"/>
  <c r="G217" i="39" s="1"/>
  <c r="H217" i="39" s="1"/>
  <c r="I217" i="39" s="1"/>
  <c r="J47" i="12"/>
  <c r="K47" i="12" s="1"/>
  <c r="D47" i="39"/>
  <c r="G47" i="39" s="1"/>
  <c r="H47" i="39" s="1"/>
  <c r="I47" i="39" s="1"/>
  <c r="J108" i="12"/>
  <c r="K108" i="12" s="1"/>
  <c r="D108" i="39"/>
  <c r="G108" i="39" s="1"/>
  <c r="H108" i="39" s="1"/>
  <c r="I108" i="39" s="1"/>
  <c r="J151" i="12"/>
  <c r="K151" i="12" s="1"/>
  <c r="D151" i="39"/>
  <c r="G151" i="39" s="1"/>
  <c r="H151" i="39" s="1"/>
  <c r="I151" i="39" s="1"/>
  <c r="J281" i="12"/>
  <c r="K281" i="12" s="1"/>
  <c r="D281" i="39"/>
  <c r="G281" i="39" s="1"/>
  <c r="H281" i="39" s="1"/>
  <c r="I281" i="39" s="1"/>
  <c r="J38" i="12"/>
  <c r="K38" i="12" s="1"/>
  <c r="D38" i="39"/>
  <c r="G38" i="39" s="1"/>
  <c r="H38" i="39" s="1"/>
  <c r="I38" i="39" s="1"/>
  <c r="J70" i="12"/>
  <c r="K70" i="12" s="1"/>
  <c r="D70" i="39"/>
  <c r="G70" i="39" s="1"/>
  <c r="H70" i="39" s="1"/>
  <c r="I70" i="39" s="1"/>
  <c r="J146" i="12"/>
  <c r="K146" i="12" s="1"/>
  <c r="D146" i="39"/>
  <c r="G146" i="39" s="1"/>
  <c r="H146" i="39" s="1"/>
  <c r="I146" i="39" s="1"/>
  <c r="J284" i="12"/>
  <c r="K284" i="12" s="1"/>
  <c r="D284" i="39"/>
  <c r="G284" i="39" s="1"/>
  <c r="H284" i="39" s="1"/>
  <c r="I284" i="39" s="1"/>
  <c r="J233" i="12"/>
  <c r="K233" i="12" s="1"/>
  <c r="D233" i="39"/>
  <c r="G233" i="39" s="1"/>
  <c r="H233" i="39" s="1"/>
  <c r="I233" i="39" s="1"/>
  <c r="J277" i="12"/>
  <c r="K277" i="12" s="1"/>
  <c r="D277" i="39"/>
  <c r="G277" i="39" s="1"/>
  <c r="H277" i="39" s="1"/>
  <c r="I277" i="39" s="1"/>
  <c r="J100" i="12"/>
  <c r="K100" i="12" s="1"/>
  <c r="D100" i="39"/>
  <c r="G100" i="39" s="1"/>
  <c r="H100" i="39" s="1"/>
  <c r="I100" i="39" s="1"/>
  <c r="J35" i="12"/>
  <c r="K35" i="12" s="1"/>
  <c r="D35" i="39"/>
  <c r="G35" i="39" s="1"/>
  <c r="H35" i="39" s="1"/>
  <c r="I35" i="39" s="1"/>
  <c r="J123" i="12"/>
  <c r="K123" i="12" s="1"/>
  <c r="D123" i="39"/>
  <c r="G123" i="39" s="1"/>
  <c r="H123" i="39" s="1"/>
  <c r="I123" i="39" s="1"/>
  <c r="J140" i="12"/>
  <c r="K140" i="12" s="1"/>
  <c r="D140" i="39"/>
  <c r="G140" i="39" s="1"/>
  <c r="H140" i="39" s="1"/>
  <c r="I140" i="39" s="1"/>
  <c r="J24" i="12"/>
  <c r="K24" i="12" s="1"/>
  <c r="D24" i="39"/>
  <c r="G24" i="39" s="1"/>
  <c r="H24" i="39" s="1"/>
  <c r="I24" i="39" s="1"/>
  <c r="J56" i="12"/>
  <c r="K56" i="12" s="1"/>
  <c r="D56" i="39"/>
  <c r="G56" i="39" s="1"/>
  <c r="H56" i="39" s="1"/>
  <c r="I56" i="39" s="1"/>
  <c r="J92" i="12"/>
  <c r="K92" i="12" s="1"/>
  <c r="D92" i="39"/>
  <c r="G92" i="39" s="1"/>
  <c r="H92" i="39" s="1"/>
  <c r="I92" i="39" s="1"/>
  <c r="J213" i="12"/>
  <c r="K213" i="12" s="1"/>
  <c r="D213" i="39"/>
  <c r="G213" i="39" s="1"/>
  <c r="H213" i="39" s="1"/>
  <c r="I213" i="39" s="1"/>
  <c r="J161" i="12"/>
  <c r="K161" i="12" s="1"/>
  <c r="D161" i="39"/>
  <c r="G161" i="39" s="1"/>
  <c r="H161" i="39" s="1"/>
  <c r="I161" i="39" s="1"/>
  <c r="J173" i="12"/>
  <c r="K173" i="12" s="1"/>
  <c r="D173" i="39"/>
  <c r="G173" i="39" s="1"/>
  <c r="H173" i="39" s="1"/>
  <c r="I173" i="39" s="1"/>
  <c r="J279" i="12"/>
  <c r="K279" i="12" s="1"/>
  <c r="D279" i="39"/>
  <c r="G279" i="39" s="1"/>
  <c r="H279" i="39" s="1"/>
  <c r="I279" i="39" s="1"/>
  <c r="J263" i="12"/>
  <c r="K263" i="12" s="1"/>
  <c r="D263" i="39"/>
  <c r="G263" i="39" s="1"/>
  <c r="H263" i="39" s="1"/>
  <c r="I263" i="39" s="1"/>
  <c r="J247" i="12"/>
  <c r="K247" i="12" s="1"/>
  <c r="D247" i="39"/>
  <c r="G247" i="39" s="1"/>
  <c r="H247" i="39" s="1"/>
  <c r="I247" i="39" s="1"/>
  <c r="J231" i="12"/>
  <c r="K231" i="12" s="1"/>
  <c r="D231" i="39"/>
  <c r="G231" i="39" s="1"/>
  <c r="H231" i="39" s="1"/>
  <c r="I231" i="39" s="1"/>
  <c r="J215" i="12"/>
  <c r="K215" i="12" s="1"/>
  <c r="D215" i="39"/>
  <c r="G215" i="39" s="1"/>
  <c r="H215" i="39" s="1"/>
  <c r="I215" i="39" s="1"/>
  <c r="J199" i="12"/>
  <c r="K199" i="12" s="1"/>
  <c r="D199" i="39"/>
  <c r="G199" i="39" s="1"/>
  <c r="H199" i="39" s="1"/>
  <c r="I199" i="39" s="1"/>
  <c r="J183" i="12"/>
  <c r="K183" i="12" s="1"/>
  <c r="D183" i="39"/>
  <c r="G183" i="39" s="1"/>
  <c r="H183" i="39" s="1"/>
  <c r="I183" i="39" s="1"/>
  <c r="J167" i="12"/>
  <c r="K167" i="12" s="1"/>
  <c r="D167" i="39"/>
  <c r="G167" i="39" s="1"/>
  <c r="H167" i="39" s="1"/>
  <c r="I167" i="39" s="1"/>
  <c r="J95" i="12"/>
  <c r="K95" i="12" s="1"/>
  <c r="D95" i="39"/>
  <c r="G95" i="39" s="1"/>
  <c r="H95" i="39" s="1"/>
  <c r="I95" i="39" s="1"/>
  <c r="J303" i="12"/>
  <c r="K303" i="12" s="1"/>
  <c r="D303" i="39"/>
  <c r="G303" i="39" s="1"/>
  <c r="H303" i="39" s="1"/>
  <c r="I303" i="39" s="1"/>
  <c r="J287" i="12"/>
  <c r="K287" i="12" s="1"/>
  <c r="D287" i="39"/>
  <c r="G287" i="39" s="1"/>
  <c r="H287" i="39" s="1"/>
  <c r="I287" i="39" s="1"/>
  <c r="J268" i="12"/>
  <c r="K268" i="12" s="1"/>
  <c r="D268" i="39"/>
  <c r="G268" i="39" s="1"/>
  <c r="H268" i="39" s="1"/>
  <c r="I268" i="39" s="1"/>
  <c r="J252" i="12"/>
  <c r="K252" i="12" s="1"/>
  <c r="D252" i="39"/>
  <c r="G252" i="39" s="1"/>
  <c r="H252" i="39" s="1"/>
  <c r="I252" i="39" s="1"/>
  <c r="J236" i="12"/>
  <c r="K236" i="12" s="1"/>
  <c r="D236" i="39"/>
  <c r="G236" i="39" s="1"/>
  <c r="H236" i="39" s="1"/>
  <c r="I236" i="39" s="1"/>
  <c r="J220" i="12"/>
  <c r="K220" i="12" s="1"/>
  <c r="D220" i="39"/>
  <c r="G220" i="39" s="1"/>
  <c r="H220" i="39" s="1"/>
  <c r="I220" i="39" s="1"/>
  <c r="J204" i="12"/>
  <c r="K204" i="12" s="1"/>
  <c r="D204" i="39"/>
  <c r="G204" i="39" s="1"/>
  <c r="H204" i="39" s="1"/>
  <c r="I204" i="39" s="1"/>
  <c r="J188" i="12"/>
  <c r="K188" i="12" s="1"/>
  <c r="D188" i="39"/>
  <c r="G188" i="39" s="1"/>
  <c r="H188" i="39" s="1"/>
  <c r="I188" i="39" s="1"/>
  <c r="J172" i="12"/>
  <c r="K172" i="12" s="1"/>
  <c r="D172" i="39"/>
  <c r="G172" i="39" s="1"/>
  <c r="H172" i="39" s="1"/>
  <c r="I172" i="39" s="1"/>
  <c r="J282" i="12"/>
  <c r="K282" i="12" s="1"/>
  <c r="D282" i="39"/>
  <c r="G282" i="39" s="1"/>
  <c r="H282" i="39" s="1"/>
  <c r="I282" i="39" s="1"/>
  <c r="J294" i="12"/>
  <c r="K294" i="12" s="1"/>
  <c r="D294" i="39"/>
  <c r="G294" i="39" s="1"/>
  <c r="H294" i="39" s="1"/>
  <c r="I294" i="39" s="1"/>
  <c r="J157" i="12"/>
  <c r="K157" i="12" s="1"/>
  <c r="D157" i="39"/>
  <c r="G157" i="39" s="1"/>
  <c r="H157" i="39" s="1"/>
  <c r="I157" i="39" s="1"/>
  <c r="J266" i="12"/>
  <c r="K266" i="12" s="1"/>
  <c r="D266" i="39"/>
  <c r="G266" i="39" s="1"/>
  <c r="H266" i="39" s="1"/>
  <c r="I266" i="39" s="1"/>
  <c r="J250" i="12"/>
  <c r="K250" i="12" s="1"/>
  <c r="D250" i="39"/>
  <c r="G250" i="39" s="1"/>
  <c r="H250" i="39" s="1"/>
  <c r="I250" i="39" s="1"/>
  <c r="J234" i="12"/>
  <c r="K234" i="12" s="1"/>
  <c r="D234" i="39"/>
  <c r="G234" i="39" s="1"/>
  <c r="H234" i="39" s="1"/>
  <c r="I234" i="39" s="1"/>
  <c r="J218" i="12"/>
  <c r="K218" i="12" s="1"/>
  <c r="D218" i="39"/>
  <c r="G218" i="39" s="1"/>
  <c r="H218" i="39" s="1"/>
  <c r="I218" i="39" s="1"/>
  <c r="J202" i="12"/>
  <c r="K202" i="12" s="1"/>
  <c r="D202" i="39"/>
  <c r="G202" i="39" s="1"/>
  <c r="H202" i="39" s="1"/>
  <c r="I202" i="39" s="1"/>
  <c r="J186" i="12"/>
  <c r="K186" i="12" s="1"/>
  <c r="D186" i="39"/>
  <c r="G186" i="39" s="1"/>
  <c r="H186" i="39" s="1"/>
  <c r="I186" i="39" s="1"/>
  <c r="J170" i="12"/>
  <c r="K170" i="12" s="1"/>
  <c r="D170" i="39"/>
  <c r="G170" i="39" s="1"/>
  <c r="H170" i="39" s="1"/>
  <c r="I170" i="39" s="1"/>
  <c r="J153" i="12"/>
  <c r="K153" i="12" s="1"/>
  <c r="D153" i="39"/>
  <c r="G153" i="39" s="1"/>
  <c r="H153" i="39" s="1"/>
  <c r="I153" i="39" s="1"/>
  <c r="J137" i="12"/>
  <c r="K137" i="12" s="1"/>
  <c r="D137" i="39"/>
  <c r="G137" i="39" s="1"/>
  <c r="H137" i="39" s="1"/>
  <c r="I137" i="39" s="1"/>
  <c r="J121" i="12"/>
  <c r="K121" i="12" s="1"/>
  <c r="D121" i="39"/>
  <c r="G121" i="39" s="1"/>
  <c r="H121" i="39" s="1"/>
  <c r="I121" i="39" s="1"/>
  <c r="J102" i="12"/>
  <c r="K102" i="12" s="1"/>
  <c r="D102" i="39"/>
  <c r="G102" i="39" s="1"/>
  <c r="H102" i="39" s="1"/>
  <c r="I102" i="39" s="1"/>
  <c r="J97" i="12"/>
  <c r="K97" i="12" s="1"/>
  <c r="D97" i="39"/>
  <c r="G97" i="39" s="1"/>
  <c r="H97" i="39" s="1"/>
  <c r="I97" i="39" s="1"/>
  <c r="J73" i="12"/>
  <c r="K73" i="12" s="1"/>
  <c r="D73" i="39"/>
  <c r="G73" i="39" s="1"/>
  <c r="H73" i="39" s="1"/>
  <c r="I73" i="39" s="1"/>
  <c r="J57" i="12"/>
  <c r="K57" i="12" s="1"/>
  <c r="D57" i="39"/>
  <c r="G57" i="39" s="1"/>
  <c r="H57" i="39" s="1"/>
  <c r="I57" i="39" s="1"/>
  <c r="J41" i="12"/>
  <c r="K41" i="12" s="1"/>
  <c r="D41" i="39"/>
  <c r="G41" i="39" s="1"/>
  <c r="H41" i="39" s="1"/>
  <c r="I41" i="39" s="1"/>
  <c r="J25" i="12"/>
  <c r="K25" i="12" s="1"/>
  <c r="D25" i="39"/>
  <c r="G25" i="39" s="1"/>
  <c r="H25" i="39" s="1"/>
  <c r="I25" i="39" s="1"/>
  <c r="J9" i="12"/>
  <c r="K9" i="12" s="1"/>
  <c r="D9" i="39"/>
  <c r="G9" i="39" s="1"/>
  <c r="H9" i="39" s="1"/>
  <c r="I9" i="39" s="1"/>
  <c r="J107" i="12"/>
  <c r="K107" i="12" s="1"/>
  <c r="D107" i="39"/>
  <c r="G107" i="39" s="1"/>
  <c r="H107" i="39" s="1"/>
  <c r="I107" i="39" s="1"/>
  <c r="J185" i="12"/>
  <c r="K185" i="12" s="1"/>
  <c r="D185" i="39"/>
  <c r="G185" i="39" s="1"/>
  <c r="H185" i="39" s="1"/>
  <c r="I185" i="39" s="1"/>
  <c r="J116" i="12"/>
  <c r="K116" i="12" s="1"/>
  <c r="D116" i="39"/>
  <c r="G116" i="39" s="1"/>
  <c r="H116" i="39" s="1"/>
  <c r="I116" i="39" s="1"/>
  <c r="J84" i="12"/>
  <c r="K84" i="12" s="1"/>
  <c r="D84" i="39"/>
  <c r="G84" i="39" s="1"/>
  <c r="H84" i="39" s="1"/>
  <c r="I84" i="39" s="1"/>
  <c r="J297" i="12"/>
  <c r="K297" i="12" s="1"/>
  <c r="D297" i="39"/>
  <c r="G297" i="39" s="1"/>
  <c r="H297" i="39" s="1"/>
  <c r="I297" i="39" s="1"/>
  <c r="J39" i="12"/>
  <c r="K39" i="12" s="1"/>
  <c r="D39" i="39"/>
  <c r="G39" i="39" s="1"/>
  <c r="H39" i="39" s="1"/>
  <c r="I39" i="39" s="1"/>
  <c r="J66" i="12"/>
  <c r="K66" i="12" s="1"/>
  <c r="D66" i="39"/>
  <c r="G66" i="39" s="1"/>
  <c r="H66" i="39" s="1"/>
  <c r="I66" i="39" s="1"/>
  <c r="J304" i="12"/>
  <c r="K304" i="12" s="1"/>
  <c r="D304" i="39"/>
  <c r="G304" i="39" s="1"/>
  <c r="H304" i="39" s="1"/>
  <c r="I304" i="39" s="1"/>
  <c r="J94" i="12"/>
  <c r="K94" i="12" s="1"/>
  <c r="D94" i="39"/>
  <c r="G94" i="39" s="1"/>
  <c r="H94" i="39" s="1"/>
  <c r="I94" i="39" s="1"/>
  <c r="J111" i="12"/>
  <c r="K111" i="12" s="1"/>
  <c r="D111" i="39"/>
  <c r="G111" i="39" s="1"/>
  <c r="H111" i="39" s="1"/>
  <c r="I111" i="39" s="1"/>
  <c r="J42" i="12"/>
  <c r="K42" i="12" s="1"/>
  <c r="D42" i="39"/>
  <c r="G42" i="39" s="1"/>
  <c r="H42" i="39" s="1"/>
  <c r="I42" i="39" s="1"/>
  <c r="J197" i="12"/>
  <c r="K197" i="12" s="1"/>
  <c r="D197" i="39"/>
  <c r="G197" i="39" s="1"/>
  <c r="H197" i="39" s="1"/>
  <c r="I197" i="39" s="1"/>
  <c r="J126" i="12"/>
  <c r="K126" i="12" s="1"/>
  <c r="D126" i="39"/>
  <c r="G126" i="39" s="1"/>
  <c r="H126" i="39" s="1"/>
  <c r="I126" i="39" s="1"/>
  <c r="J59" i="12"/>
  <c r="K59" i="12" s="1"/>
  <c r="D59" i="39"/>
  <c r="G59" i="39" s="1"/>
  <c r="H59" i="39" s="1"/>
  <c r="I59" i="39" s="1"/>
  <c r="J131" i="12"/>
  <c r="K131" i="12" s="1"/>
  <c r="D131" i="39"/>
  <c r="G131" i="39" s="1"/>
  <c r="H131" i="39" s="1"/>
  <c r="I131" i="39" s="1"/>
  <c r="J148" i="12"/>
  <c r="K148" i="12" s="1"/>
  <c r="D148" i="39"/>
  <c r="G148" i="39" s="1"/>
  <c r="H148" i="39" s="1"/>
  <c r="I148" i="39" s="1"/>
  <c r="J36" i="12"/>
  <c r="K36" i="12" s="1"/>
  <c r="D36" i="39"/>
  <c r="G36" i="39" s="1"/>
  <c r="H36" i="39" s="1"/>
  <c r="I36" i="39" s="1"/>
  <c r="J68" i="12"/>
  <c r="K68" i="12" s="1"/>
  <c r="D68" i="39"/>
  <c r="G68" i="39" s="1"/>
  <c r="H68" i="39" s="1"/>
  <c r="I68" i="39" s="1"/>
  <c r="J138" i="12"/>
  <c r="K138" i="12" s="1"/>
  <c r="D138" i="39"/>
  <c r="G138" i="39" s="1"/>
  <c r="H138" i="39" s="1"/>
  <c r="I138" i="39" s="1"/>
  <c r="J261" i="12"/>
  <c r="K261" i="12" s="1"/>
  <c r="D261" i="39"/>
  <c r="G261" i="39" s="1"/>
  <c r="H261" i="39" s="1"/>
  <c r="I261" i="39" s="1"/>
  <c r="J177" i="12"/>
  <c r="K177" i="12" s="1"/>
  <c r="D177" i="39"/>
  <c r="G177" i="39" s="1"/>
  <c r="H177" i="39" s="1"/>
  <c r="I177" i="39" s="1"/>
  <c r="J292" i="12"/>
  <c r="K292" i="12" s="1"/>
  <c r="D292" i="39"/>
  <c r="G292" i="39" s="1"/>
  <c r="H292" i="39" s="1"/>
  <c r="I292" i="39" s="1"/>
  <c r="J127" i="12"/>
  <c r="K127" i="12" s="1"/>
  <c r="D127" i="39"/>
  <c r="G127" i="39" s="1"/>
  <c r="H127" i="39" s="1"/>
  <c r="I127" i="39" s="1"/>
  <c r="J34" i="12"/>
  <c r="K34" i="12" s="1"/>
  <c r="D34" i="39"/>
  <c r="G34" i="39" s="1"/>
  <c r="H34" i="39" s="1"/>
  <c r="I34" i="39" s="1"/>
  <c r="J130" i="12"/>
  <c r="K130" i="12" s="1"/>
  <c r="D130" i="39"/>
  <c r="G130" i="39" s="1"/>
  <c r="H130" i="39" s="1"/>
  <c r="I130" i="39" s="1"/>
  <c r="J280" i="12"/>
  <c r="K280" i="12" s="1"/>
  <c r="D280" i="39"/>
  <c r="G280" i="39" s="1"/>
  <c r="H280" i="39" s="1"/>
  <c r="I280" i="39" s="1"/>
  <c r="J63" i="12"/>
  <c r="K63" i="12" s="1"/>
  <c r="D63" i="39"/>
  <c r="G63" i="39" s="1"/>
  <c r="H63" i="39" s="1"/>
  <c r="I63" i="39" s="1"/>
  <c r="J103" i="12"/>
  <c r="K103" i="12" s="1"/>
  <c r="D103" i="39"/>
  <c r="G103" i="39" s="1"/>
  <c r="H103" i="39" s="1"/>
  <c r="I103" i="39" s="1"/>
  <c r="J120" i="12"/>
  <c r="K120" i="12" s="1"/>
  <c r="D120" i="39"/>
  <c r="G120" i="39" s="1"/>
  <c r="H120" i="39" s="1"/>
  <c r="I120" i="39" s="1"/>
  <c r="J14" i="12"/>
  <c r="K14" i="12" s="1"/>
  <c r="D14" i="39"/>
  <c r="G14" i="39" s="1"/>
  <c r="H14" i="39" s="1"/>
  <c r="I14" i="39" s="1"/>
  <c r="J46" i="12"/>
  <c r="K46" i="12" s="1"/>
  <c r="D46" i="39"/>
  <c r="G46" i="39" s="1"/>
  <c r="H46" i="39" s="1"/>
  <c r="I46" i="39" s="1"/>
  <c r="J78" i="12"/>
  <c r="K78" i="12" s="1"/>
  <c r="D78" i="39"/>
  <c r="G78" i="39" s="1"/>
  <c r="H78" i="39" s="1"/>
  <c r="I78" i="39" s="1"/>
  <c r="J205" i="12"/>
  <c r="K205" i="12" s="1"/>
  <c r="D205" i="39"/>
  <c r="G205" i="39" s="1"/>
  <c r="H205" i="39" s="1"/>
  <c r="I205" i="39" s="1"/>
  <c r="J300" i="12"/>
  <c r="K300" i="12" s="1"/>
  <c r="D300" i="39"/>
  <c r="G300" i="39" s="1"/>
  <c r="H300" i="39" s="1"/>
  <c r="I300" i="39" s="1"/>
  <c r="J265" i="12"/>
  <c r="K265" i="12" s="1"/>
  <c r="D265" i="39"/>
  <c r="G265" i="39" s="1"/>
  <c r="H265" i="39" s="1"/>
  <c r="I265" i="39" s="1"/>
  <c r="J142" i="12"/>
  <c r="K142" i="12" s="1"/>
  <c r="D142" i="39"/>
  <c r="G142" i="39" s="1"/>
  <c r="H142" i="39" s="1"/>
  <c r="I142" i="39" s="1"/>
  <c r="J143" i="12"/>
  <c r="K143" i="12" s="1"/>
  <c r="D143" i="39"/>
  <c r="G143" i="39" s="1"/>
  <c r="H143" i="39" s="1"/>
  <c r="I143" i="39" s="1"/>
  <c r="J51" i="12"/>
  <c r="K51" i="12" s="1"/>
  <c r="D51" i="39"/>
  <c r="G51" i="39" s="1"/>
  <c r="H51" i="39" s="1"/>
  <c r="I51" i="39" s="1"/>
  <c r="J139" i="12"/>
  <c r="K139" i="12" s="1"/>
  <c r="D139" i="39"/>
  <c r="G139" i="39" s="1"/>
  <c r="H139" i="39" s="1"/>
  <c r="I139" i="39" s="1"/>
  <c r="J156" i="12"/>
  <c r="K156" i="12" s="1"/>
  <c r="D156" i="39"/>
  <c r="G156" i="39" s="1"/>
  <c r="H156" i="39" s="1"/>
  <c r="I156" i="39" s="1"/>
  <c r="J32" i="12"/>
  <c r="K32" i="12" s="1"/>
  <c r="D32" i="39"/>
  <c r="G32" i="39" s="1"/>
  <c r="H32" i="39" s="1"/>
  <c r="I32" i="39" s="1"/>
  <c r="J64" i="12"/>
  <c r="K64" i="12" s="1"/>
  <c r="D64" i="39"/>
  <c r="G64" i="39" s="1"/>
  <c r="H64" i="39" s="1"/>
  <c r="I64" i="39" s="1"/>
  <c r="J122" i="12"/>
  <c r="K122" i="12" s="1"/>
  <c r="D122" i="39"/>
  <c r="G122" i="39" s="1"/>
  <c r="H122" i="39" s="1"/>
  <c r="I122" i="39" s="1"/>
  <c r="J285" i="12"/>
  <c r="K285" i="12" s="1"/>
  <c r="D285" i="39"/>
  <c r="G285" i="39" s="1"/>
  <c r="H285" i="39" s="1"/>
  <c r="I285" i="39" s="1"/>
  <c r="J193" i="12"/>
  <c r="K193" i="12" s="1"/>
  <c r="D193" i="39"/>
  <c r="G193" i="39" s="1"/>
  <c r="H193" i="39" s="1"/>
  <c r="I193" i="39" s="1"/>
  <c r="J237" i="12"/>
  <c r="K237" i="12" s="1"/>
  <c r="D237" i="39"/>
  <c r="G237" i="39" s="1"/>
  <c r="H237" i="39" s="1"/>
  <c r="I237" i="39" s="1"/>
  <c r="J272" i="12"/>
  <c r="K272" i="12" s="1"/>
  <c r="D272" i="39"/>
  <c r="G272" i="39" s="1"/>
  <c r="H272" i="39" s="1"/>
  <c r="I272" i="39" s="1"/>
  <c r="J256" i="12"/>
  <c r="K256" i="12" s="1"/>
  <c r="D256" i="39"/>
  <c r="G256" i="39" s="1"/>
  <c r="H256" i="39" s="1"/>
  <c r="I256" i="39" s="1"/>
  <c r="J240" i="12"/>
  <c r="K240" i="12" s="1"/>
  <c r="D240" i="39"/>
  <c r="G240" i="39" s="1"/>
  <c r="H240" i="39" s="1"/>
  <c r="I240" i="39" s="1"/>
  <c r="J224" i="12"/>
  <c r="K224" i="12" s="1"/>
  <c r="D224" i="39"/>
  <c r="G224" i="39" s="1"/>
  <c r="H224" i="39" s="1"/>
  <c r="I224" i="39" s="1"/>
  <c r="J208" i="12"/>
  <c r="K208" i="12" s="1"/>
  <c r="D208" i="39"/>
  <c r="G208" i="39" s="1"/>
  <c r="H208" i="39" s="1"/>
  <c r="I208" i="39" s="1"/>
  <c r="J192" i="12"/>
  <c r="K192" i="12" s="1"/>
  <c r="D192" i="39"/>
  <c r="G192" i="39" s="1"/>
  <c r="H192" i="39" s="1"/>
  <c r="I192" i="39" s="1"/>
  <c r="D176" i="39"/>
  <c r="G176" i="39" s="1"/>
  <c r="H176" i="39" s="1"/>
  <c r="I176" i="39" s="1"/>
  <c r="J176" i="12"/>
  <c r="K176" i="12" s="1"/>
  <c r="J160" i="12"/>
  <c r="K160" i="12" s="1"/>
  <c r="D160" i="39"/>
  <c r="G160" i="39" s="1"/>
  <c r="H160" i="39" s="1"/>
  <c r="I160" i="39" s="1"/>
  <c r="J91" i="12"/>
  <c r="K91" i="12" s="1"/>
  <c r="D91" i="39"/>
  <c r="G91" i="39" s="1"/>
  <c r="H91" i="39" s="1"/>
  <c r="I91" i="39" s="1"/>
  <c r="J299" i="12"/>
  <c r="K299" i="12" s="1"/>
  <c r="D299" i="39"/>
  <c r="G299" i="39" s="1"/>
  <c r="H299" i="39" s="1"/>
  <c r="I299" i="39" s="1"/>
  <c r="J283" i="12"/>
  <c r="K283" i="12" s="1"/>
  <c r="D283" i="39"/>
  <c r="G283" i="39" s="1"/>
  <c r="H283" i="39" s="1"/>
  <c r="I283" i="39" s="1"/>
  <c r="J267" i="12"/>
  <c r="K267" i="12" s="1"/>
  <c r="D267" i="39"/>
  <c r="G267" i="39" s="1"/>
  <c r="H267" i="39" s="1"/>
  <c r="I267" i="39" s="1"/>
  <c r="J251" i="12"/>
  <c r="K251" i="12" s="1"/>
  <c r="D251" i="39"/>
  <c r="G251" i="39" s="1"/>
  <c r="H251" i="39" s="1"/>
  <c r="I251" i="39" s="1"/>
  <c r="J235" i="12"/>
  <c r="K235" i="12" s="1"/>
  <c r="D235" i="39"/>
  <c r="G235" i="39" s="1"/>
  <c r="H235" i="39" s="1"/>
  <c r="I235" i="39" s="1"/>
  <c r="J219" i="12"/>
  <c r="K219" i="12" s="1"/>
  <c r="D219" i="39"/>
  <c r="G219" i="39" s="1"/>
  <c r="H219" i="39" s="1"/>
  <c r="I219" i="39" s="1"/>
  <c r="J203" i="12"/>
  <c r="K203" i="12" s="1"/>
  <c r="D203" i="39"/>
  <c r="G203" i="39" s="1"/>
  <c r="H203" i="39" s="1"/>
  <c r="I203" i="39" s="1"/>
  <c r="J187" i="12"/>
  <c r="K187" i="12" s="1"/>
  <c r="D187" i="39"/>
  <c r="G187" i="39" s="1"/>
  <c r="H187" i="39" s="1"/>
  <c r="I187" i="39" s="1"/>
  <c r="J171" i="12"/>
  <c r="K171" i="12" s="1"/>
  <c r="D171" i="39"/>
  <c r="G171" i="39" s="1"/>
  <c r="H171" i="39" s="1"/>
  <c r="I171" i="39" s="1"/>
  <c r="J98" i="12"/>
  <c r="K98" i="12" s="1"/>
  <c r="D98" i="39"/>
  <c r="G98" i="39" s="1"/>
  <c r="H98" i="39" s="1"/>
  <c r="I98" i="39" s="1"/>
  <c r="J290" i="12"/>
  <c r="K290" i="12" s="1"/>
  <c r="D290" i="39"/>
  <c r="G290" i="39" s="1"/>
  <c r="H290" i="39" s="1"/>
  <c r="I290" i="39" s="1"/>
  <c r="J278" i="12"/>
  <c r="K278" i="12" s="1"/>
  <c r="D278" i="39"/>
  <c r="G278" i="39" s="1"/>
  <c r="H278" i="39" s="1"/>
  <c r="I278" i="39" s="1"/>
  <c r="J262" i="12"/>
  <c r="K262" i="12" s="1"/>
  <c r="D262" i="39"/>
  <c r="G262" i="39" s="1"/>
  <c r="H262" i="39" s="1"/>
  <c r="I262" i="39" s="1"/>
  <c r="J246" i="12"/>
  <c r="K246" i="12" s="1"/>
  <c r="D246" i="39"/>
  <c r="G246" i="39" s="1"/>
  <c r="H246" i="39" s="1"/>
  <c r="I246" i="39" s="1"/>
  <c r="J230" i="12"/>
  <c r="K230" i="12" s="1"/>
  <c r="D230" i="39"/>
  <c r="G230" i="39" s="1"/>
  <c r="H230" i="39" s="1"/>
  <c r="I230" i="39" s="1"/>
  <c r="J214" i="12"/>
  <c r="K214" i="12" s="1"/>
  <c r="D214" i="39"/>
  <c r="G214" i="39" s="1"/>
  <c r="H214" i="39" s="1"/>
  <c r="I214" i="39" s="1"/>
  <c r="J198" i="12"/>
  <c r="K198" i="12" s="1"/>
  <c r="D198" i="39"/>
  <c r="G198" i="39" s="1"/>
  <c r="H198" i="39" s="1"/>
  <c r="I198" i="39" s="1"/>
  <c r="J182" i="12"/>
  <c r="K182" i="12" s="1"/>
  <c r="D182" i="39"/>
  <c r="G182" i="39" s="1"/>
  <c r="H182" i="39" s="1"/>
  <c r="I182" i="39" s="1"/>
  <c r="J166" i="12"/>
  <c r="K166" i="12" s="1"/>
  <c r="D166" i="39"/>
  <c r="G166" i="39" s="1"/>
  <c r="H166" i="39" s="1"/>
  <c r="I166" i="39" s="1"/>
  <c r="J149" i="12"/>
  <c r="K149" i="12" s="1"/>
  <c r="D149" i="39"/>
  <c r="G149" i="39" s="1"/>
  <c r="H149" i="39" s="1"/>
  <c r="I149" i="39" s="1"/>
  <c r="J133" i="12"/>
  <c r="K133" i="12" s="1"/>
  <c r="D133" i="39"/>
  <c r="G133" i="39" s="1"/>
  <c r="H133" i="39" s="1"/>
  <c r="I133" i="39" s="1"/>
  <c r="J117" i="12"/>
  <c r="K117" i="12" s="1"/>
  <c r="D117" i="39"/>
  <c r="G117" i="39" s="1"/>
  <c r="H117" i="39" s="1"/>
  <c r="I117" i="39" s="1"/>
  <c r="J109" i="12"/>
  <c r="K109" i="12" s="1"/>
  <c r="D109" i="39"/>
  <c r="G109" i="39" s="1"/>
  <c r="H109" i="39" s="1"/>
  <c r="I109" i="39" s="1"/>
  <c r="J93" i="12"/>
  <c r="K93" i="12" s="1"/>
  <c r="D93" i="39"/>
  <c r="G93" i="39" s="1"/>
  <c r="H93" i="39" s="1"/>
  <c r="I93" i="39" s="1"/>
  <c r="J69" i="12"/>
  <c r="K69" i="12" s="1"/>
  <c r="D69" i="39"/>
  <c r="G69" i="39" s="1"/>
  <c r="H69" i="39" s="1"/>
  <c r="I69" i="39" s="1"/>
  <c r="J53" i="12"/>
  <c r="K53" i="12" s="1"/>
  <c r="D53" i="39"/>
  <c r="G53" i="39" s="1"/>
  <c r="H53" i="39" s="1"/>
  <c r="I53" i="39" s="1"/>
  <c r="J37" i="12"/>
  <c r="K37" i="12" s="1"/>
  <c r="D37" i="39"/>
  <c r="G37" i="39" s="1"/>
  <c r="H37" i="39" s="1"/>
  <c r="I37" i="39" s="1"/>
  <c r="J21" i="12"/>
  <c r="K21" i="12" s="1"/>
  <c r="D21" i="39"/>
  <c r="G21" i="39" s="1"/>
  <c r="H21" i="39" s="1"/>
  <c r="I21" i="39" s="1"/>
  <c r="J89" i="12"/>
  <c r="K89" i="12" s="1"/>
  <c r="D89" i="39"/>
  <c r="G89" i="39" s="1"/>
  <c r="H89" i="39" s="1"/>
  <c r="I89" i="39" s="1"/>
  <c r="J27" i="12"/>
  <c r="K27" i="12" s="1"/>
  <c r="D27" i="39"/>
  <c r="G27" i="39" s="1"/>
  <c r="H27" i="39" s="1"/>
  <c r="I27" i="39" s="1"/>
  <c r="J20" i="12"/>
  <c r="K20" i="12" s="1"/>
  <c r="D20" i="39"/>
  <c r="G20" i="39" s="1"/>
  <c r="H20" i="39" s="1"/>
  <c r="I20" i="39" s="1"/>
  <c r="J128" i="12"/>
  <c r="K128" i="12" s="1"/>
  <c r="D128" i="39"/>
  <c r="G128" i="39" s="1"/>
  <c r="H128" i="39" s="1"/>
  <c r="I128" i="39" s="1"/>
  <c r="J58" i="12"/>
  <c r="K58" i="12" s="1"/>
  <c r="D58" i="39"/>
  <c r="G58" i="39" s="1"/>
  <c r="H58" i="39" s="1"/>
  <c r="I58" i="39" s="1"/>
  <c r="J296" i="12"/>
  <c r="K296" i="12" s="1"/>
  <c r="D296" i="39"/>
  <c r="G296" i="39" s="1"/>
  <c r="H296" i="39" s="1"/>
  <c r="I296" i="39" s="1"/>
  <c r="J11" i="12"/>
  <c r="K11" i="12" s="1"/>
  <c r="D11" i="39"/>
  <c r="G11" i="39" s="1"/>
  <c r="H11" i="39" s="1"/>
  <c r="I11" i="39" s="1"/>
  <c r="J75" i="12"/>
  <c r="K75" i="12" s="1"/>
  <c r="D75" i="39"/>
  <c r="G75" i="39" s="1"/>
  <c r="H75" i="39" s="1"/>
  <c r="I75" i="39" s="1"/>
  <c r="J147" i="12"/>
  <c r="K147" i="12" s="1"/>
  <c r="D147" i="39"/>
  <c r="G147" i="39" s="1"/>
  <c r="H147" i="39" s="1"/>
  <c r="I147" i="39" s="1"/>
  <c r="J12" i="12"/>
  <c r="K12" i="12" s="1"/>
  <c r="D12" i="39"/>
  <c r="G12" i="39" s="1"/>
  <c r="H12" i="39" s="1"/>
  <c r="I12" i="39" s="1"/>
  <c r="J44" i="12"/>
  <c r="K44" i="12" s="1"/>
  <c r="D44" i="39"/>
  <c r="G44" i="39" s="1"/>
  <c r="H44" i="39" s="1"/>
  <c r="I44" i="39" s="1"/>
  <c r="J76" i="12"/>
  <c r="K76" i="12" s="1"/>
  <c r="D76" i="39"/>
  <c r="G76" i="39" s="1"/>
  <c r="H76" i="39" s="1"/>
  <c r="I76" i="39" s="1"/>
  <c r="J181" i="12"/>
  <c r="K181" i="12" s="1"/>
  <c r="D181" i="39"/>
  <c r="G181" i="39" s="1"/>
  <c r="H181" i="39" s="1"/>
  <c r="I181" i="39" s="1"/>
  <c r="J289" i="12"/>
  <c r="K289" i="12" s="1"/>
  <c r="D289" i="39"/>
  <c r="G289" i="39" s="1"/>
  <c r="H289" i="39" s="1"/>
  <c r="I289" i="39" s="1"/>
  <c r="J209" i="12"/>
  <c r="K209" i="12" s="1"/>
  <c r="D209" i="39"/>
  <c r="G209" i="39" s="1"/>
  <c r="H209" i="39" s="1"/>
  <c r="I209" i="39" s="1"/>
  <c r="J134" i="12"/>
  <c r="K134" i="12" s="1"/>
  <c r="D134" i="39"/>
  <c r="G134" i="39" s="1"/>
  <c r="H134" i="39" s="1"/>
  <c r="I134" i="39" s="1"/>
  <c r="J112" i="12"/>
  <c r="K112" i="12" s="1"/>
  <c r="D112" i="39"/>
  <c r="G112" i="39" s="1"/>
  <c r="H112" i="39" s="1"/>
  <c r="I112" i="39" s="1"/>
  <c r="J50" i="12"/>
  <c r="K50" i="12" s="1"/>
  <c r="D50" i="39"/>
  <c r="G50" i="39" s="1"/>
  <c r="H50" i="39" s="1"/>
  <c r="I50" i="39" s="1"/>
  <c r="J288" i="12"/>
  <c r="K288" i="12" s="1"/>
  <c r="D288" i="39"/>
  <c r="G288" i="39" s="1"/>
  <c r="H288" i="39" s="1"/>
  <c r="I288" i="39" s="1"/>
  <c r="J15" i="12"/>
  <c r="K15" i="12" s="1"/>
  <c r="D15" i="39"/>
  <c r="G15" i="39" s="1"/>
  <c r="H15" i="39" s="1"/>
  <c r="I15" i="39" s="1"/>
  <c r="J79" i="12"/>
  <c r="K79" i="12" s="1"/>
  <c r="D79" i="39"/>
  <c r="G79" i="39" s="1"/>
  <c r="H79" i="39" s="1"/>
  <c r="I79" i="39" s="1"/>
  <c r="J119" i="12"/>
  <c r="K119" i="12" s="1"/>
  <c r="D119" i="39"/>
  <c r="G119" i="39" s="1"/>
  <c r="H119" i="39" s="1"/>
  <c r="I119" i="39" s="1"/>
  <c r="J136" i="12"/>
  <c r="K136" i="12" s="1"/>
  <c r="D136" i="39"/>
  <c r="G136" i="39" s="1"/>
  <c r="H136" i="39" s="1"/>
  <c r="I136" i="39" s="1"/>
  <c r="J22" i="12"/>
  <c r="K22" i="12" s="1"/>
  <c r="D22" i="39"/>
  <c r="G22" i="39" s="1"/>
  <c r="H22" i="39" s="1"/>
  <c r="I22" i="39" s="1"/>
  <c r="J54" i="12"/>
  <c r="K54" i="12" s="1"/>
  <c r="D54" i="39"/>
  <c r="G54" i="39" s="1"/>
  <c r="H54" i="39" s="1"/>
  <c r="I54" i="39" s="1"/>
  <c r="J88" i="12"/>
  <c r="K88" i="12" s="1"/>
  <c r="D88" i="39"/>
  <c r="G88" i="39" s="1"/>
  <c r="H88" i="39" s="1"/>
  <c r="I88" i="39" s="1"/>
  <c r="J229" i="12"/>
  <c r="K229" i="12" s="1"/>
  <c r="D229" i="39"/>
  <c r="G229" i="39" s="1"/>
  <c r="H229" i="39" s="1"/>
  <c r="I229" i="39" s="1"/>
  <c r="J169" i="12"/>
  <c r="K169" i="12" s="1"/>
  <c r="D169" i="39"/>
  <c r="G169" i="39" s="1"/>
  <c r="H169" i="39" s="1"/>
  <c r="I169" i="39" s="1"/>
  <c r="J165" i="12"/>
  <c r="K165" i="12" s="1"/>
  <c r="D165" i="39"/>
  <c r="G165" i="39" s="1"/>
  <c r="H165" i="39" s="1"/>
  <c r="I165" i="39" s="1"/>
  <c r="J7" i="12"/>
  <c r="K7" i="12" s="1"/>
  <c r="D7" i="39"/>
  <c r="G7" i="39" s="1"/>
  <c r="H7" i="39" s="1"/>
  <c r="I7" i="39" s="1"/>
  <c r="J10" i="12"/>
  <c r="K10" i="12" s="1"/>
  <c r="D10" i="39"/>
  <c r="G10" i="39" s="1"/>
  <c r="H10" i="39" s="1"/>
  <c r="I10" i="39" s="1"/>
  <c r="J67" i="12"/>
  <c r="K67" i="12" s="1"/>
  <c r="D67" i="39"/>
  <c r="G67" i="39" s="1"/>
  <c r="H67" i="39" s="1"/>
  <c r="I67" i="39" s="1"/>
  <c r="J155" i="12"/>
  <c r="K155" i="12" s="1"/>
  <c r="D155" i="39"/>
  <c r="G155" i="39" s="1"/>
  <c r="H155" i="39" s="1"/>
  <c r="I155" i="39" s="1"/>
  <c r="J8" i="12"/>
  <c r="K8" i="12" s="1"/>
  <c r="D8" i="39"/>
  <c r="G8" i="39" s="1"/>
  <c r="H8" i="39" s="1"/>
  <c r="I8" i="39" s="1"/>
  <c r="J40" i="12"/>
  <c r="K40" i="12" s="1"/>
  <c r="D40" i="39"/>
  <c r="G40" i="39" s="1"/>
  <c r="H40" i="39" s="1"/>
  <c r="I40" i="39" s="1"/>
  <c r="J72" i="12"/>
  <c r="K72" i="12" s="1"/>
  <c r="D72" i="39"/>
  <c r="G72" i="39" s="1"/>
  <c r="H72" i="39" s="1"/>
  <c r="I72" i="39" s="1"/>
  <c r="J154" i="12"/>
  <c r="K154" i="12" s="1"/>
  <c r="D154" i="39"/>
  <c r="G154" i="39" s="1"/>
  <c r="H154" i="39" s="1"/>
  <c r="I154" i="39" s="1"/>
  <c r="J293" i="12"/>
  <c r="K293" i="12" s="1"/>
  <c r="D293" i="39"/>
  <c r="G293" i="39" s="1"/>
  <c r="H293" i="39" s="1"/>
  <c r="I293" i="39" s="1"/>
  <c r="J225" i="12"/>
  <c r="K225" i="12" s="1"/>
  <c r="D225" i="39"/>
  <c r="G225" i="39" s="1"/>
  <c r="H225" i="39" s="1"/>
  <c r="I225" i="39" s="1"/>
  <c r="J118" i="12"/>
  <c r="K118" i="12" s="1"/>
  <c r="D118" i="39"/>
  <c r="G118" i="39" s="1"/>
  <c r="H118" i="39" s="1"/>
  <c r="I118" i="39" s="1"/>
  <c r="J271" i="12"/>
  <c r="K271" i="12" s="1"/>
  <c r="D271" i="39"/>
  <c r="G271" i="39" s="1"/>
  <c r="H271" i="39" s="1"/>
  <c r="I271" i="39" s="1"/>
  <c r="J255" i="12"/>
  <c r="K255" i="12" s="1"/>
  <c r="D255" i="39"/>
  <c r="G255" i="39" s="1"/>
  <c r="H255" i="39" s="1"/>
  <c r="I255" i="39" s="1"/>
  <c r="J239" i="12"/>
  <c r="K239" i="12" s="1"/>
  <c r="D239" i="39"/>
  <c r="G239" i="39" s="1"/>
  <c r="H239" i="39" s="1"/>
  <c r="I239" i="39" s="1"/>
  <c r="J223" i="12"/>
  <c r="K223" i="12" s="1"/>
  <c r="D223" i="39"/>
  <c r="G223" i="39" s="1"/>
  <c r="H223" i="39" s="1"/>
  <c r="I223" i="39" s="1"/>
  <c r="J207" i="12"/>
  <c r="K207" i="12" s="1"/>
  <c r="D207" i="39"/>
  <c r="G207" i="39" s="1"/>
  <c r="H207" i="39" s="1"/>
  <c r="I207" i="39" s="1"/>
  <c r="J191" i="12"/>
  <c r="K191" i="12" s="1"/>
  <c r="D191" i="39"/>
  <c r="G191" i="39" s="1"/>
  <c r="H191" i="39" s="1"/>
  <c r="I191" i="39" s="1"/>
  <c r="J175" i="12"/>
  <c r="K175" i="12" s="1"/>
  <c r="D175" i="39"/>
  <c r="G175" i="39" s="1"/>
  <c r="H175" i="39" s="1"/>
  <c r="I175" i="39" s="1"/>
  <c r="J159" i="12"/>
  <c r="K159" i="12" s="1"/>
  <c r="D159" i="39"/>
  <c r="G159" i="39" s="1"/>
  <c r="H159" i="39" s="1"/>
  <c r="I159" i="39" s="1"/>
  <c r="J90" i="12"/>
  <c r="K90" i="12" s="1"/>
  <c r="D90" i="39"/>
  <c r="G90" i="39" s="1"/>
  <c r="H90" i="39" s="1"/>
  <c r="I90" i="39" s="1"/>
  <c r="J295" i="12"/>
  <c r="K295" i="12" s="1"/>
  <c r="D295" i="39"/>
  <c r="G295" i="39" s="1"/>
  <c r="H295" i="39" s="1"/>
  <c r="I295" i="39" s="1"/>
  <c r="J276" i="12"/>
  <c r="K276" i="12" s="1"/>
  <c r="D276" i="39"/>
  <c r="G276" i="39" s="1"/>
  <c r="H276" i="39" s="1"/>
  <c r="I276" i="39" s="1"/>
  <c r="J260" i="12"/>
  <c r="K260" i="12" s="1"/>
  <c r="D260" i="39"/>
  <c r="G260" i="39" s="1"/>
  <c r="H260" i="39" s="1"/>
  <c r="I260" i="39" s="1"/>
  <c r="J244" i="12"/>
  <c r="K244" i="12" s="1"/>
  <c r="D244" i="39"/>
  <c r="G244" i="39" s="1"/>
  <c r="H244" i="39" s="1"/>
  <c r="I244" i="39" s="1"/>
  <c r="J228" i="12"/>
  <c r="K228" i="12" s="1"/>
  <c r="D228" i="39"/>
  <c r="G228" i="39" s="1"/>
  <c r="H228" i="39" s="1"/>
  <c r="I228" i="39" s="1"/>
  <c r="J212" i="12"/>
  <c r="K212" i="12" s="1"/>
  <c r="D212" i="39"/>
  <c r="G212" i="39" s="1"/>
  <c r="H212" i="39" s="1"/>
  <c r="I212" i="39" s="1"/>
  <c r="J196" i="12"/>
  <c r="K196" i="12" s="1"/>
  <c r="D196" i="39"/>
  <c r="G196" i="39" s="1"/>
  <c r="H196" i="39" s="1"/>
  <c r="I196" i="39" s="1"/>
  <c r="J180" i="12"/>
  <c r="K180" i="12" s="1"/>
  <c r="D180" i="39"/>
  <c r="G180" i="39" s="1"/>
  <c r="H180" i="39" s="1"/>
  <c r="I180" i="39" s="1"/>
  <c r="J164" i="12"/>
  <c r="K164" i="12" s="1"/>
  <c r="D164" i="39"/>
  <c r="G164" i="39" s="1"/>
  <c r="H164" i="39" s="1"/>
  <c r="I164" i="39" s="1"/>
  <c r="J302" i="12"/>
  <c r="K302" i="12" s="1"/>
  <c r="D302" i="39"/>
  <c r="G302" i="39" s="1"/>
  <c r="H302" i="39" s="1"/>
  <c r="I302" i="39" s="1"/>
  <c r="J286" i="12"/>
  <c r="K286" i="12" s="1"/>
  <c r="D286" i="39"/>
  <c r="G286" i="39" s="1"/>
  <c r="H286" i="39" s="1"/>
  <c r="I286" i="39" s="1"/>
  <c r="J274" i="12"/>
  <c r="K274" i="12" s="1"/>
  <c r="D274" i="39"/>
  <c r="G274" i="39" s="1"/>
  <c r="H274" i="39" s="1"/>
  <c r="I274" i="39" s="1"/>
  <c r="J258" i="12"/>
  <c r="K258" i="12" s="1"/>
  <c r="D258" i="39"/>
  <c r="G258" i="39" s="1"/>
  <c r="H258" i="39" s="1"/>
  <c r="I258" i="39" s="1"/>
  <c r="J242" i="12"/>
  <c r="K242" i="12" s="1"/>
  <c r="D242" i="39"/>
  <c r="G242" i="39" s="1"/>
  <c r="H242" i="39" s="1"/>
  <c r="I242" i="39" s="1"/>
  <c r="J226" i="12"/>
  <c r="K226" i="12" s="1"/>
  <c r="D226" i="39"/>
  <c r="G226" i="39" s="1"/>
  <c r="H226" i="39" s="1"/>
  <c r="I226" i="39" s="1"/>
  <c r="J210" i="12"/>
  <c r="K210" i="12" s="1"/>
  <c r="D210" i="39"/>
  <c r="G210" i="39" s="1"/>
  <c r="H210" i="39" s="1"/>
  <c r="I210" i="39" s="1"/>
  <c r="J194" i="12"/>
  <c r="K194" i="12" s="1"/>
  <c r="D194" i="39"/>
  <c r="G194" i="39" s="1"/>
  <c r="H194" i="39" s="1"/>
  <c r="I194" i="39" s="1"/>
  <c r="J178" i="12"/>
  <c r="K178" i="12" s="1"/>
  <c r="D178" i="39"/>
  <c r="G178" i="39" s="1"/>
  <c r="H178" i="39" s="1"/>
  <c r="I178" i="39" s="1"/>
  <c r="J162" i="12"/>
  <c r="K162" i="12" s="1"/>
  <c r="D162" i="39"/>
  <c r="G162" i="39" s="1"/>
  <c r="H162" i="39" s="1"/>
  <c r="I162" i="39" s="1"/>
  <c r="J145" i="12"/>
  <c r="K145" i="12" s="1"/>
  <c r="D145" i="39"/>
  <c r="G145" i="39" s="1"/>
  <c r="H145" i="39" s="1"/>
  <c r="I145" i="39" s="1"/>
  <c r="J129" i="12"/>
  <c r="K129" i="12" s="1"/>
  <c r="D129" i="39"/>
  <c r="G129" i="39" s="1"/>
  <c r="H129" i="39" s="1"/>
  <c r="I129" i="39" s="1"/>
  <c r="J113" i="12"/>
  <c r="K113" i="12" s="1"/>
  <c r="D113" i="39"/>
  <c r="G113" i="39" s="1"/>
  <c r="H113" i="39" s="1"/>
  <c r="I113" i="39" s="1"/>
  <c r="J105" i="12"/>
  <c r="K105" i="12" s="1"/>
  <c r="D105" i="39"/>
  <c r="G105" i="39" s="1"/>
  <c r="H105" i="39" s="1"/>
  <c r="I105" i="39" s="1"/>
  <c r="J81" i="12"/>
  <c r="K81" i="12" s="1"/>
  <c r="D81" i="39"/>
  <c r="G81" i="39" s="1"/>
  <c r="H81" i="39" s="1"/>
  <c r="I81" i="39" s="1"/>
  <c r="J65" i="12"/>
  <c r="K65" i="12" s="1"/>
  <c r="D65" i="39"/>
  <c r="G65" i="39" s="1"/>
  <c r="H65" i="39" s="1"/>
  <c r="I65" i="39" s="1"/>
  <c r="J49" i="12"/>
  <c r="K49" i="12" s="1"/>
  <c r="D49" i="39"/>
  <c r="G49" i="39" s="1"/>
  <c r="H49" i="39" s="1"/>
  <c r="I49" i="39" s="1"/>
  <c r="J33" i="12"/>
  <c r="K33" i="12" s="1"/>
  <c r="D33" i="39"/>
  <c r="G33" i="39" s="1"/>
  <c r="H33" i="39" s="1"/>
  <c r="I33" i="39" s="1"/>
  <c r="J17" i="12"/>
  <c r="K17" i="12" s="1"/>
  <c r="D17" i="39"/>
  <c r="G17" i="39" s="1"/>
  <c r="H17" i="39" s="1"/>
  <c r="I17" i="39" s="1"/>
  <c r="J85" i="12"/>
  <c r="K85" i="12" s="1"/>
  <c r="D85" i="39"/>
  <c r="G85" i="39" s="1"/>
  <c r="H85" i="39" s="1"/>
  <c r="I85" i="39" s="1"/>
  <c r="H6" i="12"/>
  <c r="I6" i="12" s="1"/>
  <c r="D6" i="39" s="1"/>
  <c r="J306" i="12"/>
  <c r="G291" i="13" l="1"/>
  <c r="H291" i="13" s="1"/>
  <c r="I291" i="13" s="1"/>
  <c r="J291" i="13" s="1"/>
  <c r="G184" i="13"/>
  <c r="H184" i="13" s="1"/>
  <c r="I184" i="13" s="1"/>
  <c r="J184" i="13" s="1"/>
  <c r="G19" i="13"/>
  <c r="H19" i="13" s="1"/>
  <c r="I19" i="13" s="1"/>
  <c r="J19" i="13" s="1"/>
  <c r="G269" i="13"/>
  <c r="H269" i="13" s="1"/>
  <c r="I269" i="13" s="1"/>
  <c r="J269" i="13" s="1"/>
  <c r="H275" i="34" s="1"/>
  <c r="I275" i="34" s="1"/>
  <c r="K275" i="34" s="1"/>
  <c r="F268" i="25" s="1"/>
  <c r="G152" i="13"/>
  <c r="H152" i="13" s="1"/>
  <c r="I152" i="13" s="1"/>
  <c r="J152" i="13" s="1"/>
  <c r="G30" i="13"/>
  <c r="H30" i="13" s="1"/>
  <c r="I30" i="13" s="1"/>
  <c r="J30" i="13" s="1"/>
  <c r="G186" i="13"/>
  <c r="H186" i="13" s="1"/>
  <c r="I186" i="13" s="1"/>
  <c r="J186" i="13" s="1"/>
  <c r="H192" i="34" s="1"/>
  <c r="I192" i="34" s="1"/>
  <c r="K192" i="34" s="1"/>
  <c r="F185" i="25" s="1"/>
  <c r="G183" i="13"/>
  <c r="H183" i="13" s="1"/>
  <c r="I183" i="13" s="1"/>
  <c r="J183" i="13" s="1"/>
  <c r="H189" i="34" s="1"/>
  <c r="I189" i="34" s="1"/>
  <c r="K189" i="34" s="1"/>
  <c r="F182" i="25" s="1"/>
  <c r="G114" i="13"/>
  <c r="H114" i="13" s="1"/>
  <c r="I114" i="13" s="1"/>
  <c r="J114" i="13" s="1"/>
  <c r="G169" i="13"/>
  <c r="H169" i="13" s="1"/>
  <c r="I169" i="13" s="1"/>
  <c r="J169" i="13" s="1"/>
  <c r="G122" i="13"/>
  <c r="H122" i="13" s="1"/>
  <c r="I122" i="13" s="1"/>
  <c r="J122" i="13" s="1"/>
  <c r="G66" i="13"/>
  <c r="H66" i="13" s="1"/>
  <c r="I66" i="13" s="1"/>
  <c r="J66" i="13" s="1"/>
  <c r="H72" i="34" s="1"/>
  <c r="I72" i="34" s="1"/>
  <c r="K72" i="34" s="1"/>
  <c r="F65" i="25" s="1"/>
  <c r="G153" i="13"/>
  <c r="H153" i="13" s="1"/>
  <c r="I153" i="13" s="1"/>
  <c r="J153" i="13" s="1"/>
  <c r="G26" i="13"/>
  <c r="H26" i="13" s="1"/>
  <c r="I26" i="13" s="1"/>
  <c r="J26" i="13" s="1"/>
  <c r="H32" i="34" s="1"/>
  <c r="I32" i="34" s="1"/>
  <c r="K32" i="34" s="1"/>
  <c r="F25" i="25" s="1"/>
  <c r="G238" i="13"/>
  <c r="H238" i="13" s="1"/>
  <c r="I238" i="13" s="1"/>
  <c r="J238" i="13" s="1"/>
  <c r="H244" i="34" s="1"/>
  <c r="I244" i="34" s="1"/>
  <c r="K244" i="34" s="1"/>
  <c r="F237" i="25" s="1"/>
  <c r="G106" i="13"/>
  <c r="H106" i="13" s="1"/>
  <c r="I106" i="13" s="1"/>
  <c r="J106" i="13" s="1"/>
  <c r="H112" i="34" s="1"/>
  <c r="I112" i="34" s="1"/>
  <c r="K112" i="34" s="1"/>
  <c r="F105" i="25" s="1"/>
  <c r="G132" i="13"/>
  <c r="H132" i="13" s="1"/>
  <c r="I132" i="13" s="1"/>
  <c r="J132" i="13" s="1"/>
  <c r="H138" i="34" s="1"/>
  <c r="I138" i="34" s="1"/>
  <c r="K138" i="34" s="1"/>
  <c r="F131" i="25" s="1"/>
  <c r="G43" i="13"/>
  <c r="H43" i="13" s="1"/>
  <c r="I43" i="13" s="1"/>
  <c r="J43" i="13" s="1"/>
  <c r="H49" i="34" s="1"/>
  <c r="I49" i="34" s="1"/>
  <c r="K49" i="34" s="1"/>
  <c r="F42" i="25" s="1"/>
  <c r="G31" i="13"/>
  <c r="H31" i="13" s="1"/>
  <c r="I31" i="13" s="1"/>
  <c r="J31" i="13" s="1"/>
  <c r="H37" i="34" s="1"/>
  <c r="I37" i="34" s="1"/>
  <c r="K37" i="34" s="1"/>
  <c r="F30" i="25" s="1"/>
  <c r="G241" i="13"/>
  <c r="H241" i="13" s="1"/>
  <c r="I241" i="13" s="1"/>
  <c r="J241" i="13" s="1"/>
  <c r="H247" i="34" s="1"/>
  <c r="I247" i="34" s="1"/>
  <c r="K247" i="34" s="1"/>
  <c r="F240" i="25" s="1"/>
  <c r="G74" i="13"/>
  <c r="H74" i="13" s="1"/>
  <c r="I74" i="13" s="1"/>
  <c r="J74" i="13" s="1"/>
  <c r="G190" i="13"/>
  <c r="H190" i="13" s="1"/>
  <c r="I190" i="13" s="1"/>
  <c r="J190" i="13" s="1"/>
  <c r="H196" i="34" s="1"/>
  <c r="I196" i="34" s="1"/>
  <c r="K196" i="34" s="1"/>
  <c r="F189" i="25" s="1"/>
  <c r="G234" i="13"/>
  <c r="H234" i="13" s="1"/>
  <c r="I234" i="13" s="1"/>
  <c r="J234" i="13" s="1"/>
  <c r="H240" i="34" s="1"/>
  <c r="I240" i="34" s="1"/>
  <c r="K240" i="34" s="1"/>
  <c r="F233" i="25" s="1"/>
  <c r="G298" i="13"/>
  <c r="H298" i="13" s="1"/>
  <c r="I298" i="13" s="1"/>
  <c r="J298" i="13" s="1"/>
  <c r="H304" i="34" s="1"/>
  <c r="I304" i="34" s="1"/>
  <c r="K304" i="34" s="1"/>
  <c r="F297" i="25" s="1"/>
  <c r="G267" i="13"/>
  <c r="H267" i="13" s="1"/>
  <c r="I267" i="13" s="1"/>
  <c r="J267" i="13" s="1"/>
  <c r="H273" i="34" s="1"/>
  <c r="I273" i="34" s="1"/>
  <c r="K273" i="34" s="1"/>
  <c r="F266" i="25" s="1"/>
  <c r="G137" i="13"/>
  <c r="H137" i="13" s="1"/>
  <c r="I137" i="13" s="1"/>
  <c r="J137" i="13" s="1"/>
  <c r="H143" i="34" s="1"/>
  <c r="I143" i="34" s="1"/>
  <c r="K143" i="34" s="1"/>
  <c r="F136" i="25" s="1"/>
  <c r="G294" i="13"/>
  <c r="H294" i="13" s="1"/>
  <c r="I294" i="13" s="1"/>
  <c r="J294" i="13" s="1"/>
  <c r="H300" i="34" s="1"/>
  <c r="I300" i="34" s="1"/>
  <c r="K300" i="34" s="1"/>
  <c r="F293" i="25" s="1"/>
  <c r="G189" i="13"/>
  <c r="H189" i="13" s="1"/>
  <c r="I189" i="13" s="1"/>
  <c r="J189" i="13" s="1"/>
  <c r="H195" i="34" s="1"/>
  <c r="I195" i="34" s="1"/>
  <c r="K195" i="34" s="1"/>
  <c r="F188" i="25" s="1"/>
  <c r="G210" i="13"/>
  <c r="H210" i="13" s="1"/>
  <c r="I210" i="13" s="1"/>
  <c r="J210" i="13" s="1"/>
  <c r="G229" i="13"/>
  <c r="H229" i="13" s="1"/>
  <c r="I229" i="13" s="1"/>
  <c r="J229" i="13" s="1"/>
  <c r="H235" i="34" s="1"/>
  <c r="I235" i="34" s="1"/>
  <c r="K235" i="34" s="1"/>
  <c r="F228" i="25" s="1"/>
  <c r="G54" i="13"/>
  <c r="H54" i="13" s="1"/>
  <c r="I54" i="13" s="1"/>
  <c r="J54" i="13" s="1"/>
  <c r="H60" i="34" s="1"/>
  <c r="I60" i="34" s="1"/>
  <c r="K60" i="34" s="1"/>
  <c r="F53" i="25" s="1"/>
  <c r="G79" i="13"/>
  <c r="H79" i="13" s="1"/>
  <c r="I79" i="13" s="1"/>
  <c r="J79" i="13" s="1"/>
  <c r="H85" i="34" s="1"/>
  <c r="I85" i="34" s="1"/>
  <c r="K85" i="34" s="1"/>
  <c r="F78" i="25" s="1"/>
  <c r="G162" i="13"/>
  <c r="H162" i="13" s="1"/>
  <c r="I162" i="13" s="1"/>
  <c r="J162" i="13" s="1"/>
  <c r="H168" i="34" s="1"/>
  <c r="I168" i="34" s="1"/>
  <c r="K168" i="34" s="1"/>
  <c r="F161" i="25" s="1"/>
  <c r="G44" i="13"/>
  <c r="H44" i="13" s="1"/>
  <c r="I44" i="13" s="1"/>
  <c r="J44" i="13" s="1"/>
  <c r="H50" i="34" s="1"/>
  <c r="I50" i="34" s="1"/>
  <c r="K50" i="34" s="1"/>
  <c r="F43" i="25" s="1"/>
  <c r="G147" i="13"/>
  <c r="H147" i="13" s="1"/>
  <c r="I147" i="13" s="1"/>
  <c r="J147" i="13" s="1"/>
  <c r="H153" i="34" s="1"/>
  <c r="I153" i="34" s="1"/>
  <c r="K153" i="34" s="1"/>
  <c r="F146" i="25" s="1"/>
  <c r="G11" i="13"/>
  <c r="H11" i="13" s="1"/>
  <c r="I11" i="13" s="1"/>
  <c r="J11" i="13" s="1"/>
  <c r="G90" i="13"/>
  <c r="H90" i="13" s="1"/>
  <c r="I90" i="13" s="1"/>
  <c r="J90" i="13" s="1"/>
  <c r="G175" i="13"/>
  <c r="H175" i="13" s="1"/>
  <c r="I175" i="13" s="1"/>
  <c r="J175" i="13" s="1"/>
  <c r="H181" i="34" s="1"/>
  <c r="I181" i="34" s="1"/>
  <c r="K181" i="34" s="1"/>
  <c r="F174" i="25" s="1"/>
  <c r="G239" i="13"/>
  <c r="H239" i="13" s="1"/>
  <c r="I239" i="13" s="1"/>
  <c r="J239" i="13" s="1"/>
  <c r="G10" i="13"/>
  <c r="H10" i="13" s="1"/>
  <c r="I10" i="13" s="1"/>
  <c r="J10" i="13" s="1"/>
  <c r="G7" i="13"/>
  <c r="H7" i="13" s="1"/>
  <c r="I7" i="13" s="1"/>
  <c r="J7" i="13" s="1"/>
  <c r="G20" i="13"/>
  <c r="H20" i="13" s="1"/>
  <c r="I20" i="13" s="1"/>
  <c r="J20" i="13" s="1"/>
  <c r="H26" i="34" s="1"/>
  <c r="I26" i="34" s="1"/>
  <c r="K26" i="34" s="1"/>
  <c r="F19" i="25" s="1"/>
  <c r="G69" i="13"/>
  <c r="H69" i="13" s="1"/>
  <c r="I69" i="13" s="1"/>
  <c r="J69" i="13" s="1"/>
  <c r="H75" i="34" s="1"/>
  <c r="I75" i="34" s="1"/>
  <c r="K75" i="34" s="1"/>
  <c r="F68" i="25" s="1"/>
  <c r="G133" i="13"/>
  <c r="H133" i="13" s="1"/>
  <c r="I133" i="13" s="1"/>
  <c r="J133" i="13" s="1"/>
  <c r="H139" i="34" s="1"/>
  <c r="I139" i="34" s="1"/>
  <c r="K139" i="34" s="1"/>
  <c r="F132" i="25" s="1"/>
  <c r="G290" i="13"/>
  <c r="H290" i="13" s="1"/>
  <c r="I290" i="13" s="1"/>
  <c r="J290" i="13" s="1"/>
  <c r="G203" i="13"/>
  <c r="H203" i="13" s="1"/>
  <c r="I203" i="13" s="1"/>
  <c r="J203" i="13" s="1"/>
  <c r="H209" i="34" s="1"/>
  <c r="I209" i="34" s="1"/>
  <c r="K209" i="34" s="1"/>
  <c r="F202" i="25" s="1"/>
  <c r="G299" i="13"/>
  <c r="H299" i="13" s="1"/>
  <c r="I299" i="13" s="1"/>
  <c r="J299" i="13" s="1"/>
  <c r="H305" i="34" s="1"/>
  <c r="I305" i="34" s="1"/>
  <c r="K305" i="34" s="1"/>
  <c r="F298" i="25" s="1"/>
  <c r="G192" i="13"/>
  <c r="H192" i="13" s="1"/>
  <c r="I192" i="13" s="1"/>
  <c r="J192" i="13" s="1"/>
  <c r="H198" i="34" s="1"/>
  <c r="I198" i="34" s="1"/>
  <c r="K198" i="34" s="1"/>
  <c r="F191" i="25" s="1"/>
  <c r="G224" i="13"/>
  <c r="H224" i="13" s="1"/>
  <c r="I224" i="13" s="1"/>
  <c r="J224" i="13" s="1"/>
  <c r="H230" i="34" s="1"/>
  <c r="I230" i="34" s="1"/>
  <c r="K230" i="34" s="1"/>
  <c r="F223" i="25" s="1"/>
  <c r="G256" i="13"/>
  <c r="H256" i="13" s="1"/>
  <c r="I256" i="13" s="1"/>
  <c r="J256" i="13" s="1"/>
  <c r="H262" i="34" s="1"/>
  <c r="I262" i="34" s="1"/>
  <c r="K262" i="34" s="1"/>
  <c r="F255" i="25" s="1"/>
  <c r="G237" i="13"/>
  <c r="H237" i="13" s="1"/>
  <c r="I237" i="13" s="1"/>
  <c r="J237" i="13" s="1"/>
  <c r="H243" i="34" s="1"/>
  <c r="I243" i="34" s="1"/>
  <c r="K243" i="34" s="1"/>
  <c r="F236" i="25" s="1"/>
  <c r="G285" i="13"/>
  <c r="H285" i="13" s="1"/>
  <c r="I285" i="13" s="1"/>
  <c r="J285" i="13" s="1"/>
  <c r="H291" i="34" s="1"/>
  <c r="I291" i="34" s="1"/>
  <c r="K291" i="34" s="1"/>
  <c r="F284" i="25" s="1"/>
  <c r="G300" i="13"/>
  <c r="H300" i="13" s="1"/>
  <c r="I300" i="13" s="1"/>
  <c r="J300" i="13" s="1"/>
  <c r="H306" i="34" s="1"/>
  <c r="I306" i="34" s="1"/>
  <c r="K306" i="34" s="1"/>
  <c r="F299" i="25" s="1"/>
  <c r="G78" i="13"/>
  <c r="H78" i="13" s="1"/>
  <c r="I78" i="13" s="1"/>
  <c r="J78" i="13" s="1"/>
  <c r="H84" i="34" s="1"/>
  <c r="I84" i="34" s="1"/>
  <c r="K84" i="34" s="1"/>
  <c r="F77" i="25" s="1"/>
  <c r="G14" i="13"/>
  <c r="H14" i="13" s="1"/>
  <c r="I14" i="13" s="1"/>
  <c r="J14" i="13" s="1"/>
  <c r="G148" i="13"/>
  <c r="H148" i="13" s="1"/>
  <c r="I148" i="13" s="1"/>
  <c r="J148" i="13" s="1"/>
  <c r="H154" i="34" s="1"/>
  <c r="I154" i="34" s="1"/>
  <c r="K154" i="34" s="1"/>
  <c r="F147" i="25" s="1"/>
  <c r="G197" i="13"/>
  <c r="H197" i="13" s="1"/>
  <c r="I197" i="13" s="1"/>
  <c r="J197" i="13" s="1"/>
  <c r="H203" i="34" s="1"/>
  <c r="I203" i="34" s="1"/>
  <c r="K203" i="34" s="1"/>
  <c r="F196" i="25" s="1"/>
  <c r="G9" i="13"/>
  <c r="H9" i="13" s="1"/>
  <c r="I9" i="13" s="1"/>
  <c r="J9" i="13" s="1"/>
  <c r="G27" i="13"/>
  <c r="H27" i="13" s="1"/>
  <c r="I27" i="13" s="1"/>
  <c r="J27" i="13" s="1"/>
  <c r="H33" i="34" s="1"/>
  <c r="I33" i="34" s="1"/>
  <c r="K33" i="34" s="1"/>
  <c r="F26" i="25" s="1"/>
  <c r="G21" i="13"/>
  <c r="H21" i="13" s="1"/>
  <c r="I21" i="13" s="1"/>
  <c r="J21" i="13" s="1"/>
  <c r="H27" i="34" s="1"/>
  <c r="I27" i="34" s="1"/>
  <c r="K27" i="34" s="1"/>
  <c r="F20" i="25" s="1"/>
  <c r="G98" i="13"/>
  <c r="H98" i="13" s="1"/>
  <c r="I98" i="13" s="1"/>
  <c r="J98" i="13" s="1"/>
  <c r="G172" i="13"/>
  <c r="H172" i="13" s="1"/>
  <c r="I172" i="13" s="1"/>
  <c r="J172" i="13" s="1"/>
  <c r="H178" i="34" s="1"/>
  <c r="I178" i="34" s="1"/>
  <c r="K178" i="34" s="1"/>
  <c r="F171" i="25" s="1"/>
  <c r="G204" i="13"/>
  <c r="H204" i="13" s="1"/>
  <c r="I204" i="13" s="1"/>
  <c r="J204" i="13" s="1"/>
  <c r="H210" i="34" s="1"/>
  <c r="I210" i="34" s="1"/>
  <c r="K210" i="34" s="1"/>
  <c r="F203" i="25" s="1"/>
  <c r="G236" i="13"/>
  <c r="H236" i="13" s="1"/>
  <c r="I236" i="13" s="1"/>
  <c r="J236" i="13" s="1"/>
  <c r="H242" i="34" s="1"/>
  <c r="I242" i="34" s="1"/>
  <c r="K242" i="34" s="1"/>
  <c r="F235" i="25" s="1"/>
  <c r="G268" i="13"/>
  <c r="H268" i="13" s="1"/>
  <c r="I268" i="13" s="1"/>
  <c r="J268" i="13" s="1"/>
  <c r="H274" i="34" s="1"/>
  <c r="I274" i="34" s="1"/>
  <c r="K274" i="34" s="1"/>
  <c r="F267" i="25" s="1"/>
  <c r="G56" i="13"/>
  <c r="H56" i="13" s="1"/>
  <c r="I56" i="13" s="1"/>
  <c r="J56" i="13" s="1"/>
  <c r="H62" i="34" s="1"/>
  <c r="I62" i="34" s="1"/>
  <c r="K62" i="34" s="1"/>
  <c r="F55" i="25" s="1"/>
  <c r="G140" i="13"/>
  <c r="H140" i="13" s="1"/>
  <c r="I140" i="13" s="1"/>
  <c r="J140" i="13" s="1"/>
  <c r="H146" i="34" s="1"/>
  <c r="I146" i="34" s="1"/>
  <c r="K146" i="34" s="1"/>
  <c r="F139" i="25" s="1"/>
  <c r="G35" i="13"/>
  <c r="H35" i="13" s="1"/>
  <c r="I35" i="13" s="1"/>
  <c r="J35" i="13" s="1"/>
  <c r="H41" i="34" s="1"/>
  <c r="I41" i="34" s="1"/>
  <c r="K41" i="34" s="1"/>
  <c r="F34" i="25" s="1"/>
  <c r="G217" i="13"/>
  <c r="H217" i="13" s="1"/>
  <c r="I217" i="13" s="1"/>
  <c r="J217" i="13" s="1"/>
  <c r="G18" i="13"/>
  <c r="H18" i="13" s="1"/>
  <c r="I18" i="13" s="1"/>
  <c r="J18" i="13" s="1"/>
  <c r="H24" i="34" s="1"/>
  <c r="I24" i="34" s="1"/>
  <c r="K24" i="34" s="1"/>
  <c r="F17" i="25" s="1"/>
  <c r="G273" i="13"/>
  <c r="H273" i="13" s="1"/>
  <c r="I273" i="13" s="1"/>
  <c r="J273" i="13" s="1"/>
  <c r="H279" i="34" s="1"/>
  <c r="I279" i="34" s="1"/>
  <c r="K279" i="34" s="1"/>
  <c r="F272" i="25" s="1"/>
  <c r="G64" i="13"/>
  <c r="H64" i="13" s="1"/>
  <c r="I64" i="13" s="1"/>
  <c r="J64" i="13" s="1"/>
  <c r="H70" i="34" s="1"/>
  <c r="I70" i="34" s="1"/>
  <c r="K70" i="34" s="1"/>
  <c r="F63" i="25" s="1"/>
  <c r="G131" i="13"/>
  <c r="H131" i="13" s="1"/>
  <c r="I131" i="13" s="1"/>
  <c r="J131" i="13" s="1"/>
  <c r="H137" i="34" s="1"/>
  <c r="I137" i="34" s="1"/>
  <c r="K137" i="34" s="1"/>
  <c r="F130" i="25" s="1"/>
  <c r="G126" i="13"/>
  <c r="H126" i="13" s="1"/>
  <c r="I126" i="13" s="1"/>
  <c r="J126" i="13" s="1"/>
  <c r="H132" i="34" s="1"/>
  <c r="I132" i="34" s="1"/>
  <c r="K132" i="34" s="1"/>
  <c r="F125" i="25" s="1"/>
  <c r="G94" i="13"/>
  <c r="H94" i="13" s="1"/>
  <c r="I94" i="13" s="1"/>
  <c r="J94" i="13" s="1"/>
  <c r="H100" i="34" s="1"/>
  <c r="I100" i="34" s="1"/>
  <c r="K100" i="34" s="1"/>
  <c r="F93" i="25" s="1"/>
  <c r="G167" i="13"/>
  <c r="H167" i="13" s="1"/>
  <c r="I167" i="13" s="1"/>
  <c r="J167" i="13" s="1"/>
  <c r="H173" i="34" s="1"/>
  <c r="I173" i="34" s="1"/>
  <c r="K173" i="34" s="1"/>
  <c r="F166" i="25" s="1"/>
  <c r="G231" i="13"/>
  <c r="H231" i="13" s="1"/>
  <c r="I231" i="13" s="1"/>
  <c r="J231" i="13" s="1"/>
  <c r="G28" i="13"/>
  <c r="H28" i="13" s="1"/>
  <c r="I28" i="13" s="1"/>
  <c r="J28" i="13" s="1"/>
  <c r="H34" i="34" s="1"/>
  <c r="I34" i="34" s="1"/>
  <c r="K34" i="34" s="1"/>
  <c r="F27" i="25" s="1"/>
  <c r="G104" i="13"/>
  <c r="H104" i="13" s="1"/>
  <c r="I104" i="13" s="1"/>
  <c r="J104" i="13" s="1"/>
  <c r="H110" i="34" s="1"/>
  <c r="I110" i="34" s="1"/>
  <c r="K110" i="34" s="1"/>
  <c r="F103" i="25" s="1"/>
  <c r="G211" i="13"/>
  <c r="H211" i="13" s="1"/>
  <c r="I211" i="13" s="1"/>
  <c r="J211" i="13" s="1"/>
  <c r="H217" i="34" s="1"/>
  <c r="I217" i="34" s="1"/>
  <c r="K217" i="34" s="1"/>
  <c r="F210" i="25" s="1"/>
  <c r="G17" i="13"/>
  <c r="H17" i="13" s="1"/>
  <c r="I17" i="13" s="1"/>
  <c r="J17" i="13" s="1"/>
  <c r="H23" i="34" s="1"/>
  <c r="I23" i="34" s="1"/>
  <c r="K23" i="34" s="1"/>
  <c r="F16" i="25" s="1"/>
  <c r="G113" i="13"/>
  <c r="H113" i="13" s="1"/>
  <c r="I113" i="13" s="1"/>
  <c r="J113" i="13" s="1"/>
  <c r="H119" i="34" s="1"/>
  <c r="I119" i="34" s="1"/>
  <c r="K119" i="34" s="1"/>
  <c r="F112" i="25" s="1"/>
  <c r="G242" i="13"/>
  <c r="H242" i="13" s="1"/>
  <c r="I242" i="13" s="1"/>
  <c r="J242" i="13" s="1"/>
  <c r="H248" i="34" s="1"/>
  <c r="I248" i="34" s="1"/>
  <c r="K248" i="34" s="1"/>
  <c r="F241" i="25" s="1"/>
  <c r="G274" i="13"/>
  <c r="H274" i="13" s="1"/>
  <c r="I274" i="13" s="1"/>
  <c r="J274" i="13" s="1"/>
  <c r="H280" i="34" s="1"/>
  <c r="I280" i="34" s="1"/>
  <c r="K280" i="34" s="1"/>
  <c r="F273" i="25" s="1"/>
  <c r="G112" i="13"/>
  <c r="H112" i="13" s="1"/>
  <c r="I112" i="13" s="1"/>
  <c r="J112" i="13" s="1"/>
  <c r="H118" i="34" s="1"/>
  <c r="I118" i="34" s="1"/>
  <c r="K118" i="34" s="1"/>
  <c r="F111" i="25" s="1"/>
  <c r="G209" i="13"/>
  <c r="H209" i="13" s="1"/>
  <c r="I209" i="13" s="1"/>
  <c r="J209" i="13" s="1"/>
  <c r="H215" i="34" s="1"/>
  <c r="I215" i="34" s="1"/>
  <c r="K215" i="34" s="1"/>
  <c r="F208" i="25" s="1"/>
  <c r="G280" i="13"/>
  <c r="H280" i="13" s="1"/>
  <c r="I280" i="13" s="1"/>
  <c r="J280" i="13" s="1"/>
  <c r="H286" i="34" s="1"/>
  <c r="I286" i="34" s="1"/>
  <c r="K286" i="34" s="1"/>
  <c r="F279" i="25" s="1"/>
  <c r="G292" i="13"/>
  <c r="H292" i="13" s="1"/>
  <c r="I292" i="13" s="1"/>
  <c r="J292" i="13" s="1"/>
  <c r="H298" i="34" s="1"/>
  <c r="I298" i="34" s="1"/>
  <c r="K298" i="34" s="1"/>
  <c r="F291" i="25" s="1"/>
  <c r="G57" i="13"/>
  <c r="H57" i="13" s="1"/>
  <c r="I57" i="13" s="1"/>
  <c r="J57" i="13" s="1"/>
  <c r="H63" i="34" s="1"/>
  <c r="I63" i="34" s="1"/>
  <c r="K63" i="34" s="1"/>
  <c r="F56" i="25" s="1"/>
  <c r="G284" i="13"/>
  <c r="H284" i="13" s="1"/>
  <c r="I284" i="13" s="1"/>
  <c r="J284" i="13" s="1"/>
  <c r="H290" i="34" s="1"/>
  <c r="I290" i="34" s="1"/>
  <c r="K290" i="34" s="1"/>
  <c r="F283" i="25" s="1"/>
  <c r="G281" i="13"/>
  <c r="H281" i="13" s="1"/>
  <c r="I281" i="13" s="1"/>
  <c r="J281" i="13" s="1"/>
  <c r="H287" i="34" s="1"/>
  <c r="I287" i="34" s="1"/>
  <c r="K287" i="34" s="1"/>
  <c r="F280" i="25" s="1"/>
  <c r="G77" i="13"/>
  <c r="H77" i="13" s="1"/>
  <c r="I77" i="13" s="1"/>
  <c r="J77" i="13" s="1"/>
  <c r="H83" i="34" s="1"/>
  <c r="I83" i="34" s="1"/>
  <c r="K83" i="34" s="1"/>
  <c r="F76" i="25" s="1"/>
  <c r="G174" i="13"/>
  <c r="H174" i="13" s="1"/>
  <c r="I174" i="13" s="1"/>
  <c r="J174" i="13" s="1"/>
  <c r="H180" i="34" s="1"/>
  <c r="I180" i="34" s="1"/>
  <c r="K180" i="34" s="1"/>
  <c r="F173" i="25" s="1"/>
  <c r="G33" i="13"/>
  <c r="H33" i="13" s="1"/>
  <c r="I33" i="13" s="1"/>
  <c r="J33" i="13" s="1"/>
  <c r="H39" i="34" s="1"/>
  <c r="I39" i="34" s="1"/>
  <c r="K39" i="34" s="1"/>
  <c r="F32" i="25" s="1"/>
  <c r="G65" i="13"/>
  <c r="H65" i="13" s="1"/>
  <c r="I65" i="13" s="1"/>
  <c r="J65" i="13" s="1"/>
  <c r="H71" i="34" s="1"/>
  <c r="I71" i="34" s="1"/>
  <c r="K71" i="34" s="1"/>
  <c r="F64" i="25" s="1"/>
  <c r="G271" i="13"/>
  <c r="H271" i="13" s="1"/>
  <c r="I271" i="13" s="1"/>
  <c r="J271" i="13" s="1"/>
  <c r="H277" i="34" s="1"/>
  <c r="I277" i="34" s="1"/>
  <c r="K277" i="34" s="1"/>
  <c r="F270" i="25" s="1"/>
  <c r="G225" i="13"/>
  <c r="H225" i="13" s="1"/>
  <c r="I225" i="13" s="1"/>
  <c r="J225" i="13" s="1"/>
  <c r="H231" i="34" s="1"/>
  <c r="I231" i="34" s="1"/>
  <c r="K231" i="34" s="1"/>
  <c r="F224" i="25" s="1"/>
  <c r="G40" i="13"/>
  <c r="H40" i="13" s="1"/>
  <c r="I40" i="13" s="1"/>
  <c r="J40" i="13" s="1"/>
  <c r="H46" i="34" s="1"/>
  <c r="I46" i="34" s="1"/>
  <c r="K46" i="34" s="1"/>
  <c r="F39" i="25" s="1"/>
  <c r="G166" i="13"/>
  <c r="H166" i="13" s="1"/>
  <c r="I166" i="13" s="1"/>
  <c r="J166" i="13" s="1"/>
  <c r="H172" i="34" s="1"/>
  <c r="I172" i="34" s="1"/>
  <c r="K172" i="34" s="1"/>
  <c r="F165" i="25" s="1"/>
  <c r="G198" i="13"/>
  <c r="H198" i="13" s="1"/>
  <c r="I198" i="13" s="1"/>
  <c r="J198" i="13" s="1"/>
  <c r="H204" i="34" s="1"/>
  <c r="I204" i="34" s="1"/>
  <c r="K204" i="34" s="1"/>
  <c r="F197" i="25" s="1"/>
  <c r="G230" i="13"/>
  <c r="H230" i="13" s="1"/>
  <c r="I230" i="13" s="1"/>
  <c r="J230" i="13" s="1"/>
  <c r="H236" i="34" s="1"/>
  <c r="I236" i="34" s="1"/>
  <c r="K236" i="34" s="1"/>
  <c r="F229" i="25" s="1"/>
  <c r="G176" i="13"/>
  <c r="H176" i="13" s="1"/>
  <c r="I176" i="13" s="1"/>
  <c r="J176" i="13" s="1"/>
  <c r="H182" i="34" s="1"/>
  <c r="I182" i="34" s="1"/>
  <c r="K182" i="34" s="1"/>
  <c r="F175" i="25" s="1"/>
  <c r="G304" i="13"/>
  <c r="H304" i="13" s="1"/>
  <c r="I304" i="13" s="1"/>
  <c r="J304" i="13" s="1"/>
  <c r="G84" i="13"/>
  <c r="H84" i="13" s="1"/>
  <c r="I84" i="13" s="1"/>
  <c r="J84" i="13" s="1"/>
  <c r="H90" i="34" s="1"/>
  <c r="I90" i="34" s="1"/>
  <c r="K90" i="34" s="1"/>
  <c r="F83" i="25" s="1"/>
  <c r="G41" i="13"/>
  <c r="H41" i="13" s="1"/>
  <c r="I41" i="13" s="1"/>
  <c r="J41" i="13" s="1"/>
  <c r="H47" i="34" s="1"/>
  <c r="I47" i="34" s="1"/>
  <c r="K47" i="34" s="1"/>
  <c r="F40" i="25" s="1"/>
  <c r="G73" i="13"/>
  <c r="H73" i="13" s="1"/>
  <c r="I73" i="13" s="1"/>
  <c r="J73" i="13" s="1"/>
  <c r="H79" i="34" s="1"/>
  <c r="I79" i="34" s="1"/>
  <c r="K79" i="34" s="1"/>
  <c r="F72" i="25" s="1"/>
  <c r="G252" i="13"/>
  <c r="H252" i="13" s="1"/>
  <c r="I252" i="13" s="1"/>
  <c r="J252" i="13" s="1"/>
  <c r="H258" i="34" s="1"/>
  <c r="I258" i="34" s="1"/>
  <c r="K258" i="34" s="1"/>
  <c r="F251" i="25" s="1"/>
  <c r="G61" i="13"/>
  <c r="H61" i="13" s="1"/>
  <c r="I61" i="13" s="1"/>
  <c r="J61" i="13" s="1"/>
  <c r="H67" i="34" s="1"/>
  <c r="I67" i="34" s="1"/>
  <c r="K67" i="34" s="1"/>
  <c r="F60" i="25" s="1"/>
  <c r="G125" i="13"/>
  <c r="H125" i="13" s="1"/>
  <c r="I125" i="13" s="1"/>
  <c r="J125" i="13" s="1"/>
  <c r="H131" i="34" s="1"/>
  <c r="I131" i="34" s="1"/>
  <c r="K131" i="34" s="1"/>
  <c r="F124" i="25" s="1"/>
  <c r="G302" i="13"/>
  <c r="H302" i="13" s="1"/>
  <c r="I302" i="13" s="1"/>
  <c r="J302" i="13" s="1"/>
  <c r="H308" i="34" s="1"/>
  <c r="I308" i="34" s="1"/>
  <c r="K308" i="34" s="1"/>
  <c r="F301" i="25" s="1"/>
  <c r="G212" i="13"/>
  <c r="H212" i="13" s="1"/>
  <c r="I212" i="13" s="1"/>
  <c r="J212" i="13" s="1"/>
  <c r="H218" i="34" s="1"/>
  <c r="I218" i="34" s="1"/>
  <c r="K218" i="34" s="1"/>
  <c r="F211" i="25" s="1"/>
  <c r="G244" i="13"/>
  <c r="H244" i="13" s="1"/>
  <c r="I244" i="13" s="1"/>
  <c r="J244" i="13" s="1"/>
  <c r="H250" i="34" s="1"/>
  <c r="I250" i="34" s="1"/>
  <c r="K250" i="34" s="1"/>
  <c r="F243" i="25" s="1"/>
  <c r="G276" i="13"/>
  <c r="H276" i="13" s="1"/>
  <c r="I276" i="13" s="1"/>
  <c r="J276" i="13" s="1"/>
  <c r="H282" i="34" s="1"/>
  <c r="I282" i="34" s="1"/>
  <c r="K282" i="34" s="1"/>
  <c r="F275" i="25" s="1"/>
  <c r="G159" i="13"/>
  <c r="H159" i="13" s="1"/>
  <c r="I159" i="13" s="1"/>
  <c r="J159" i="13" s="1"/>
  <c r="H165" i="34" s="1"/>
  <c r="I165" i="34" s="1"/>
  <c r="K165" i="34" s="1"/>
  <c r="F158" i="25" s="1"/>
  <c r="G191" i="13"/>
  <c r="H191" i="13" s="1"/>
  <c r="I191" i="13" s="1"/>
  <c r="J191" i="13" s="1"/>
  <c r="H197" i="34" s="1"/>
  <c r="I197" i="34" s="1"/>
  <c r="K197" i="34" s="1"/>
  <c r="F190" i="25" s="1"/>
  <c r="G155" i="13"/>
  <c r="H155" i="13" s="1"/>
  <c r="I155" i="13" s="1"/>
  <c r="J155" i="13" s="1"/>
  <c r="H161" i="34" s="1"/>
  <c r="I161" i="34" s="1"/>
  <c r="K161" i="34" s="1"/>
  <c r="F154" i="25" s="1"/>
  <c r="G288" i="13"/>
  <c r="H288" i="13" s="1"/>
  <c r="I288" i="13" s="1"/>
  <c r="J288" i="13" s="1"/>
  <c r="H294" i="34" s="1"/>
  <c r="I294" i="34" s="1"/>
  <c r="K294" i="34" s="1"/>
  <c r="F287" i="25" s="1"/>
  <c r="G134" i="13"/>
  <c r="H134" i="13" s="1"/>
  <c r="I134" i="13" s="1"/>
  <c r="J134" i="13" s="1"/>
  <c r="H140" i="34" s="1"/>
  <c r="I140" i="34" s="1"/>
  <c r="K140" i="34" s="1"/>
  <c r="F133" i="25" s="1"/>
  <c r="G289" i="13"/>
  <c r="H289" i="13" s="1"/>
  <c r="I289" i="13" s="1"/>
  <c r="J289" i="13" s="1"/>
  <c r="H295" i="34" s="1"/>
  <c r="I295" i="34" s="1"/>
  <c r="K295" i="34" s="1"/>
  <c r="F288" i="25" s="1"/>
  <c r="G58" i="13"/>
  <c r="H58" i="13" s="1"/>
  <c r="I58" i="13" s="1"/>
  <c r="J58" i="13" s="1"/>
  <c r="H64" i="34" s="1"/>
  <c r="I64" i="34" s="1"/>
  <c r="K64" i="34" s="1"/>
  <c r="F57" i="25" s="1"/>
  <c r="G93" i="13"/>
  <c r="H93" i="13" s="1"/>
  <c r="I93" i="13" s="1"/>
  <c r="J93" i="13" s="1"/>
  <c r="H99" i="34" s="1"/>
  <c r="I99" i="34" s="1"/>
  <c r="K99" i="34" s="1"/>
  <c r="F92" i="25" s="1"/>
  <c r="G262" i="13"/>
  <c r="H262" i="13" s="1"/>
  <c r="I262" i="13" s="1"/>
  <c r="J262" i="13" s="1"/>
  <c r="H268" i="34" s="1"/>
  <c r="I268" i="34" s="1"/>
  <c r="K268" i="34" s="1"/>
  <c r="F261" i="25" s="1"/>
  <c r="G219" i="13"/>
  <c r="H219" i="13" s="1"/>
  <c r="I219" i="13" s="1"/>
  <c r="J219" i="13" s="1"/>
  <c r="H225" i="34" s="1"/>
  <c r="I225" i="34" s="1"/>
  <c r="K225" i="34" s="1"/>
  <c r="F218" i="25" s="1"/>
  <c r="G32" i="13"/>
  <c r="H32" i="13" s="1"/>
  <c r="I32" i="13" s="1"/>
  <c r="J32" i="13" s="1"/>
  <c r="G103" i="13"/>
  <c r="H103" i="13" s="1"/>
  <c r="I103" i="13" s="1"/>
  <c r="J103" i="13" s="1"/>
  <c r="H109" i="34" s="1"/>
  <c r="I109" i="34" s="1"/>
  <c r="K109" i="34" s="1"/>
  <c r="F102" i="25" s="1"/>
  <c r="G138" i="13"/>
  <c r="H138" i="13" s="1"/>
  <c r="I138" i="13" s="1"/>
  <c r="J138" i="13" s="1"/>
  <c r="H144" i="34" s="1"/>
  <c r="I144" i="34" s="1"/>
  <c r="K144" i="34" s="1"/>
  <c r="F137" i="25" s="1"/>
  <c r="G111" i="13"/>
  <c r="H111" i="13" s="1"/>
  <c r="I111" i="13" s="1"/>
  <c r="J111" i="13" s="1"/>
  <c r="H117" i="34" s="1"/>
  <c r="I117" i="34" s="1"/>
  <c r="K117" i="34" s="1"/>
  <c r="F110" i="25" s="1"/>
  <c r="G116" i="13"/>
  <c r="H116" i="13" s="1"/>
  <c r="I116" i="13" s="1"/>
  <c r="J116" i="13" s="1"/>
  <c r="H122" i="34" s="1"/>
  <c r="I122" i="34" s="1"/>
  <c r="K122" i="34" s="1"/>
  <c r="F115" i="25" s="1"/>
  <c r="G102" i="13"/>
  <c r="H102" i="13" s="1"/>
  <c r="I102" i="13" s="1"/>
  <c r="J102" i="13" s="1"/>
  <c r="H108" i="34" s="1"/>
  <c r="I108" i="34" s="1"/>
  <c r="K108" i="34" s="1"/>
  <c r="F101" i="25" s="1"/>
  <c r="G250" i="13"/>
  <c r="H250" i="13" s="1"/>
  <c r="I250" i="13" s="1"/>
  <c r="J250" i="13" s="1"/>
  <c r="H256" i="34" s="1"/>
  <c r="I256" i="34" s="1"/>
  <c r="K256" i="34" s="1"/>
  <c r="F249" i="25" s="1"/>
  <c r="G303" i="13"/>
  <c r="H303" i="13" s="1"/>
  <c r="I303" i="13" s="1"/>
  <c r="J303" i="13" s="1"/>
  <c r="H309" i="34" s="1"/>
  <c r="I309" i="34" s="1"/>
  <c r="K309" i="34" s="1"/>
  <c r="F302" i="25" s="1"/>
  <c r="G247" i="13"/>
  <c r="H247" i="13" s="1"/>
  <c r="I247" i="13" s="1"/>
  <c r="J247" i="13" s="1"/>
  <c r="H253" i="34" s="1"/>
  <c r="I253" i="34" s="1"/>
  <c r="K253" i="34" s="1"/>
  <c r="F246" i="25" s="1"/>
  <c r="G279" i="13"/>
  <c r="H279" i="13" s="1"/>
  <c r="I279" i="13" s="1"/>
  <c r="J279" i="13" s="1"/>
  <c r="H285" i="34" s="1"/>
  <c r="I285" i="34" s="1"/>
  <c r="K285" i="34" s="1"/>
  <c r="F278" i="25" s="1"/>
  <c r="G277" i="13"/>
  <c r="H277" i="13" s="1"/>
  <c r="I277" i="13" s="1"/>
  <c r="J277" i="13" s="1"/>
  <c r="H283" i="34" s="1"/>
  <c r="I283" i="34" s="1"/>
  <c r="K283" i="34" s="1"/>
  <c r="F276" i="25" s="1"/>
  <c r="G60" i="13"/>
  <c r="H60" i="13" s="1"/>
  <c r="I60" i="13" s="1"/>
  <c r="J60" i="13" s="1"/>
  <c r="H66" i="34" s="1"/>
  <c r="I66" i="34" s="1"/>
  <c r="K66" i="34" s="1"/>
  <c r="F59" i="25" s="1"/>
  <c r="G135" i="13"/>
  <c r="H135" i="13" s="1"/>
  <c r="I135" i="13" s="1"/>
  <c r="J135" i="13" s="1"/>
  <c r="H141" i="34" s="1"/>
  <c r="I141" i="34" s="1"/>
  <c r="K141" i="34" s="1"/>
  <c r="F134" i="25" s="1"/>
  <c r="G101" i="13"/>
  <c r="H101" i="13" s="1"/>
  <c r="I101" i="13" s="1"/>
  <c r="J101" i="13" s="1"/>
  <c r="H107" i="34" s="1"/>
  <c r="I107" i="34" s="1"/>
  <c r="K107" i="34" s="1"/>
  <c r="F100" i="25" s="1"/>
  <c r="G270" i="13"/>
  <c r="H270" i="13" s="1"/>
  <c r="I270" i="13" s="1"/>
  <c r="J270" i="13" s="1"/>
  <c r="H276" i="34" s="1"/>
  <c r="I276" i="34" s="1"/>
  <c r="K276" i="34" s="1"/>
  <c r="F269" i="25" s="1"/>
  <c r="G243" i="13"/>
  <c r="H243" i="13" s="1"/>
  <c r="I243" i="13" s="1"/>
  <c r="J243" i="13" s="1"/>
  <c r="H249" i="34" s="1"/>
  <c r="I249" i="34" s="1"/>
  <c r="K249" i="34" s="1"/>
  <c r="F242" i="25" s="1"/>
  <c r="G86" i="13"/>
  <c r="H86" i="13" s="1"/>
  <c r="I86" i="13" s="1"/>
  <c r="J86" i="13" s="1"/>
  <c r="H92" i="34" s="1"/>
  <c r="I92" i="34" s="1"/>
  <c r="K92" i="34" s="1"/>
  <c r="F85" i="25" s="1"/>
  <c r="G168" i="13"/>
  <c r="H168" i="13" s="1"/>
  <c r="I168" i="13" s="1"/>
  <c r="J168" i="13" s="1"/>
  <c r="H174" i="34" s="1"/>
  <c r="I174" i="34" s="1"/>
  <c r="K174" i="34" s="1"/>
  <c r="F167" i="25" s="1"/>
  <c r="G232" i="13"/>
  <c r="H232" i="13" s="1"/>
  <c r="I232" i="13" s="1"/>
  <c r="J232" i="13" s="1"/>
  <c r="H238" i="34" s="1"/>
  <c r="I238" i="34" s="1"/>
  <c r="K238" i="34" s="1"/>
  <c r="F231" i="25" s="1"/>
  <c r="G257" i="13"/>
  <c r="H257" i="13" s="1"/>
  <c r="I257" i="13" s="1"/>
  <c r="J257" i="13" s="1"/>
  <c r="H263" i="34" s="1"/>
  <c r="I263" i="34" s="1"/>
  <c r="K263" i="34" s="1"/>
  <c r="F256" i="25" s="1"/>
  <c r="G49" i="13"/>
  <c r="H49" i="13" s="1"/>
  <c r="I49" i="13" s="1"/>
  <c r="J49" i="13" s="1"/>
  <c r="H55" i="34" s="1"/>
  <c r="I55" i="34" s="1"/>
  <c r="K55" i="34" s="1"/>
  <c r="F48" i="25" s="1"/>
  <c r="G81" i="13"/>
  <c r="H81" i="13" s="1"/>
  <c r="I81" i="13" s="1"/>
  <c r="J81" i="13" s="1"/>
  <c r="H87" i="34" s="1"/>
  <c r="I87" i="34" s="1"/>
  <c r="K87" i="34" s="1"/>
  <c r="F80" i="25" s="1"/>
  <c r="G226" i="13"/>
  <c r="H226" i="13" s="1"/>
  <c r="I226" i="13" s="1"/>
  <c r="J226" i="13" s="1"/>
  <c r="H232" i="34" s="1"/>
  <c r="I232" i="34" s="1"/>
  <c r="K232" i="34" s="1"/>
  <c r="F225" i="25" s="1"/>
  <c r="G255" i="13"/>
  <c r="H255" i="13" s="1"/>
  <c r="I255" i="13" s="1"/>
  <c r="J255" i="13" s="1"/>
  <c r="H261" i="34" s="1"/>
  <c r="I261" i="34" s="1"/>
  <c r="K261" i="34" s="1"/>
  <c r="F254" i="25" s="1"/>
  <c r="G118" i="13"/>
  <c r="H118" i="13" s="1"/>
  <c r="I118" i="13" s="1"/>
  <c r="J118" i="13" s="1"/>
  <c r="H124" i="34" s="1"/>
  <c r="I124" i="34" s="1"/>
  <c r="K124" i="34" s="1"/>
  <c r="F117" i="25" s="1"/>
  <c r="G165" i="13"/>
  <c r="H165" i="13" s="1"/>
  <c r="I165" i="13" s="1"/>
  <c r="J165" i="13" s="1"/>
  <c r="H171" i="34" s="1"/>
  <c r="I171" i="34" s="1"/>
  <c r="K171" i="34" s="1"/>
  <c r="F164" i="25" s="1"/>
  <c r="G88" i="13"/>
  <c r="H88" i="13" s="1"/>
  <c r="I88" i="13" s="1"/>
  <c r="J88" i="13" s="1"/>
  <c r="H94" i="34" s="1"/>
  <c r="I94" i="34" s="1"/>
  <c r="K94" i="34" s="1"/>
  <c r="F87" i="25" s="1"/>
  <c r="G12" i="13"/>
  <c r="H12" i="13" s="1"/>
  <c r="I12" i="13" s="1"/>
  <c r="J12" i="13" s="1"/>
  <c r="G89" i="13"/>
  <c r="H89" i="13" s="1"/>
  <c r="I89" i="13" s="1"/>
  <c r="J89" i="13" s="1"/>
  <c r="H95" i="34" s="1"/>
  <c r="I95" i="34" s="1"/>
  <c r="K95" i="34" s="1"/>
  <c r="F88" i="25" s="1"/>
  <c r="G37" i="13"/>
  <c r="H37" i="13" s="1"/>
  <c r="I37" i="13" s="1"/>
  <c r="J37" i="13" s="1"/>
  <c r="H43" i="34" s="1"/>
  <c r="I43" i="34" s="1"/>
  <c r="K43" i="34" s="1"/>
  <c r="F36" i="25" s="1"/>
  <c r="G149" i="13"/>
  <c r="H149" i="13" s="1"/>
  <c r="I149" i="13" s="1"/>
  <c r="J149" i="13" s="1"/>
  <c r="H155" i="34" s="1"/>
  <c r="I155" i="34" s="1"/>
  <c r="K155" i="34" s="1"/>
  <c r="F148" i="25" s="1"/>
  <c r="G182" i="13"/>
  <c r="H182" i="13" s="1"/>
  <c r="I182" i="13" s="1"/>
  <c r="J182" i="13" s="1"/>
  <c r="H188" i="34" s="1"/>
  <c r="I188" i="34" s="1"/>
  <c r="K188" i="34" s="1"/>
  <c r="F181" i="25" s="1"/>
  <c r="G171" i="13"/>
  <c r="H171" i="13" s="1"/>
  <c r="I171" i="13" s="1"/>
  <c r="J171" i="13" s="1"/>
  <c r="H177" i="34" s="1"/>
  <c r="I177" i="34" s="1"/>
  <c r="K177" i="34" s="1"/>
  <c r="F170" i="25" s="1"/>
  <c r="G283" i="13"/>
  <c r="H283" i="13" s="1"/>
  <c r="I283" i="13" s="1"/>
  <c r="J283" i="13" s="1"/>
  <c r="H289" i="34" s="1"/>
  <c r="I289" i="34" s="1"/>
  <c r="K289" i="34" s="1"/>
  <c r="F282" i="25" s="1"/>
  <c r="G208" i="13"/>
  <c r="H208" i="13" s="1"/>
  <c r="I208" i="13" s="1"/>
  <c r="J208" i="13" s="1"/>
  <c r="H214" i="34" s="1"/>
  <c r="I214" i="34" s="1"/>
  <c r="K214" i="34" s="1"/>
  <c r="F207" i="25" s="1"/>
  <c r="G272" i="13"/>
  <c r="H272" i="13" s="1"/>
  <c r="I272" i="13" s="1"/>
  <c r="J272" i="13" s="1"/>
  <c r="H278" i="34" s="1"/>
  <c r="I278" i="34" s="1"/>
  <c r="K278" i="34" s="1"/>
  <c r="F271" i="25" s="1"/>
  <c r="G205" i="13"/>
  <c r="H205" i="13" s="1"/>
  <c r="I205" i="13" s="1"/>
  <c r="J205" i="13" s="1"/>
  <c r="H211" i="34" s="1"/>
  <c r="I211" i="34" s="1"/>
  <c r="K211" i="34" s="1"/>
  <c r="F204" i="25" s="1"/>
  <c r="G34" i="13"/>
  <c r="H34" i="13" s="1"/>
  <c r="I34" i="13" s="1"/>
  <c r="J34" i="13" s="1"/>
  <c r="H40" i="34" s="1"/>
  <c r="I40" i="34" s="1"/>
  <c r="K40" i="34" s="1"/>
  <c r="F33" i="25" s="1"/>
  <c r="G39" i="13"/>
  <c r="H39" i="13" s="1"/>
  <c r="I39" i="13" s="1"/>
  <c r="J39" i="13" s="1"/>
  <c r="H45" i="34" s="1"/>
  <c r="I45" i="34" s="1"/>
  <c r="K45" i="34" s="1"/>
  <c r="F38" i="25" s="1"/>
  <c r="G25" i="13"/>
  <c r="H25" i="13" s="1"/>
  <c r="I25" i="13" s="1"/>
  <c r="J25" i="13" s="1"/>
  <c r="H31" i="34" s="1"/>
  <c r="I31" i="34" s="1"/>
  <c r="K31" i="34" s="1"/>
  <c r="F24" i="25" s="1"/>
  <c r="G170" i="13"/>
  <c r="H170" i="13" s="1"/>
  <c r="I170" i="13" s="1"/>
  <c r="J170" i="13" s="1"/>
  <c r="H176" i="34" s="1"/>
  <c r="I176" i="34" s="1"/>
  <c r="K176" i="34" s="1"/>
  <c r="F169" i="25" s="1"/>
  <c r="G202" i="13"/>
  <c r="H202" i="13" s="1"/>
  <c r="I202" i="13" s="1"/>
  <c r="J202" i="13" s="1"/>
  <c r="H208" i="34" s="1"/>
  <c r="I208" i="34" s="1"/>
  <c r="K208" i="34" s="1"/>
  <c r="F201" i="25" s="1"/>
  <c r="G282" i="13"/>
  <c r="H282" i="13" s="1"/>
  <c r="I282" i="13" s="1"/>
  <c r="J282" i="13" s="1"/>
  <c r="H288" i="34" s="1"/>
  <c r="I288" i="34" s="1"/>
  <c r="K288" i="34" s="1"/>
  <c r="F281" i="25" s="1"/>
  <c r="G188" i="13"/>
  <c r="H188" i="13" s="1"/>
  <c r="I188" i="13" s="1"/>
  <c r="J188" i="13" s="1"/>
  <c r="H194" i="34" s="1"/>
  <c r="I194" i="34" s="1"/>
  <c r="K194" i="34" s="1"/>
  <c r="F187" i="25" s="1"/>
  <c r="G199" i="13"/>
  <c r="H199" i="13" s="1"/>
  <c r="I199" i="13" s="1"/>
  <c r="J199" i="13" s="1"/>
  <c r="H205" i="34" s="1"/>
  <c r="I205" i="34" s="1"/>
  <c r="K205" i="34" s="1"/>
  <c r="F198" i="25" s="1"/>
  <c r="G24" i="13"/>
  <c r="H24" i="13" s="1"/>
  <c r="I24" i="13" s="1"/>
  <c r="J24" i="13" s="1"/>
  <c r="H30" i="34" s="1"/>
  <c r="I30" i="34" s="1"/>
  <c r="K30" i="34" s="1"/>
  <c r="F23" i="25" s="1"/>
  <c r="G70" i="13"/>
  <c r="H70" i="13" s="1"/>
  <c r="I70" i="13" s="1"/>
  <c r="J70" i="13" s="1"/>
  <c r="H76" i="34" s="1"/>
  <c r="I76" i="34" s="1"/>
  <c r="K76" i="34" s="1"/>
  <c r="F69" i="25" s="1"/>
  <c r="G82" i="13"/>
  <c r="H82" i="13" s="1"/>
  <c r="I82" i="13" s="1"/>
  <c r="J82" i="13" s="1"/>
  <c r="H88" i="34" s="1"/>
  <c r="I88" i="34" s="1"/>
  <c r="K88" i="34" s="1"/>
  <c r="F81" i="25" s="1"/>
  <c r="G23" i="13"/>
  <c r="H23" i="13" s="1"/>
  <c r="I23" i="13" s="1"/>
  <c r="J23" i="13" s="1"/>
  <c r="H29" i="34" s="1"/>
  <c r="I29" i="34" s="1"/>
  <c r="K29" i="34" s="1"/>
  <c r="F22" i="25" s="1"/>
  <c r="G45" i="13"/>
  <c r="H45" i="13" s="1"/>
  <c r="I45" i="13" s="1"/>
  <c r="J45" i="13" s="1"/>
  <c r="H51" i="34" s="1"/>
  <c r="I51" i="34" s="1"/>
  <c r="K51" i="34" s="1"/>
  <c r="F44" i="25" s="1"/>
  <c r="G254" i="13"/>
  <c r="H254" i="13" s="1"/>
  <c r="I254" i="13" s="1"/>
  <c r="J254" i="13" s="1"/>
  <c r="H260" i="34" s="1"/>
  <c r="I260" i="34" s="1"/>
  <c r="K260" i="34" s="1"/>
  <c r="F253" i="25" s="1"/>
  <c r="G163" i="13"/>
  <c r="H163" i="13" s="1"/>
  <c r="I163" i="13" s="1"/>
  <c r="J163" i="13" s="1"/>
  <c r="H169" i="34" s="1"/>
  <c r="I169" i="34" s="1"/>
  <c r="K169" i="34" s="1"/>
  <c r="F162" i="25" s="1"/>
  <c r="G227" i="13"/>
  <c r="H227" i="13" s="1"/>
  <c r="I227" i="13" s="1"/>
  <c r="J227" i="13" s="1"/>
  <c r="H233" i="34" s="1"/>
  <c r="I233" i="34" s="1"/>
  <c r="K233" i="34" s="1"/>
  <c r="F226" i="25" s="1"/>
  <c r="G145" i="13"/>
  <c r="H145" i="13" s="1"/>
  <c r="I145" i="13" s="1"/>
  <c r="J145" i="13" s="1"/>
  <c r="H151" i="34" s="1"/>
  <c r="I151" i="34" s="1"/>
  <c r="K151" i="34" s="1"/>
  <c r="F144" i="25" s="1"/>
  <c r="G286" i="13"/>
  <c r="H286" i="13" s="1"/>
  <c r="I286" i="13" s="1"/>
  <c r="J286" i="13" s="1"/>
  <c r="H292" i="34" s="1"/>
  <c r="I292" i="34" s="1"/>
  <c r="K292" i="34" s="1"/>
  <c r="F285" i="25" s="1"/>
  <c r="G196" i="13"/>
  <c r="H196" i="13" s="1"/>
  <c r="I196" i="13" s="1"/>
  <c r="J196" i="13" s="1"/>
  <c r="H202" i="34" s="1"/>
  <c r="I202" i="34" s="1"/>
  <c r="K202" i="34" s="1"/>
  <c r="F195" i="25" s="1"/>
  <c r="G260" i="13"/>
  <c r="H260" i="13" s="1"/>
  <c r="I260" i="13" s="1"/>
  <c r="J260" i="13" s="1"/>
  <c r="H266" i="34" s="1"/>
  <c r="I266" i="34" s="1"/>
  <c r="K266" i="34" s="1"/>
  <c r="F259" i="25" s="1"/>
  <c r="G207" i="13"/>
  <c r="H207" i="13" s="1"/>
  <c r="I207" i="13" s="1"/>
  <c r="J207" i="13" s="1"/>
  <c r="H213" i="34" s="1"/>
  <c r="I213" i="34" s="1"/>
  <c r="K213" i="34" s="1"/>
  <c r="F206" i="25" s="1"/>
  <c r="G8" i="13"/>
  <c r="H8" i="13" s="1"/>
  <c r="I8" i="13" s="1"/>
  <c r="J8" i="13" s="1"/>
  <c r="G15" i="13"/>
  <c r="H15" i="13" s="1"/>
  <c r="I15" i="13" s="1"/>
  <c r="J15" i="13" s="1"/>
  <c r="H21" i="34" s="1"/>
  <c r="I21" i="34" s="1"/>
  <c r="K21" i="34" s="1"/>
  <c r="F14" i="25" s="1"/>
  <c r="G181" i="13"/>
  <c r="H181" i="13" s="1"/>
  <c r="I181" i="13" s="1"/>
  <c r="J181" i="13" s="1"/>
  <c r="H187" i="34" s="1"/>
  <c r="I187" i="34" s="1"/>
  <c r="K187" i="34" s="1"/>
  <c r="F180" i="25" s="1"/>
  <c r="G109" i="13"/>
  <c r="H109" i="13" s="1"/>
  <c r="I109" i="13" s="1"/>
  <c r="J109" i="13" s="1"/>
  <c r="H115" i="34" s="1"/>
  <c r="I115" i="34" s="1"/>
  <c r="K115" i="34" s="1"/>
  <c r="F108" i="25" s="1"/>
  <c r="G246" i="13"/>
  <c r="H246" i="13" s="1"/>
  <c r="I246" i="13" s="1"/>
  <c r="J246" i="13" s="1"/>
  <c r="H252" i="34" s="1"/>
  <c r="I252" i="34" s="1"/>
  <c r="K252" i="34" s="1"/>
  <c r="F245" i="25" s="1"/>
  <c r="G235" i="13"/>
  <c r="H235" i="13" s="1"/>
  <c r="I235" i="13" s="1"/>
  <c r="J235" i="13" s="1"/>
  <c r="H241" i="34" s="1"/>
  <c r="I241" i="34" s="1"/>
  <c r="K241" i="34" s="1"/>
  <c r="F234" i="25" s="1"/>
  <c r="G156" i="13"/>
  <c r="H156" i="13" s="1"/>
  <c r="I156" i="13" s="1"/>
  <c r="J156" i="13" s="1"/>
  <c r="H162" i="34" s="1"/>
  <c r="I162" i="34" s="1"/>
  <c r="K162" i="34" s="1"/>
  <c r="F155" i="25" s="1"/>
  <c r="G261" i="13"/>
  <c r="H261" i="13" s="1"/>
  <c r="I261" i="13" s="1"/>
  <c r="J261" i="13" s="1"/>
  <c r="H267" i="34" s="1"/>
  <c r="I267" i="34" s="1"/>
  <c r="K267" i="34" s="1"/>
  <c r="F260" i="25" s="1"/>
  <c r="G68" i="13"/>
  <c r="H68" i="13" s="1"/>
  <c r="I68" i="13" s="1"/>
  <c r="J68" i="13" s="1"/>
  <c r="H74" i="34" s="1"/>
  <c r="I74" i="34" s="1"/>
  <c r="K74" i="34" s="1"/>
  <c r="F67" i="25" s="1"/>
  <c r="G42" i="13"/>
  <c r="H42" i="13" s="1"/>
  <c r="I42" i="13" s="1"/>
  <c r="J42" i="13" s="1"/>
  <c r="H48" i="34" s="1"/>
  <c r="I48" i="34" s="1"/>
  <c r="K48" i="34" s="1"/>
  <c r="F41" i="25" s="1"/>
  <c r="G185" i="13"/>
  <c r="H185" i="13" s="1"/>
  <c r="I185" i="13" s="1"/>
  <c r="J185" i="13" s="1"/>
  <c r="H191" i="34" s="1"/>
  <c r="I191" i="34" s="1"/>
  <c r="K191" i="34" s="1"/>
  <c r="F184" i="25" s="1"/>
  <c r="G97" i="13"/>
  <c r="H97" i="13" s="1"/>
  <c r="I97" i="13" s="1"/>
  <c r="J97" i="13" s="1"/>
  <c r="H103" i="34" s="1"/>
  <c r="I103" i="34" s="1"/>
  <c r="K103" i="34" s="1"/>
  <c r="F96" i="25" s="1"/>
  <c r="G266" i="13"/>
  <c r="H266" i="13" s="1"/>
  <c r="I266" i="13" s="1"/>
  <c r="J266" i="13" s="1"/>
  <c r="H272" i="34" s="1"/>
  <c r="I272" i="34" s="1"/>
  <c r="K272" i="34" s="1"/>
  <c r="F265" i="25" s="1"/>
  <c r="G287" i="13"/>
  <c r="H287" i="13" s="1"/>
  <c r="I287" i="13" s="1"/>
  <c r="J287" i="13" s="1"/>
  <c r="H293" i="34" s="1"/>
  <c r="I293" i="34" s="1"/>
  <c r="K293" i="34" s="1"/>
  <c r="F286" i="25" s="1"/>
  <c r="G263" i="13"/>
  <c r="H263" i="13" s="1"/>
  <c r="I263" i="13" s="1"/>
  <c r="J263" i="13" s="1"/>
  <c r="H269" i="34" s="1"/>
  <c r="I269" i="34" s="1"/>
  <c r="K269" i="34" s="1"/>
  <c r="F262" i="25" s="1"/>
  <c r="G173" i="13"/>
  <c r="H173" i="13" s="1"/>
  <c r="I173" i="13" s="1"/>
  <c r="J173" i="13" s="1"/>
  <c r="G213" i="13"/>
  <c r="H213" i="13" s="1"/>
  <c r="I213" i="13" s="1"/>
  <c r="J213" i="13" s="1"/>
  <c r="H219" i="34" s="1"/>
  <c r="I219" i="34" s="1"/>
  <c r="K219" i="34" s="1"/>
  <c r="F212" i="25" s="1"/>
  <c r="G100" i="13"/>
  <c r="H100" i="13" s="1"/>
  <c r="I100" i="13" s="1"/>
  <c r="J100" i="13" s="1"/>
  <c r="H106" i="34" s="1"/>
  <c r="I106" i="34" s="1"/>
  <c r="K106" i="34" s="1"/>
  <c r="F99" i="25" s="1"/>
  <c r="G108" i="13"/>
  <c r="H108" i="13" s="1"/>
  <c r="I108" i="13" s="1"/>
  <c r="J108" i="13" s="1"/>
  <c r="H114" i="34" s="1"/>
  <c r="I114" i="34" s="1"/>
  <c r="K114" i="34" s="1"/>
  <c r="F107" i="25" s="1"/>
  <c r="G305" i="13"/>
  <c r="H305" i="13" s="1"/>
  <c r="I305" i="13" s="1"/>
  <c r="J305" i="13" s="1"/>
  <c r="G99" i="13"/>
  <c r="H99" i="13" s="1"/>
  <c r="I99" i="13" s="1"/>
  <c r="J99" i="13" s="1"/>
  <c r="H105" i="34" s="1"/>
  <c r="I105" i="34" s="1"/>
  <c r="K105" i="34" s="1"/>
  <c r="F98" i="25" s="1"/>
  <c r="G87" i="13"/>
  <c r="H87" i="13" s="1"/>
  <c r="I87" i="13" s="1"/>
  <c r="J87" i="13" s="1"/>
  <c r="H93" i="34" s="1"/>
  <c r="I93" i="34" s="1"/>
  <c r="K93" i="34" s="1"/>
  <c r="F86" i="25" s="1"/>
  <c r="G248" i="13"/>
  <c r="H248" i="13" s="1"/>
  <c r="I248" i="13" s="1"/>
  <c r="J248" i="13" s="1"/>
  <c r="H254" i="34" s="1"/>
  <c r="I254" i="34" s="1"/>
  <c r="K254" i="34" s="1"/>
  <c r="F247" i="25" s="1"/>
  <c r="G301" i="13"/>
  <c r="I301" i="13" s="1"/>
  <c r="J301" i="13" s="1"/>
  <c r="H307" i="34" s="1"/>
  <c r="I307" i="34" s="1"/>
  <c r="K307" i="34" s="1"/>
  <c r="F300" i="25" s="1"/>
  <c r="G253" i="13"/>
  <c r="H253" i="13" s="1"/>
  <c r="I253" i="13" s="1"/>
  <c r="J253" i="13" s="1"/>
  <c r="H259" i="34" s="1"/>
  <c r="I259" i="34" s="1"/>
  <c r="K259" i="34" s="1"/>
  <c r="F252" i="25" s="1"/>
  <c r="G85" i="13"/>
  <c r="H85" i="13" s="1"/>
  <c r="I85" i="13" s="1"/>
  <c r="J85" i="13" s="1"/>
  <c r="H91" i="34" s="1"/>
  <c r="I91" i="34" s="1"/>
  <c r="K91" i="34" s="1"/>
  <c r="F84" i="25" s="1"/>
  <c r="G129" i="13"/>
  <c r="H129" i="13" s="1"/>
  <c r="I129" i="13" s="1"/>
  <c r="J129" i="13" s="1"/>
  <c r="H135" i="34" s="1"/>
  <c r="I135" i="34" s="1"/>
  <c r="K135" i="34" s="1"/>
  <c r="F128" i="25" s="1"/>
  <c r="G194" i="13"/>
  <c r="H194" i="13" s="1"/>
  <c r="I194" i="13" s="1"/>
  <c r="J194" i="13" s="1"/>
  <c r="H200" i="34" s="1"/>
  <c r="I200" i="34" s="1"/>
  <c r="K200" i="34" s="1"/>
  <c r="F193" i="25" s="1"/>
  <c r="G164" i="13"/>
  <c r="H164" i="13" s="1"/>
  <c r="I164" i="13" s="1"/>
  <c r="J164" i="13" s="1"/>
  <c r="H170" i="34" s="1"/>
  <c r="I170" i="34" s="1"/>
  <c r="K170" i="34" s="1"/>
  <c r="F163" i="25" s="1"/>
  <c r="G154" i="13"/>
  <c r="H154" i="13" s="1"/>
  <c r="I154" i="13" s="1"/>
  <c r="J154" i="13" s="1"/>
  <c r="H160" i="34" s="1"/>
  <c r="I160" i="34" s="1"/>
  <c r="K160" i="34" s="1"/>
  <c r="F153" i="25" s="1"/>
  <c r="G67" i="13"/>
  <c r="H67" i="13" s="1"/>
  <c r="I67" i="13" s="1"/>
  <c r="J67" i="13" s="1"/>
  <c r="H73" i="34" s="1"/>
  <c r="I73" i="34" s="1"/>
  <c r="K73" i="34" s="1"/>
  <c r="F66" i="25" s="1"/>
  <c r="G22" i="13"/>
  <c r="H22" i="13" s="1"/>
  <c r="I22" i="13" s="1"/>
  <c r="J22" i="13" s="1"/>
  <c r="H28" i="34" s="1"/>
  <c r="I28" i="34" s="1"/>
  <c r="K28" i="34" s="1"/>
  <c r="F21" i="25" s="1"/>
  <c r="G119" i="13"/>
  <c r="H119" i="13" s="1"/>
  <c r="I119" i="13" s="1"/>
  <c r="J119" i="13" s="1"/>
  <c r="H125" i="34" s="1"/>
  <c r="I125" i="34" s="1"/>
  <c r="K125" i="34" s="1"/>
  <c r="F118" i="25" s="1"/>
  <c r="G75" i="13"/>
  <c r="H75" i="13" s="1"/>
  <c r="I75" i="13" s="1"/>
  <c r="J75" i="13" s="1"/>
  <c r="H81" i="34" s="1"/>
  <c r="I81" i="34" s="1"/>
  <c r="K81" i="34" s="1"/>
  <c r="F74" i="25" s="1"/>
  <c r="G53" i="13"/>
  <c r="H53" i="13" s="1"/>
  <c r="I53" i="13" s="1"/>
  <c r="J53" i="13" s="1"/>
  <c r="H59" i="34" s="1"/>
  <c r="I59" i="34" s="1"/>
  <c r="K59" i="34" s="1"/>
  <c r="F52" i="25" s="1"/>
  <c r="G214" i="13"/>
  <c r="H214" i="13" s="1"/>
  <c r="I214" i="13" s="1"/>
  <c r="J214" i="13" s="1"/>
  <c r="H220" i="34" s="1"/>
  <c r="I220" i="34" s="1"/>
  <c r="K220" i="34" s="1"/>
  <c r="F213" i="25" s="1"/>
  <c r="G187" i="13"/>
  <c r="H187" i="13" s="1"/>
  <c r="I187" i="13" s="1"/>
  <c r="J187" i="13" s="1"/>
  <c r="H193" i="34" s="1"/>
  <c r="I193" i="34" s="1"/>
  <c r="K193" i="34" s="1"/>
  <c r="F186" i="25" s="1"/>
  <c r="G91" i="13"/>
  <c r="H91" i="13" s="1"/>
  <c r="I91" i="13" s="1"/>
  <c r="J91" i="13" s="1"/>
  <c r="H97" i="34" s="1"/>
  <c r="I97" i="34" s="1"/>
  <c r="K97" i="34" s="1"/>
  <c r="F90" i="25" s="1"/>
  <c r="G240" i="13"/>
  <c r="H240" i="13" s="1"/>
  <c r="I240" i="13" s="1"/>
  <c r="J240" i="13" s="1"/>
  <c r="H246" i="34" s="1"/>
  <c r="I246" i="34" s="1"/>
  <c r="K246" i="34" s="1"/>
  <c r="F239" i="25" s="1"/>
  <c r="G193" i="13"/>
  <c r="H193" i="13" s="1"/>
  <c r="I193" i="13" s="1"/>
  <c r="J193" i="13" s="1"/>
  <c r="H199" i="34" s="1"/>
  <c r="I199" i="34" s="1"/>
  <c r="K199" i="34" s="1"/>
  <c r="F192" i="25" s="1"/>
  <c r="G139" i="13"/>
  <c r="H139" i="13" s="1"/>
  <c r="I139" i="13" s="1"/>
  <c r="J139" i="13" s="1"/>
  <c r="H145" i="34" s="1"/>
  <c r="I145" i="34" s="1"/>
  <c r="K145" i="34" s="1"/>
  <c r="F138" i="25" s="1"/>
  <c r="G143" i="13"/>
  <c r="H143" i="13" s="1"/>
  <c r="I143" i="13" s="1"/>
  <c r="J143" i="13" s="1"/>
  <c r="H149" i="34" s="1"/>
  <c r="I149" i="34" s="1"/>
  <c r="K149" i="34" s="1"/>
  <c r="F142" i="25" s="1"/>
  <c r="G265" i="13"/>
  <c r="H265" i="13" s="1"/>
  <c r="I265" i="13" s="1"/>
  <c r="J265" i="13" s="1"/>
  <c r="H271" i="34" s="1"/>
  <c r="I271" i="34" s="1"/>
  <c r="K271" i="34" s="1"/>
  <c r="F264" i="25" s="1"/>
  <c r="G120" i="13"/>
  <c r="H120" i="13" s="1"/>
  <c r="I120" i="13" s="1"/>
  <c r="J120" i="13" s="1"/>
  <c r="H126" i="34" s="1"/>
  <c r="I126" i="34" s="1"/>
  <c r="K126" i="34" s="1"/>
  <c r="F119" i="25" s="1"/>
  <c r="G63" i="13"/>
  <c r="H63" i="13" s="1"/>
  <c r="I63" i="13" s="1"/>
  <c r="J63" i="13" s="1"/>
  <c r="H69" i="34" s="1"/>
  <c r="I69" i="34" s="1"/>
  <c r="K69" i="34" s="1"/>
  <c r="F62" i="25" s="1"/>
  <c r="G177" i="13"/>
  <c r="H177" i="13" s="1"/>
  <c r="I177" i="13" s="1"/>
  <c r="J177" i="13" s="1"/>
  <c r="H183" i="34" s="1"/>
  <c r="I183" i="34" s="1"/>
  <c r="K183" i="34" s="1"/>
  <c r="F176" i="25" s="1"/>
  <c r="G297" i="13"/>
  <c r="H297" i="13" s="1"/>
  <c r="I297" i="13" s="1"/>
  <c r="J297" i="13" s="1"/>
  <c r="H303" i="34" s="1"/>
  <c r="I303" i="34" s="1"/>
  <c r="K303" i="34" s="1"/>
  <c r="F296" i="25" s="1"/>
  <c r="G218" i="13"/>
  <c r="H218" i="13" s="1"/>
  <c r="I218" i="13" s="1"/>
  <c r="J218" i="13" s="1"/>
  <c r="H224" i="34" s="1"/>
  <c r="I224" i="34" s="1"/>
  <c r="K224" i="34" s="1"/>
  <c r="F217" i="25" s="1"/>
  <c r="G95" i="13"/>
  <c r="H95" i="13" s="1"/>
  <c r="I95" i="13" s="1"/>
  <c r="J95" i="13" s="1"/>
  <c r="H101" i="34" s="1"/>
  <c r="I101" i="34" s="1"/>
  <c r="K101" i="34" s="1"/>
  <c r="F94" i="25" s="1"/>
  <c r="G123" i="13"/>
  <c r="H123" i="13" s="1"/>
  <c r="I123" i="13" s="1"/>
  <c r="J123" i="13" s="1"/>
  <c r="H129" i="34" s="1"/>
  <c r="I129" i="34" s="1"/>
  <c r="K129" i="34" s="1"/>
  <c r="F122" i="25" s="1"/>
  <c r="G146" i="13"/>
  <c r="H146" i="13" s="1"/>
  <c r="I146" i="13" s="1"/>
  <c r="J146" i="13" s="1"/>
  <c r="H152" i="34" s="1"/>
  <c r="I152" i="34" s="1"/>
  <c r="K152" i="34" s="1"/>
  <c r="F145" i="25" s="1"/>
  <c r="G38" i="13"/>
  <c r="H38" i="13" s="1"/>
  <c r="I38" i="13" s="1"/>
  <c r="J38" i="13" s="1"/>
  <c r="H44" i="34" s="1"/>
  <c r="I44" i="34" s="1"/>
  <c r="K44" i="34" s="1"/>
  <c r="F37" i="25" s="1"/>
  <c r="G71" i="13"/>
  <c r="H71" i="13" s="1"/>
  <c r="I71" i="13" s="1"/>
  <c r="J71" i="13" s="1"/>
  <c r="H77" i="34" s="1"/>
  <c r="I77" i="34" s="1"/>
  <c r="K77" i="34" s="1"/>
  <c r="F70" i="25" s="1"/>
  <c r="G245" i="13"/>
  <c r="H245" i="13" s="1"/>
  <c r="I245" i="13" s="1"/>
  <c r="J245" i="13" s="1"/>
  <c r="H251" i="34" s="1"/>
  <c r="I251" i="34" s="1"/>
  <c r="K251" i="34" s="1"/>
  <c r="F244" i="25" s="1"/>
  <c r="G249" i="13"/>
  <c r="H249" i="13" s="1"/>
  <c r="I249" i="13" s="1"/>
  <c r="J249" i="13" s="1"/>
  <c r="H255" i="34" s="1"/>
  <c r="I255" i="34" s="1"/>
  <c r="K255" i="34" s="1"/>
  <c r="F248" i="25" s="1"/>
  <c r="G144" i="13"/>
  <c r="H144" i="13" s="1"/>
  <c r="I144" i="13" s="1"/>
  <c r="J144" i="13" s="1"/>
  <c r="H150" i="34" s="1"/>
  <c r="I150" i="34" s="1"/>
  <c r="K150" i="34" s="1"/>
  <c r="F143" i="25" s="1"/>
  <c r="G52" i="13"/>
  <c r="H52" i="13" s="1"/>
  <c r="I52" i="13" s="1"/>
  <c r="J52" i="13" s="1"/>
  <c r="H58" i="34" s="1"/>
  <c r="I58" i="34" s="1"/>
  <c r="K58" i="34" s="1"/>
  <c r="F51" i="25" s="1"/>
  <c r="G13" i="13"/>
  <c r="H13" i="13" s="1"/>
  <c r="I13" i="13" s="1"/>
  <c r="J13" i="13" s="1"/>
  <c r="G110" i="13"/>
  <c r="H110" i="13" s="1"/>
  <c r="I110" i="13" s="1"/>
  <c r="J110" i="13" s="1"/>
  <c r="H116" i="34" s="1"/>
  <c r="I116" i="34" s="1"/>
  <c r="K116" i="34" s="1"/>
  <c r="F109" i="25" s="1"/>
  <c r="G158" i="13"/>
  <c r="H158" i="13" s="1"/>
  <c r="I158" i="13" s="1"/>
  <c r="J158" i="13" s="1"/>
  <c r="H164" i="34" s="1"/>
  <c r="I164" i="34" s="1"/>
  <c r="K164" i="34" s="1"/>
  <c r="F157" i="25" s="1"/>
  <c r="G206" i="13"/>
  <c r="H206" i="13" s="1"/>
  <c r="I206" i="13" s="1"/>
  <c r="J206" i="13" s="1"/>
  <c r="H212" i="34" s="1"/>
  <c r="I212" i="34" s="1"/>
  <c r="K212" i="34" s="1"/>
  <c r="F205" i="25" s="1"/>
  <c r="G195" i="13"/>
  <c r="H195" i="13" s="1"/>
  <c r="I195" i="13" s="1"/>
  <c r="J195" i="13" s="1"/>
  <c r="H201" i="34" s="1"/>
  <c r="I201" i="34" s="1"/>
  <c r="K201" i="34" s="1"/>
  <c r="F194" i="25" s="1"/>
  <c r="G259" i="13"/>
  <c r="H259" i="13" s="1"/>
  <c r="I259" i="13" s="1"/>
  <c r="J259" i="13" s="1"/>
  <c r="H265" i="34" s="1"/>
  <c r="I265" i="34" s="1"/>
  <c r="K265" i="34" s="1"/>
  <c r="F258" i="25" s="1"/>
  <c r="G200" i="13"/>
  <c r="H200" i="13" s="1"/>
  <c r="I200" i="13" s="1"/>
  <c r="J200" i="13" s="1"/>
  <c r="H206" i="34" s="1"/>
  <c r="I206" i="34" s="1"/>
  <c r="K206" i="34" s="1"/>
  <c r="F199" i="25" s="1"/>
  <c r="G150" i="13"/>
  <c r="H150" i="13" s="1"/>
  <c r="I150" i="13" s="1"/>
  <c r="J150" i="13" s="1"/>
  <c r="H156" i="34" s="1"/>
  <c r="I156" i="34" s="1"/>
  <c r="K156" i="34" s="1"/>
  <c r="F149" i="25" s="1"/>
  <c r="G80" i="13"/>
  <c r="H80" i="13" s="1"/>
  <c r="I80" i="13" s="1"/>
  <c r="J80" i="13" s="1"/>
  <c r="H86" i="34" s="1"/>
  <c r="I86" i="34" s="1"/>
  <c r="K86" i="34" s="1"/>
  <c r="F79" i="25" s="1"/>
  <c r="G124" i="13"/>
  <c r="H124" i="13" s="1"/>
  <c r="I124" i="13" s="1"/>
  <c r="J124" i="13" s="1"/>
  <c r="H130" i="34" s="1"/>
  <c r="I130" i="34" s="1"/>
  <c r="K130" i="34" s="1"/>
  <c r="F123" i="25" s="1"/>
  <c r="G105" i="13"/>
  <c r="H105" i="13" s="1"/>
  <c r="I105" i="13" s="1"/>
  <c r="J105" i="13" s="1"/>
  <c r="H111" i="34" s="1"/>
  <c r="I111" i="34" s="1"/>
  <c r="K111" i="34" s="1"/>
  <c r="F104" i="25" s="1"/>
  <c r="G178" i="13"/>
  <c r="H178" i="13" s="1"/>
  <c r="I178" i="13" s="1"/>
  <c r="J178" i="13" s="1"/>
  <c r="H184" i="34" s="1"/>
  <c r="I184" i="34" s="1"/>
  <c r="K184" i="34" s="1"/>
  <c r="F177" i="25" s="1"/>
  <c r="G258" i="13"/>
  <c r="H258" i="13" s="1"/>
  <c r="I258" i="13" s="1"/>
  <c r="J258" i="13" s="1"/>
  <c r="H264" i="34" s="1"/>
  <c r="I264" i="34" s="1"/>
  <c r="K264" i="34" s="1"/>
  <c r="F257" i="25" s="1"/>
  <c r="G180" i="13"/>
  <c r="H180" i="13" s="1"/>
  <c r="I180" i="13" s="1"/>
  <c r="J180" i="13" s="1"/>
  <c r="H186" i="34" s="1"/>
  <c r="I186" i="34" s="1"/>
  <c r="K186" i="34" s="1"/>
  <c r="F179" i="25" s="1"/>
  <c r="G228" i="13"/>
  <c r="H228" i="13" s="1"/>
  <c r="I228" i="13" s="1"/>
  <c r="J228" i="13" s="1"/>
  <c r="H234" i="34" s="1"/>
  <c r="I234" i="34" s="1"/>
  <c r="K234" i="34" s="1"/>
  <c r="F227" i="25" s="1"/>
  <c r="G295" i="13"/>
  <c r="H295" i="13" s="1"/>
  <c r="I295" i="13" s="1"/>
  <c r="J295" i="13" s="1"/>
  <c r="H301" i="34" s="1"/>
  <c r="I301" i="34" s="1"/>
  <c r="K301" i="34" s="1"/>
  <c r="F294" i="25" s="1"/>
  <c r="G223" i="13"/>
  <c r="H223" i="13" s="1"/>
  <c r="I223" i="13" s="1"/>
  <c r="J223" i="13" s="1"/>
  <c r="H229" i="34" s="1"/>
  <c r="I229" i="34" s="1"/>
  <c r="K229" i="34" s="1"/>
  <c r="F222" i="25" s="1"/>
  <c r="G293" i="13"/>
  <c r="H293" i="13" s="1"/>
  <c r="I293" i="13" s="1"/>
  <c r="J293" i="13" s="1"/>
  <c r="H299" i="34" s="1"/>
  <c r="I299" i="34" s="1"/>
  <c r="K299" i="34" s="1"/>
  <c r="F292" i="25" s="1"/>
  <c r="G72" i="13"/>
  <c r="H72" i="13" s="1"/>
  <c r="I72" i="13" s="1"/>
  <c r="J72" i="13" s="1"/>
  <c r="G136" i="13"/>
  <c r="H136" i="13" s="1"/>
  <c r="I136" i="13" s="1"/>
  <c r="J136" i="13" s="1"/>
  <c r="H142" i="34" s="1"/>
  <c r="I142" i="34" s="1"/>
  <c r="K142" i="34" s="1"/>
  <c r="F135" i="25" s="1"/>
  <c r="G50" i="13"/>
  <c r="H50" i="13" s="1"/>
  <c r="I50" i="13" s="1"/>
  <c r="J50" i="13" s="1"/>
  <c r="H56" i="34" s="1"/>
  <c r="I56" i="34" s="1"/>
  <c r="K56" i="34" s="1"/>
  <c r="F49" i="25" s="1"/>
  <c r="G76" i="13"/>
  <c r="H76" i="13" s="1"/>
  <c r="I76" i="13" s="1"/>
  <c r="J76" i="13" s="1"/>
  <c r="H82" i="34" s="1"/>
  <c r="I82" i="34" s="1"/>
  <c r="K82" i="34" s="1"/>
  <c r="F75" i="25" s="1"/>
  <c r="G296" i="13"/>
  <c r="H296" i="13" s="1"/>
  <c r="I296" i="13" s="1"/>
  <c r="J296" i="13" s="1"/>
  <c r="H302" i="34" s="1"/>
  <c r="I302" i="34" s="1"/>
  <c r="K302" i="34" s="1"/>
  <c r="F295" i="25" s="1"/>
  <c r="G128" i="13"/>
  <c r="H128" i="13" s="1"/>
  <c r="I128" i="13" s="1"/>
  <c r="J128" i="13" s="1"/>
  <c r="H134" i="34" s="1"/>
  <c r="I134" i="34" s="1"/>
  <c r="K134" i="34" s="1"/>
  <c r="F127" i="25" s="1"/>
  <c r="G117" i="13"/>
  <c r="H117" i="13" s="1"/>
  <c r="I117" i="13" s="1"/>
  <c r="J117" i="13" s="1"/>
  <c r="H123" i="34" s="1"/>
  <c r="I123" i="34" s="1"/>
  <c r="K123" i="34" s="1"/>
  <c r="F116" i="25" s="1"/>
  <c r="G278" i="13"/>
  <c r="H278" i="13" s="1"/>
  <c r="I278" i="13" s="1"/>
  <c r="J278" i="13" s="1"/>
  <c r="H284" i="34" s="1"/>
  <c r="I284" i="34" s="1"/>
  <c r="K284" i="34" s="1"/>
  <c r="F277" i="25" s="1"/>
  <c r="G251" i="13"/>
  <c r="H251" i="13" s="1"/>
  <c r="I251" i="13" s="1"/>
  <c r="J251" i="13" s="1"/>
  <c r="H257" i="34" s="1"/>
  <c r="I257" i="34" s="1"/>
  <c r="K257" i="34" s="1"/>
  <c r="F250" i="25" s="1"/>
  <c r="G160" i="13"/>
  <c r="H160" i="13" s="1"/>
  <c r="I160" i="13" s="1"/>
  <c r="J160" i="13" s="1"/>
  <c r="H166" i="34" s="1"/>
  <c r="I166" i="34" s="1"/>
  <c r="K166" i="34" s="1"/>
  <c r="F159" i="25" s="1"/>
  <c r="G51" i="13"/>
  <c r="H51" i="13" s="1"/>
  <c r="I51" i="13" s="1"/>
  <c r="J51" i="13" s="1"/>
  <c r="H57" i="34" s="1"/>
  <c r="I57" i="34" s="1"/>
  <c r="K57" i="34" s="1"/>
  <c r="F50" i="25" s="1"/>
  <c r="G142" i="13"/>
  <c r="H142" i="13" s="1"/>
  <c r="I142" i="13" s="1"/>
  <c r="J142" i="13" s="1"/>
  <c r="H148" i="34" s="1"/>
  <c r="I148" i="34" s="1"/>
  <c r="K148" i="34" s="1"/>
  <c r="F141" i="25" s="1"/>
  <c r="G46" i="13"/>
  <c r="H46" i="13" s="1"/>
  <c r="I46" i="13" s="1"/>
  <c r="J46" i="13" s="1"/>
  <c r="H52" i="34" s="1"/>
  <c r="I52" i="34" s="1"/>
  <c r="K52" i="34" s="1"/>
  <c r="F45" i="25" s="1"/>
  <c r="G130" i="13"/>
  <c r="H130" i="13" s="1"/>
  <c r="I130" i="13" s="1"/>
  <c r="J130" i="13" s="1"/>
  <c r="H136" i="34" s="1"/>
  <c r="I136" i="34" s="1"/>
  <c r="K136" i="34" s="1"/>
  <c r="F129" i="25" s="1"/>
  <c r="G127" i="13"/>
  <c r="H127" i="13" s="1"/>
  <c r="I127" i="13" s="1"/>
  <c r="J127" i="13" s="1"/>
  <c r="H133" i="34" s="1"/>
  <c r="I133" i="34" s="1"/>
  <c r="K133" i="34" s="1"/>
  <c r="F126" i="25" s="1"/>
  <c r="G36" i="13"/>
  <c r="H36" i="13" s="1"/>
  <c r="I36" i="13" s="1"/>
  <c r="J36" i="13" s="1"/>
  <c r="H42" i="34" s="1"/>
  <c r="I42" i="34" s="1"/>
  <c r="K42" i="34" s="1"/>
  <c r="F35" i="25" s="1"/>
  <c r="G59" i="13"/>
  <c r="H59" i="13" s="1"/>
  <c r="I59" i="13" s="1"/>
  <c r="J59" i="13" s="1"/>
  <c r="H65" i="34" s="1"/>
  <c r="I65" i="34" s="1"/>
  <c r="K65" i="34" s="1"/>
  <c r="F58" i="25" s="1"/>
  <c r="G107" i="13"/>
  <c r="H107" i="13" s="1"/>
  <c r="I107" i="13" s="1"/>
  <c r="J107" i="13" s="1"/>
  <c r="H113" i="34" s="1"/>
  <c r="I113" i="34" s="1"/>
  <c r="K113" i="34" s="1"/>
  <c r="F106" i="25" s="1"/>
  <c r="G121" i="13"/>
  <c r="H121" i="13" s="1"/>
  <c r="I121" i="13" s="1"/>
  <c r="J121" i="13" s="1"/>
  <c r="H127" i="34" s="1"/>
  <c r="I127" i="34" s="1"/>
  <c r="K127" i="34" s="1"/>
  <c r="F120" i="25" s="1"/>
  <c r="G157" i="13"/>
  <c r="H157" i="13" s="1"/>
  <c r="I157" i="13" s="1"/>
  <c r="J157" i="13" s="1"/>
  <c r="H163" i="34" s="1"/>
  <c r="I163" i="34" s="1"/>
  <c r="K163" i="34" s="1"/>
  <c r="F156" i="25" s="1"/>
  <c r="G220" i="13"/>
  <c r="H220" i="13" s="1"/>
  <c r="I220" i="13" s="1"/>
  <c r="J220" i="13" s="1"/>
  <c r="H226" i="34" s="1"/>
  <c r="I226" i="34" s="1"/>
  <c r="K226" i="34" s="1"/>
  <c r="F219" i="25" s="1"/>
  <c r="G215" i="13"/>
  <c r="H215" i="13" s="1"/>
  <c r="I215" i="13" s="1"/>
  <c r="J215" i="13" s="1"/>
  <c r="H221" i="34" s="1"/>
  <c r="I221" i="34" s="1"/>
  <c r="K221" i="34" s="1"/>
  <c r="F214" i="25" s="1"/>
  <c r="G161" i="13"/>
  <c r="H161" i="13" s="1"/>
  <c r="I161" i="13" s="1"/>
  <c r="J161" i="13" s="1"/>
  <c r="H167" i="34" s="1"/>
  <c r="I167" i="34" s="1"/>
  <c r="K167" i="34" s="1"/>
  <c r="F160" i="25" s="1"/>
  <c r="G92" i="13"/>
  <c r="H92" i="13" s="1"/>
  <c r="I92" i="13" s="1"/>
  <c r="J92" i="13" s="1"/>
  <c r="H98" i="34" s="1"/>
  <c r="I98" i="34" s="1"/>
  <c r="K98" i="34" s="1"/>
  <c r="F91" i="25" s="1"/>
  <c r="G233" i="13"/>
  <c r="H233" i="13" s="1"/>
  <c r="I233" i="13" s="1"/>
  <c r="J233" i="13" s="1"/>
  <c r="H239" i="34" s="1"/>
  <c r="I239" i="34" s="1"/>
  <c r="K239" i="34" s="1"/>
  <c r="F232" i="25" s="1"/>
  <c r="G151" i="13"/>
  <c r="H151" i="13" s="1"/>
  <c r="I151" i="13" s="1"/>
  <c r="J151" i="13" s="1"/>
  <c r="H157" i="34" s="1"/>
  <c r="I157" i="34" s="1"/>
  <c r="K157" i="34" s="1"/>
  <c r="F150" i="25" s="1"/>
  <c r="G47" i="13"/>
  <c r="H47" i="13" s="1"/>
  <c r="I47" i="13" s="1"/>
  <c r="J47" i="13" s="1"/>
  <c r="H53" i="34" s="1"/>
  <c r="I53" i="34" s="1"/>
  <c r="K53" i="34" s="1"/>
  <c r="F46" i="25" s="1"/>
  <c r="G115" i="13"/>
  <c r="H115" i="13" s="1"/>
  <c r="I115" i="13" s="1"/>
  <c r="J115" i="13" s="1"/>
  <c r="H121" i="34" s="1"/>
  <c r="I121" i="34" s="1"/>
  <c r="K121" i="34" s="1"/>
  <c r="F114" i="25" s="1"/>
  <c r="G96" i="13"/>
  <c r="H96" i="13" s="1"/>
  <c r="I96" i="13" s="1"/>
  <c r="J96" i="13" s="1"/>
  <c r="H102" i="34" s="1"/>
  <c r="I102" i="34" s="1"/>
  <c r="K102" i="34" s="1"/>
  <c r="F95" i="25" s="1"/>
  <c r="G221" i="13"/>
  <c r="H221" i="13" s="1"/>
  <c r="I221" i="13" s="1"/>
  <c r="J221" i="13" s="1"/>
  <c r="H227" i="34" s="1"/>
  <c r="I227" i="34" s="1"/>
  <c r="K227" i="34" s="1"/>
  <c r="F220" i="25" s="1"/>
  <c r="G29" i="13"/>
  <c r="H29" i="13" s="1"/>
  <c r="I29" i="13" s="1"/>
  <c r="J29" i="13" s="1"/>
  <c r="H35" i="34" s="1"/>
  <c r="I35" i="34" s="1"/>
  <c r="K35" i="34" s="1"/>
  <c r="F28" i="25" s="1"/>
  <c r="G141" i="13"/>
  <c r="H141" i="13" s="1"/>
  <c r="I141" i="13" s="1"/>
  <c r="J141" i="13" s="1"/>
  <c r="H147" i="34" s="1"/>
  <c r="I147" i="34" s="1"/>
  <c r="K147" i="34" s="1"/>
  <c r="F140" i="25" s="1"/>
  <c r="G222" i="13"/>
  <c r="H222" i="13" s="1"/>
  <c r="I222" i="13" s="1"/>
  <c r="J222" i="13" s="1"/>
  <c r="H228" i="34" s="1"/>
  <c r="I228" i="34" s="1"/>
  <c r="K228" i="34" s="1"/>
  <c r="F221" i="25" s="1"/>
  <c r="G179" i="13"/>
  <c r="H179" i="13" s="1"/>
  <c r="I179" i="13" s="1"/>
  <c r="J179" i="13" s="1"/>
  <c r="H185" i="34" s="1"/>
  <c r="I185" i="34" s="1"/>
  <c r="K185" i="34" s="1"/>
  <c r="F178" i="25" s="1"/>
  <c r="G275" i="13"/>
  <c r="H275" i="13" s="1"/>
  <c r="I275" i="13" s="1"/>
  <c r="J275" i="13" s="1"/>
  <c r="H281" i="34" s="1"/>
  <c r="I281" i="34" s="1"/>
  <c r="K281" i="34" s="1"/>
  <c r="F274" i="25" s="1"/>
  <c r="G216" i="13"/>
  <c r="H216" i="13" s="1"/>
  <c r="I216" i="13" s="1"/>
  <c r="J216" i="13" s="1"/>
  <c r="H222" i="34" s="1"/>
  <c r="I222" i="34" s="1"/>
  <c r="K222" i="34" s="1"/>
  <c r="F215" i="25" s="1"/>
  <c r="G264" i="13"/>
  <c r="H264" i="13" s="1"/>
  <c r="I264" i="13" s="1"/>
  <c r="J264" i="13" s="1"/>
  <c r="H270" i="34" s="1"/>
  <c r="I270" i="34" s="1"/>
  <c r="K270" i="34" s="1"/>
  <c r="F263" i="25" s="1"/>
  <c r="G48" i="13"/>
  <c r="H48" i="13" s="1"/>
  <c r="I48" i="13" s="1"/>
  <c r="J48" i="13" s="1"/>
  <c r="H54" i="34" s="1"/>
  <c r="I54" i="34" s="1"/>
  <c r="K54" i="34" s="1"/>
  <c r="F47" i="25" s="1"/>
  <c r="G201" i="13"/>
  <c r="H201" i="13" s="1"/>
  <c r="I201" i="13" s="1"/>
  <c r="J201" i="13" s="1"/>
  <c r="H207" i="34" s="1"/>
  <c r="I207" i="34" s="1"/>
  <c r="K207" i="34" s="1"/>
  <c r="F200" i="25" s="1"/>
  <c r="G62" i="13"/>
  <c r="H62" i="13" s="1"/>
  <c r="I62" i="13" s="1"/>
  <c r="J62" i="13" s="1"/>
  <c r="H68" i="34" s="1"/>
  <c r="I68" i="34" s="1"/>
  <c r="K68" i="34" s="1"/>
  <c r="F61" i="25" s="1"/>
  <c r="H80" i="34"/>
  <c r="I80" i="34" s="1"/>
  <c r="K80" i="34" s="1"/>
  <c r="F73" i="25" s="1"/>
  <c r="H175" i="34"/>
  <c r="I175" i="34" s="1"/>
  <c r="K175" i="34" s="1"/>
  <c r="F168" i="25" s="1"/>
  <c r="H158" i="34"/>
  <c r="I158" i="34" s="1"/>
  <c r="K158" i="34" s="1"/>
  <c r="F151" i="25" s="1"/>
  <c r="H96" i="34"/>
  <c r="I96" i="34" s="1"/>
  <c r="K96" i="34" s="1"/>
  <c r="F89" i="25" s="1"/>
  <c r="H104" i="34"/>
  <c r="I104" i="34" s="1"/>
  <c r="K104" i="34" s="1"/>
  <c r="F97" i="25" s="1"/>
  <c r="H36" i="34"/>
  <c r="I36" i="34" s="1"/>
  <c r="K36" i="34" s="1"/>
  <c r="F29" i="25" s="1"/>
  <c r="H25" i="34"/>
  <c r="I25" i="34" s="1"/>
  <c r="K25" i="34" s="1"/>
  <c r="F18" i="25" s="1"/>
  <c r="H89" i="34"/>
  <c r="I89" i="34" s="1"/>
  <c r="K89" i="34" s="1"/>
  <c r="F82" i="25" s="1"/>
  <c r="H190" i="34"/>
  <c r="I190" i="34" s="1"/>
  <c r="K190" i="34" s="1"/>
  <c r="F183" i="25" s="1"/>
  <c r="H61" i="34"/>
  <c r="I61" i="34" s="1"/>
  <c r="K61" i="34" s="1"/>
  <c r="F54" i="25" s="1"/>
  <c r="H296" i="34"/>
  <c r="I296" i="34" s="1"/>
  <c r="K296" i="34" s="1"/>
  <c r="F289" i="25" s="1"/>
  <c r="H223" i="34"/>
  <c r="I223" i="34" s="1"/>
  <c r="K223" i="34" s="1"/>
  <c r="F216" i="25" s="1"/>
  <c r="H120" i="34"/>
  <c r="I120" i="34" s="1"/>
  <c r="K120" i="34" s="1"/>
  <c r="F113" i="25" s="1"/>
  <c r="H22" i="34"/>
  <c r="I22" i="34" s="1"/>
  <c r="K22" i="34" s="1"/>
  <c r="F15" i="25" s="1"/>
  <c r="H237" i="34"/>
  <c r="I237" i="34" s="1"/>
  <c r="K237" i="34" s="1"/>
  <c r="F230" i="25" s="1"/>
  <c r="H297" i="34"/>
  <c r="I297" i="34" s="1"/>
  <c r="K297" i="34" s="1"/>
  <c r="F290" i="25" s="1"/>
  <c r="H128" i="34"/>
  <c r="I128" i="34" s="1"/>
  <c r="K128" i="34" s="1"/>
  <c r="F121" i="25" s="1"/>
  <c r="H216" i="34"/>
  <c r="I216" i="34" s="1"/>
  <c r="K216" i="34" s="1"/>
  <c r="F209" i="25" s="1"/>
  <c r="H159" i="34"/>
  <c r="I159" i="34" s="1"/>
  <c r="K159" i="34" s="1"/>
  <c r="F152" i="25" s="1"/>
  <c r="J6" i="12"/>
  <c r="K6" i="12" s="1"/>
  <c r="I140" i="25" l="1"/>
  <c r="G141" i="54"/>
  <c r="H141" i="54" s="1"/>
  <c r="I145" i="25"/>
  <c r="G146" i="54"/>
  <c r="H146" i="54" s="1"/>
  <c r="I226" i="25"/>
  <c r="G227" i="54"/>
  <c r="H227" i="54" s="1"/>
  <c r="I57" i="25"/>
  <c r="G58" i="54"/>
  <c r="H58" i="54" s="1"/>
  <c r="I210" i="25"/>
  <c r="G211" i="54"/>
  <c r="H211" i="54" s="1"/>
  <c r="I105" i="25"/>
  <c r="G106" i="54"/>
  <c r="H106" i="54" s="1"/>
  <c r="I200" i="25"/>
  <c r="G201" i="54"/>
  <c r="H201" i="54" s="1"/>
  <c r="I28" i="25"/>
  <c r="G29" i="54"/>
  <c r="H29" i="54" s="1"/>
  <c r="I160" i="25"/>
  <c r="G161" i="54"/>
  <c r="H161" i="54" s="1"/>
  <c r="I126" i="25"/>
  <c r="G127" i="54"/>
  <c r="H127" i="54" s="1"/>
  <c r="I116" i="25"/>
  <c r="G117" i="54"/>
  <c r="H117" i="54" s="1"/>
  <c r="I222" i="25"/>
  <c r="G223" i="54"/>
  <c r="H223" i="54" s="1"/>
  <c r="I79" i="25"/>
  <c r="G80" i="54"/>
  <c r="H80" i="54" s="1"/>
  <c r="I122" i="25"/>
  <c r="G123" i="54"/>
  <c r="H123" i="54" s="1"/>
  <c r="I142" i="25"/>
  <c r="G143" i="54"/>
  <c r="H143" i="54" s="1"/>
  <c r="I74" i="25"/>
  <c r="G75" i="54"/>
  <c r="H75" i="54" s="1"/>
  <c r="I84" i="25"/>
  <c r="G85" i="54"/>
  <c r="H85" i="54" s="1"/>
  <c r="I99" i="25"/>
  <c r="G100" i="54"/>
  <c r="H100" i="54" s="1"/>
  <c r="I41" i="25"/>
  <c r="G42" i="54"/>
  <c r="H42" i="54" s="1"/>
  <c r="I14" i="25"/>
  <c r="G15" i="54"/>
  <c r="H15" i="54" s="1"/>
  <c r="I162" i="25"/>
  <c r="G163" i="54"/>
  <c r="H163" i="54" s="1"/>
  <c r="I187" i="25"/>
  <c r="G188" i="54"/>
  <c r="H188" i="54" s="1"/>
  <c r="I271" i="25"/>
  <c r="G272" i="54"/>
  <c r="H272" i="54" s="1"/>
  <c r="I256" i="25"/>
  <c r="G257" i="54"/>
  <c r="H257" i="54" s="1"/>
  <c r="I59" i="25"/>
  <c r="G60" i="54"/>
  <c r="H60" i="54" s="1"/>
  <c r="I110" i="25"/>
  <c r="G111" i="54"/>
  <c r="I288" i="25"/>
  <c r="G289" i="54"/>
  <c r="H289" i="54" s="1"/>
  <c r="I64" i="25"/>
  <c r="G65" i="54"/>
  <c r="H65" i="54" s="1"/>
  <c r="I279" i="25"/>
  <c r="G280" i="54"/>
  <c r="H280" i="54" s="1"/>
  <c r="I103" i="25"/>
  <c r="G104" i="54"/>
  <c r="H104" i="54" s="1"/>
  <c r="I272" i="25"/>
  <c r="G273" i="54"/>
  <c r="H273" i="54" s="1"/>
  <c r="I203" i="25"/>
  <c r="G204" i="54"/>
  <c r="H204" i="54" s="1"/>
  <c r="I298" i="25"/>
  <c r="G299" i="54"/>
  <c r="H299" i="54" s="1"/>
  <c r="I53" i="25"/>
  <c r="G54" i="54"/>
  <c r="H54" i="54" s="1"/>
  <c r="I233" i="25"/>
  <c r="G234" i="54"/>
  <c r="H234" i="54" s="1"/>
  <c r="I237" i="25"/>
  <c r="G238" i="54"/>
  <c r="H238" i="54" s="1"/>
  <c r="I29" i="25"/>
  <c r="G30" i="54"/>
  <c r="H30" i="54" s="1"/>
  <c r="I123" i="25"/>
  <c r="G124" i="54"/>
  <c r="H124" i="54" s="1"/>
  <c r="I107" i="25"/>
  <c r="G108" i="54"/>
  <c r="H108" i="54" s="1"/>
  <c r="I48" i="25"/>
  <c r="G49" i="54"/>
  <c r="H49" i="54" s="1"/>
  <c r="I270" i="25"/>
  <c r="G271" i="54"/>
  <c r="H271" i="54" s="1"/>
  <c r="I147" i="25"/>
  <c r="G148" i="54"/>
  <c r="H148" i="54" s="1"/>
  <c r="I78" i="25"/>
  <c r="G79" i="54"/>
  <c r="H79" i="54" s="1"/>
  <c r="I121" i="25"/>
  <c r="G122" i="54"/>
  <c r="H122" i="54" s="1"/>
  <c r="I290" i="25"/>
  <c r="G291" i="54"/>
  <c r="H291" i="54" s="1"/>
  <c r="I47" i="25"/>
  <c r="G48" i="54"/>
  <c r="H48" i="54" s="1"/>
  <c r="I214" i="25"/>
  <c r="G215" i="54"/>
  <c r="H215" i="54" s="1"/>
  <c r="I129" i="25"/>
  <c r="G130" i="54"/>
  <c r="H130" i="54" s="1"/>
  <c r="I127" i="25"/>
  <c r="G128" i="54"/>
  <c r="H128" i="54" s="1"/>
  <c r="I294" i="25"/>
  <c r="G295" i="54"/>
  <c r="H295" i="54" s="1"/>
  <c r="I149" i="25"/>
  <c r="G150" i="54"/>
  <c r="H150" i="54" s="1"/>
  <c r="I51" i="25"/>
  <c r="G52" i="54"/>
  <c r="H52" i="54" s="1"/>
  <c r="I94" i="25"/>
  <c r="G95" i="54"/>
  <c r="H95" i="54" s="1"/>
  <c r="I138" i="25"/>
  <c r="G139" i="54"/>
  <c r="H139" i="54" s="1"/>
  <c r="I118" i="25"/>
  <c r="G119" i="54"/>
  <c r="H119" i="54" s="1"/>
  <c r="I252" i="25"/>
  <c r="G253" i="54"/>
  <c r="H253" i="54" s="1"/>
  <c r="I212" i="25"/>
  <c r="G213" i="54"/>
  <c r="H213" i="54" s="1"/>
  <c r="I67" i="25"/>
  <c r="G68" i="54"/>
  <c r="H68" i="54" s="1"/>
  <c r="I253" i="25"/>
  <c r="G254" i="54"/>
  <c r="H254" i="54" s="1"/>
  <c r="I281" i="25"/>
  <c r="G282" i="54"/>
  <c r="H282" i="54" s="1"/>
  <c r="I207" i="25"/>
  <c r="G208" i="54"/>
  <c r="H208" i="54" s="1"/>
  <c r="I87" i="25"/>
  <c r="G88" i="54"/>
  <c r="H88" i="54" s="1"/>
  <c r="I231" i="25"/>
  <c r="G232" i="54"/>
  <c r="H232" i="54" s="1"/>
  <c r="I276" i="25"/>
  <c r="G277" i="54"/>
  <c r="H277" i="54" s="1"/>
  <c r="I137" i="25"/>
  <c r="G138" i="54"/>
  <c r="H138" i="54" s="1"/>
  <c r="I133" i="25"/>
  <c r="G134" i="54"/>
  <c r="H134" i="54" s="1"/>
  <c r="I301" i="25"/>
  <c r="G302" i="54"/>
  <c r="H302" i="54" s="1"/>
  <c r="I175" i="25"/>
  <c r="G176" i="54"/>
  <c r="H176" i="54" s="1"/>
  <c r="I32" i="25"/>
  <c r="G33" i="54"/>
  <c r="H33" i="54" s="1"/>
  <c r="I208" i="25"/>
  <c r="G209" i="54"/>
  <c r="H209" i="54" s="1"/>
  <c r="I27" i="25"/>
  <c r="G28" i="54"/>
  <c r="H28" i="54" s="1"/>
  <c r="I17" i="25"/>
  <c r="G18" i="54"/>
  <c r="H18" i="54" s="1"/>
  <c r="I171" i="25"/>
  <c r="G172" i="54"/>
  <c r="H172" i="54" s="1"/>
  <c r="I77" i="25"/>
  <c r="G78" i="54"/>
  <c r="H78" i="54" s="1"/>
  <c r="I202" i="25"/>
  <c r="G203" i="54"/>
  <c r="H203" i="54" s="1"/>
  <c r="I174" i="25"/>
  <c r="G175" i="54"/>
  <c r="H175" i="54" s="1"/>
  <c r="I228" i="25"/>
  <c r="G229" i="54"/>
  <c r="H229" i="54" s="1"/>
  <c r="I189" i="25"/>
  <c r="G190" i="54"/>
  <c r="H190" i="54" s="1"/>
  <c r="I25" i="25"/>
  <c r="G26" i="54"/>
  <c r="H26" i="54" s="1"/>
  <c r="I61" i="25"/>
  <c r="G62" i="54"/>
  <c r="H62" i="54" s="1"/>
  <c r="I109" i="25"/>
  <c r="G110" i="54"/>
  <c r="H110" i="54" s="1"/>
  <c r="I180" i="25"/>
  <c r="G181" i="54"/>
  <c r="H181" i="54" s="1"/>
  <c r="I115" i="25"/>
  <c r="G116" i="54"/>
  <c r="H116" i="54" s="1"/>
  <c r="I291" i="25"/>
  <c r="G292" i="54"/>
  <c r="H292" i="54" s="1"/>
  <c r="I182" i="25"/>
  <c r="G183" i="54"/>
  <c r="H183" i="54" s="1"/>
  <c r="I97" i="25"/>
  <c r="G98" i="54"/>
  <c r="H98" i="54" s="1"/>
  <c r="I89" i="25"/>
  <c r="G90" i="54"/>
  <c r="H90" i="54" s="1"/>
  <c r="I220" i="25"/>
  <c r="G221" i="54"/>
  <c r="H221" i="54" s="1"/>
  <c r="I230" i="25"/>
  <c r="G231" i="54"/>
  <c r="H231" i="54" s="1"/>
  <c r="I54" i="25"/>
  <c r="G55" i="54"/>
  <c r="H55" i="54" s="1"/>
  <c r="I296" i="25"/>
  <c r="G297" i="54"/>
  <c r="H297" i="54" s="1"/>
  <c r="I263" i="25"/>
  <c r="G264" i="54"/>
  <c r="H264" i="54" s="1"/>
  <c r="I95" i="25"/>
  <c r="G96" i="54"/>
  <c r="H96" i="54" s="1"/>
  <c r="I219" i="25"/>
  <c r="G220" i="54"/>
  <c r="H220" i="54" s="1"/>
  <c r="I45" i="25"/>
  <c r="G46" i="54"/>
  <c r="H46" i="54" s="1"/>
  <c r="I295" i="25"/>
  <c r="G296" i="54"/>
  <c r="H296" i="54" s="1"/>
  <c r="I227" i="25"/>
  <c r="G228" i="54"/>
  <c r="H228" i="54" s="1"/>
  <c r="I199" i="25"/>
  <c r="G200" i="54"/>
  <c r="H200" i="54" s="1"/>
  <c r="I143" i="25"/>
  <c r="G144" i="54"/>
  <c r="H144" i="54" s="1"/>
  <c r="I217" i="25"/>
  <c r="G218" i="54"/>
  <c r="H218" i="54" s="1"/>
  <c r="I192" i="25"/>
  <c r="G193" i="54"/>
  <c r="H193" i="54" s="1"/>
  <c r="I21" i="25"/>
  <c r="G22" i="54"/>
  <c r="H22" i="54" s="1"/>
  <c r="I300" i="25"/>
  <c r="G301" i="54"/>
  <c r="H301" i="54" s="1"/>
  <c r="I260" i="25"/>
  <c r="G261" i="54"/>
  <c r="H261" i="54" s="1"/>
  <c r="I206" i="25"/>
  <c r="G207" i="54"/>
  <c r="H207" i="54" s="1"/>
  <c r="I44" i="25"/>
  <c r="G45" i="54"/>
  <c r="H45" i="54" s="1"/>
  <c r="I201" i="25"/>
  <c r="G202" i="54"/>
  <c r="H202" i="54" s="1"/>
  <c r="I282" i="25"/>
  <c r="G283" i="54"/>
  <c r="H283" i="54" s="1"/>
  <c r="I164" i="25"/>
  <c r="G165" i="54"/>
  <c r="H165" i="54" s="1"/>
  <c r="I167" i="25"/>
  <c r="G168" i="54"/>
  <c r="H168" i="54" s="1"/>
  <c r="I278" i="25"/>
  <c r="G279" i="54"/>
  <c r="H279" i="54" s="1"/>
  <c r="I102" i="25"/>
  <c r="G103" i="54"/>
  <c r="H103" i="54" s="1"/>
  <c r="I287" i="25"/>
  <c r="G288" i="54"/>
  <c r="H288" i="54" s="1"/>
  <c r="I124" i="25"/>
  <c r="G125" i="54"/>
  <c r="H125" i="54" s="1"/>
  <c r="I229" i="25"/>
  <c r="G230" i="54"/>
  <c r="H230" i="54" s="1"/>
  <c r="I173" i="25"/>
  <c r="G174" i="54"/>
  <c r="H174" i="54" s="1"/>
  <c r="I35" i="25"/>
  <c r="G36" i="54"/>
  <c r="H36" i="54" s="1"/>
  <c r="I52" i="25"/>
  <c r="G53" i="54"/>
  <c r="H53" i="54" s="1"/>
  <c r="I88" i="25"/>
  <c r="G89" i="54"/>
  <c r="H89" i="54" s="1"/>
  <c r="I83" i="25"/>
  <c r="G84" i="54"/>
  <c r="H84" i="54" s="1"/>
  <c r="I63" i="25"/>
  <c r="G64" i="54"/>
  <c r="H64" i="54" s="1"/>
  <c r="I297" i="25"/>
  <c r="G298" i="54"/>
  <c r="H298" i="54" s="1"/>
  <c r="I111" i="25"/>
  <c r="G112" i="54"/>
  <c r="H112" i="54" s="1"/>
  <c r="I185" i="25"/>
  <c r="G186" i="54"/>
  <c r="H186" i="54" s="1"/>
  <c r="I152" i="25"/>
  <c r="G153" i="54"/>
  <c r="H153" i="54" s="1"/>
  <c r="I15" i="25"/>
  <c r="G16" i="54"/>
  <c r="H16" i="54" s="1"/>
  <c r="I299" i="25"/>
  <c r="G300" i="54"/>
  <c r="H300" i="54" s="1"/>
  <c r="I151" i="25"/>
  <c r="G152" i="54"/>
  <c r="H152" i="54" s="1"/>
  <c r="I215" i="25"/>
  <c r="G216" i="54"/>
  <c r="H216" i="54" s="1"/>
  <c r="I114" i="25"/>
  <c r="G115" i="54"/>
  <c r="H115" i="54" s="1"/>
  <c r="I156" i="25"/>
  <c r="G157" i="54"/>
  <c r="H157" i="54" s="1"/>
  <c r="I141" i="25"/>
  <c r="G142" i="54"/>
  <c r="H142" i="54" s="1"/>
  <c r="I75" i="25"/>
  <c r="G76" i="54"/>
  <c r="H76" i="54" s="1"/>
  <c r="I179" i="25"/>
  <c r="G180" i="54"/>
  <c r="H180" i="54" s="1"/>
  <c r="I258" i="25"/>
  <c r="G259" i="54"/>
  <c r="H259" i="54" s="1"/>
  <c r="I248" i="25"/>
  <c r="G249" i="54"/>
  <c r="H249" i="54" s="1"/>
  <c r="I239" i="25"/>
  <c r="G240" i="54"/>
  <c r="H240" i="54" s="1"/>
  <c r="I66" i="25"/>
  <c r="G67" i="54"/>
  <c r="H67" i="54" s="1"/>
  <c r="I247" i="25"/>
  <c r="G248" i="54"/>
  <c r="H248" i="54" s="1"/>
  <c r="I262" i="25"/>
  <c r="G263" i="54"/>
  <c r="H263" i="54" s="1"/>
  <c r="I155" i="25"/>
  <c r="G156" i="54"/>
  <c r="H156" i="54" s="1"/>
  <c r="I259" i="25"/>
  <c r="G260" i="54"/>
  <c r="H260" i="54" s="1"/>
  <c r="I22" i="25"/>
  <c r="G23" i="54"/>
  <c r="H23" i="54" s="1"/>
  <c r="I169" i="25"/>
  <c r="G170" i="54"/>
  <c r="H170" i="54" s="1"/>
  <c r="I170" i="25"/>
  <c r="G171" i="54"/>
  <c r="H171" i="54" s="1"/>
  <c r="I117" i="25"/>
  <c r="G118" i="54"/>
  <c r="H118" i="54" s="1"/>
  <c r="I85" i="25"/>
  <c r="G86" i="54"/>
  <c r="H86" i="54" s="1"/>
  <c r="I246" i="25"/>
  <c r="G247" i="54"/>
  <c r="H247" i="54" s="1"/>
  <c r="I154" i="25"/>
  <c r="G155" i="54"/>
  <c r="H155" i="54" s="1"/>
  <c r="I60" i="25"/>
  <c r="G61" i="54"/>
  <c r="H61" i="54" s="1"/>
  <c r="I197" i="25"/>
  <c r="G198" i="54"/>
  <c r="H198" i="54" s="1"/>
  <c r="I76" i="25"/>
  <c r="G77" i="54"/>
  <c r="H77" i="54" s="1"/>
  <c r="I273" i="25"/>
  <c r="G274" i="54"/>
  <c r="H274" i="54" s="1"/>
  <c r="I166" i="25"/>
  <c r="G167" i="54"/>
  <c r="H167" i="54" s="1"/>
  <c r="I34" i="25"/>
  <c r="G35" i="54"/>
  <c r="H35" i="54" s="1"/>
  <c r="I20" i="25"/>
  <c r="G21" i="54"/>
  <c r="H21" i="54" s="1"/>
  <c r="I284" i="25"/>
  <c r="G285" i="54"/>
  <c r="H285" i="54" s="1"/>
  <c r="I132" i="25"/>
  <c r="G133" i="54"/>
  <c r="H133" i="54" s="1"/>
  <c r="I91" i="25"/>
  <c r="G92" i="54"/>
  <c r="H92" i="54" s="1"/>
  <c r="I264" i="25"/>
  <c r="G265" i="54"/>
  <c r="H265" i="54" s="1"/>
  <c r="I198" i="25"/>
  <c r="G199" i="54"/>
  <c r="H199" i="54" s="1"/>
  <c r="I235" i="25"/>
  <c r="G236" i="54"/>
  <c r="H236" i="54" s="1"/>
  <c r="I211" i="25"/>
  <c r="G212" i="54"/>
  <c r="H212" i="54" s="1"/>
  <c r="I168" i="25"/>
  <c r="G169" i="54"/>
  <c r="H169" i="54" s="1"/>
  <c r="I120" i="25"/>
  <c r="G121" i="54"/>
  <c r="H121" i="54" s="1"/>
  <c r="I50" i="25"/>
  <c r="G51" i="54"/>
  <c r="H51" i="54" s="1"/>
  <c r="I49" i="25"/>
  <c r="G50" i="54"/>
  <c r="H50" i="54" s="1"/>
  <c r="I257" i="25"/>
  <c r="G258" i="54"/>
  <c r="H258" i="54" s="1"/>
  <c r="I194" i="25"/>
  <c r="G195" i="54"/>
  <c r="H195" i="54" s="1"/>
  <c r="I244" i="25"/>
  <c r="G245" i="54"/>
  <c r="H245" i="54" s="1"/>
  <c r="I176" i="25"/>
  <c r="G177" i="54"/>
  <c r="H177" i="54" s="1"/>
  <c r="I90" i="25"/>
  <c r="G91" i="54"/>
  <c r="H91" i="54" s="1"/>
  <c r="I153" i="25"/>
  <c r="G154" i="54"/>
  <c r="H154" i="54" s="1"/>
  <c r="I86" i="25"/>
  <c r="G87" i="54"/>
  <c r="H87" i="54" s="1"/>
  <c r="I286" i="25"/>
  <c r="G287" i="54"/>
  <c r="H287" i="54" s="1"/>
  <c r="I234" i="25"/>
  <c r="G235" i="54"/>
  <c r="H235" i="54" s="1"/>
  <c r="I195" i="25"/>
  <c r="G196" i="54"/>
  <c r="H196" i="54" s="1"/>
  <c r="I81" i="25"/>
  <c r="G82" i="54"/>
  <c r="H82" i="54" s="1"/>
  <c r="I24" i="25"/>
  <c r="G25" i="54"/>
  <c r="H25" i="54" s="1"/>
  <c r="I181" i="25"/>
  <c r="G182" i="54"/>
  <c r="H182" i="54" s="1"/>
  <c r="I254" i="25"/>
  <c r="G255" i="54"/>
  <c r="H255" i="54" s="1"/>
  <c r="I242" i="25"/>
  <c r="G243" i="54"/>
  <c r="H243" i="54" s="1"/>
  <c r="I302" i="25"/>
  <c r="G303" i="54"/>
  <c r="H303" i="54" s="1"/>
  <c r="I218" i="25"/>
  <c r="G219" i="54"/>
  <c r="H219" i="54" s="1"/>
  <c r="I190" i="25"/>
  <c r="G191" i="54"/>
  <c r="H191" i="54" s="1"/>
  <c r="I251" i="25"/>
  <c r="G252" i="54"/>
  <c r="H252" i="54" s="1"/>
  <c r="I165" i="25"/>
  <c r="G166" i="54"/>
  <c r="H166" i="54" s="1"/>
  <c r="I280" i="25"/>
  <c r="G281" i="54"/>
  <c r="H281" i="54" s="1"/>
  <c r="I241" i="25"/>
  <c r="G242" i="54"/>
  <c r="H242" i="54" s="1"/>
  <c r="I93" i="25"/>
  <c r="G94" i="54"/>
  <c r="H94" i="54" s="1"/>
  <c r="I139" i="25"/>
  <c r="G140" i="54"/>
  <c r="H140" i="54" s="1"/>
  <c r="I26" i="25"/>
  <c r="G27" i="54"/>
  <c r="H27" i="54" s="1"/>
  <c r="I236" i="25"/>
  <c r="G237" i="54"/>
  <c r="H237" i="54" s="1"/>
  <c r="I68" i="25"/>
  <c r="G69" i="54"/>
  <c r="H69" i="54" s="1"/>
  <c r="I146" i="25"/>
  <c r="G147" i="54"/>
  <c r="H147" i="54" s="1"/>
  <c r="I293" i="25"/>
  <c r="G294" i="54"/>
  <c r="H294" i="54" s="1"/>
  <c r="I30" i="25"/>
  <c r="G31" i="54"/>
  <c r="H31" i="54" s="1"/>
  <c r="I209" i="25"/>
  <c r="G210" i="54"/>
  <c r="H210" i="54" s="1"/>
  <c r="I277" i="25"/>
  <c r="G278" i="54"/>
  <c r="H278" i="54" s="1"/>
  <c r="I128" i="25"/>
  <c r="G129" i="54"/>
  <c r="H129" i="54" s="1"/>
  <c r="I204" i="25"/>
  <c r="G205" i="54"/>
  <c r="H205" i="54" s="1"/>
  <c r="I243" i="25"/>
  <c r="G244" i="54"/>
  <c r="H244" i="54" s="1"/>
  <c r="I183" i="25"/>
  <c r="G184" i="54"/>
  <c r="H184" i="54" s="1"/>
  <c r="I274" i="25"/>
  <c r="G275" i="54"/>
  <c r="H275" i="54" s="1"/>
  <c r="I240" i="25"/>
  <c r="G241" i="54"/>
  <c r="H241" i="54" s="1"/>
  <c r="I216" i="25"/>
  <c r="G217" i="54"/>
  <c r="H217" i="54" s="1"/>
  <c r="I82" i="25"/>
  <c r="G83" i="54"/>
  <c r="H83" i="54" s="1"/>
  <c r="I65" i="25"/>
  <c r="G66" i="54"/>
  <c r="H66" i="54" s="1"/>
  <c r="I178" i="25"/>
  <c r="G179" i="54"/>
  <c r="H179" i="54" s="1"/>
  <c r="I150" i="25"/>
  <c r="G151" i="54"/>
  <c r="H151" i="54" s="1"/>
  <c r="I106" i="25"/>
  <c r="G107" i="54"/>
  <c r="H107" i="54" s="1"/>
  <c r="I159" i="25"/>
  <c r="G160" i="54"/>
  <c r="H160" i="54" s="1"/>
  <c r="I135" i="25"/>
  <c r="G136" i="54"/>
  <c r="H136" i="54" s="1"/>
  <c r="I177" i="25"/>
  <c r="G178" i="54"/>
  <c r="H178" i="54" s="1"/>
  <c r="I205" i="25"/>
  <c r="G206" i="54"/>
  <c r="H206" i="54" s="1"/>
  <c r="I70" i="25"/>
  <c r="G71" i="54"/>
  <c r="H71" i="54" s="1"/>
  <c r="I62" i="25"/>
  <c r="G63" i="54"/>
  <c r="H63" i="54" s="1"/>
  <c r="I186" i="25"/>
  <c r="G187" i="54"/>
  <c r="H187" i="54" s="1"/>
  <c r="I163" i="25"/>
  <c r="G164" i="54"/>
  <c r="H164" i="54" s="1"/>
  <c r="I98" i="25"/>
  <c r="G99" i="54"/>
  <c r="H99" i="54" s="1"/>
  <c r="I265" i="25"/>
  <c r="G266" i="54"/>
  <c r="H266" i="54" s="1"/>
  <c r="I245" i="25"/>
  <c r="G246" i="54"/>
  <c r="H246" i="54" s="1"/>
  <c r="I285" i="25"/>
  <c r="G286" i="54"/>
  <c r="H286" i="54" s="1"/>
  <c r="I69" i="25"/>
  <c r="G70" i="54"/>
  <c r="H70" i="54" s="1"/>
  <c r="I38" i="25"/>
  <c r="G39" i="54"/>
  <c r="H39" i="54" s="1"/>
  <c r="I148" i="25"/>
  <c r="G149" i="54"/>
  <c r="H149" i="54" s="1"/>
  <c r="I225" i="25"/>
  <c r="G226" i="54"/>
  <c r="H226" i="54" s="1"/>
  <c r="I269" i="25"/>
  <c r="G270" i="54"/>
  <c r="H270" i="54" s="1"/>
  <c r="I249" i="25"/>
  <c r="G250" i="54"/>
  <c r="H250" i="54" s="1"/>
  <c r="I261" i="25"/>
  <c r="G262" i="54"/>
  <c r="H262" i="54" s="1"/>
  <c r="I158" i="25"/>
  <c r="G159" i="54"/>
  <c r="H159" i="54" s="1"/>
  <c r="I72" i="25"/>
  <c r="G73" i="54"/>
  <c r="H73" i="54" s="1"/>
  <c r="I39" i="25"/>
  <c r="G40" i="54"/>
  <c r="H40" i="54" s="1"/>
  <c r="I283" i="25"/>
  <c r="G284" i="54"/>
  <c r="H284" i="54" s="1"/>
  <c r="I112" i="25"/>
  <c r="G113" i="54"/>
  <c r="H113" i="54" s="1"/>
  <c r="I125" i="25"/>
  <c r="G126" i="54"/>
  <c r="H126" i="54" s="1"/>
  <c r="I55" i="25"/>
  <c r="G56" i="54"/>
  <c r="H56" i="54" s="1"/>
  <c r="I255" i="25"/>
  <c r="G256" i="54"/>
  <c r="H256" i="54" s="1"/>
  <c r="I19" i="25"/>
  <c r="G20" i="54"/>
  <c r="H20" i="54" s="1"/>
  <c r="I43" i="25"/>
  <c r="G44" i="54"/>
  <c r="H44" i="54" s="1"/>
  <c r="I136" i="25"/>
  <c r="G137" i="54"/>
  <c r="H137" i="54" s="1"/>
  <c r="I42" i="25"/>
  <c r="G43" i="54"/>
  <c r="H43" i="54" s="1"/>
  <c r="I268" i="25"/>
  <c r="G269" i="54"/>
  <c r="H269" i="54" s="1"/>
  <c r="I292" i="25"/>
  <c r="G293" i="54"/>
  <c r="H293" i="54" s="1"/>
  <c r="I184" i="25"/>
  <c r="G185" i="54"/>
  <c r="H185" i="54" s="1"/>
  <c r="I134" i="25"/>
  <c r="G135" i="54"/>
  <c r="H135" i="54" s="1"/>
  <c r="I191" i="25"/>
  <c r="G192" i="54"/>
  <c r="H192" i="54" s="1"/>
  <c r="I113" i="25"/>
  <c r="G114" i="54"/>
  <c r="H114" i="54" s="1"/>
  <c r="I46" i="25"/>
  <c r="G47" i="54"/>
  <c r="H47" i="54" s="1"/>
  <c r="I188" i="25"/>
  <c r="G189" i="54"/>
  <c r="H189" i="54" s="1"/>
  <c r="I289" i="25"/>
  <c r="G290" i="54"/>
  <c r="H290" i="54" s="1"/>
  <c r="I18" i="25"/>
  <c r="G19" i="54"/>
  <c r="H19" i="54" s="1"/>
  <c r="I73" i="25"/>
  <c r="G74" i="54"/>
  <c r="H74" i="54" s="1"/>
  <c r="I221" i="25"/>
  <c r="G222" i="54"/>
  <c r="H222" i="54" s="1"/>
  <c r="I232" i="25"/>
  <c r="G233" i="54"/>
  <c r="H233" i="54" s="1"/>
  <c r="I58" i="25"/>
  <c r="G59" i="54"/>
  <c r="H59" i="54" s="1"/>
  <c r="I250" i="25"/>
  <c r="G251" i="54"/>
  <c r="H251" i="54" s="1"/>
  <c r="I104" i="25"/>
  <c r="G105" i="54"/>
  <c r="H105" i="54" s="1"/>
  <c r="I157" i="25"/>
  <c r="G158" i="54"/>
  <c r="H158" i="54" s="1"/>
  <c r="I37" i="25"/>
  <c r="G38" i="54"/>
  <c r="H38" i="54" s="1"/>
  <c r="I119" i="25"/>
  <c r="G120" i="54"/>
  <c r="H120" i="54" s="1"/>
  <c r="I213" i="25"/>
  <c r="G214" i="54"/>
  <c r="H214" i="54" s="1"/>
  <c r="I193" i="25"/>
  <c r="G194" i="54"/>
  <c r="H194" i="54" s="1"/>
  <c r="I96" i="25"/>
  <c r="G97" i="54"/>
  <c r="H97" i="54" s="1"/>
  <c r="I108" i="25"/>
  <c r="G109" i="54"/>
  <c r="H109" i="54" s="1"/>
  <c r="I144" i="25"/>
  <c r="G145" i="54"/>
  <c r="H145" i="54" s="1"/>
  <c r="I23" i="25"/>
  <c r="G24" i="54"/>
  <c r="H24" i="54" s="1"/>
  <c r="I33" i="25"/>
  <c r="G34" i="54"/>
  <c r="H34" i="54" s="1"/>
  <c r="I36" i="25"/>
  <c r="G37" i="54"/>
  <c r="H37" i="54" s="1"/>
  <c r="I80" i="25"/>
  <c r="G81" i="54"/>
  <c r="H81" i="54" s="1"/>
  <c r="I100" i="25"/>
  <c r="G101" i="54"/>
  <c r="H101" i="54" s="1"/>
  <c r="I101" i="25"/>
  <c r="G102" i="54"/>
  <c r="H102" i="54" s="1"/>
  <c r="I92" i="25"/>
  <c r="G93" i="54"/>
  <c r="H93" i="54" s="1"/>
  <c r="I275" i="25"/>
  <c r="G276" i="54"/>
  <c r="H276" i="54" s="1"/>
  <c r="I40" i="25"/>
  <c r="G41" i="54"/>
  <c r="H41" i="54" s="1"/>
  <c r="I224" i="25"/>
  <c r="G225" i="54"/>
  <c r="H225" i="54" s="1"/>
  <c r="I56" i="25"/>
  <c r="G57" i="54"/>
  <c r="H57" i="54" s="1"/>
  <c r="I16" i="25"/>
  <c r="G17" i="54"/>
  <c r="H17" i="54" s="1"/>
  <c r="I130" i="25"/>
  <c r="G131" i="54"/>
  <c r="H131" i="54" s="1"/>
  <c r="I267" i="25"/>
  <c r="G268" i="54"/>
  <c r="H268" i="54" s="1"/>
  <c r="I196" i="25"/>
  <c r="G197" i="54"/>
  <c r="H197" i="54" s="1"/>
  <c r="I223" i="25"/>
  <c r="G224" i="54"/>
  <c r="H224" i="54" s="1"/>
  <c r="I161" i="25"/>
  <c r="G162" i="54"/>
  <c r="H162" i="54" s="1"/>
  <c r="I266" i="25"/>
  <c r="G267" i="54"/>
  <c r="H267" i="54" s="1"/>
  <c r="I131" i="25"/>
  <c r="G132" i="54"/>
  <c r="H132" i="54" s="1"/>
  <c r="H38" i="34"/>
  <c r="I38" i="34" s="1"/>
  <c r="K38" i="34" s="1"/>
  <c r="F31" i="25" s="1"/>
  <c r="H179" i="34"/>
  <c r="I179" i="34" s="1"/>
  <c r="K179" i="34" s="1"/>
  <c r="F172" i="25" s="1"/>
  <c r="H245" i="34"/>
  <c r="I245" i="34" s="1"/>
  <c r="K245" i="34" s="1"/>
  <c r="F238" i="25" s="1"/>
  <c r="H78" i="34"/>
  <c r="I78" i="34" s="1"/>
  <c r="K78" i="34" s="1"/>
  <c r="F71" i="25" s="1"/>
  <c r="H310" i="34"/>
  <c r="I310" i="34" s="1"/>
  <c r="K310" i="34" s="1"/>
  <c r="F303" i="25" s="1"/>
  <c r="H311" i="34"/>
  <c r="I311" i="34" s="1"/>
  <c r="K311" i="34" s="1"/>
  <c r="F304" i="25" s="1"/>
  <c r="H16" i="34"/>
  <c r="I16" i="34" s="1"/>
  <c r="K16" i="34" s="1"/>
  <c r="F9" i="25" s="1"/>
  <c r="H17" i="34"/>
  <c r="I17" i="34" s="1"/>
  <c r="K17" i="34" s="1"/>
  <c r="F10" i="25" s="1"/>
  <c r="H19" i="34"/>
  <c r="I19" i="34" s="1"/>
  <c r="K19" i="34" s="1"/>
  <c r="F12" i="25" s="1"/>
  <c r="H14" i="34"/>
  <c r="I14" i="34" s="1"/>
  <c r="K14" i="34" s="1"/>
  <c r="F7" i="25" s="1"/>
  <c r="H18" i="34"/>
  <c r="I18" i="34" s="1"/>
  <c r="K18" i="34" s="1"/>
  <c r="F11" i="25" s="1"/>
  <c r="H13" i="34"/>
  <c r="I13" i="34" s="1"/>
  <c r="K13" i="34" s="1"/>
  <c r="F6" i="25" s="1"/>
  <c r="H15" i="34"/>
  <c r="I15" i="34" s="1"/>
  <c r="K15" i="34" s="1"/>
  <c r="F8" i="25" s="1"/>
  <c r="H20" i="34"/>
  <c r="I20" i="34" s="1"/>
  <c r="K20" i="34" s="1"/>
  <c r="F13" i="25" s="1"/>
  <c r="E33" i="48"/>
  <c r="K306" i="12"/>
  <c r="G6" i="39"/>
  <c r="H6" i="39" s="1"/>
  <c r="H111" i="54" l="1"/>
  <c r="E65" i="48" s="1"/>
  <c r="C65" i="48" s="1"/>
  <c r="E64" i="48"/>
  <c r="I8" i="25"/>
  <c r="G9" i="54"/>
  <c r="H9" i="54" s="1"/>
  <c r="I303" i="25"/>
  <c r="G304" i="54"/>
  <c r="H304" i="54" s="1"/>
  <c r="I13" i="25"/>
  <c r="G14" i="54"/>
  <c r="H14" i="54" s="1"/>
  <c r="I71" i="25"/>
  <c r="G72" i="54"/>
  <c r="H72" i="54" s="1"/>
  <c r="I6" i="25"/>
  <c r="G7" i="54"/>
  <c r="H7" i="54" s="1"/>
  <c r="I11" i="25"/>
  <c r="G12" i="54"/>
  <c r="H12" i="54" s="1"/>
  <c r="I238" i="25"/>
  <c r="G239" i="54"/>
  <c r="H239" i="54" s="1"/>
  <c r="I172" i="25"/>
  <c r="G173" i="54"/>
  <c r="H173" i="54" s="1"/>
  <c r="I31" i="25"/>
  <c r="G32" i="54"/>
  <c r="H32" i="54" s="1"/>
  <c r="I304" i="25"/>
  <c r="G305" i="54"/>
  <c r="H305" i="54" s="1"/>
  <c r="I12" i="25"/>
  <c r="G13" i="54"/>
  <c r="H13" i="54" s="1"/>
  <c r="I7" i="25"/>
  <c r="G8" i="54"/>
  <c r="H8" i="54" s="1"/>
  <c r="I10" i="25"/>
  <c r="G11" i="54"/>
  <c r="H11" i="54" s="1"/>
  <c r="I9" i="25"/>
  <c r="G10" i="54"/>
  <c r="H10" i="54" s="1"/>
  <c r="I6" i="39"/>
  <c r="G6" i="13" s="1"/>
  <c r="H6" i="13" s="1"/>
  <c r="I6" i="13" s="1"/>
  <c r="J6" i="13" s="1"/>
  <c r="E35" i="48" l="1"/>
  <c r="E34" i="48"/>
  <c r="H12" i="34"/>
  <c r="I306" i="39"/>
  <c r="F35" i="48" l="1"/>
  <c r="F40" i="48" s="1"/>
  <c r="I12" i="34"/>
  <c r="G306" i="13"/>
  <c r="H306" i="13" s="1"/>
  <c r="F47" i="48" l="1"/>
  <c r="F58" i="48" s="1"/>
  <c r="K12" i="34"/>
  <c r="F5" i="25" s="1"/>
  <c r="G6" i="54" s="1"/>
  <c r="H6" i="54" s="1"/>
  <c r="J306" i="13"/>
  <c r="E63" i="48" l="1"/>
  <c r="C63" i="48" s="1"/>
  <c r="I5" i="25"/>
  <c r="F64" i="48"/>
  <c r="C64" i="48" s="1"/>
  <c r="H312" i="34"/>
  <c r="D50" i="40" l="1"/>
  <c r="C50" i="40" s="1"/>
  <c r="H11" i="34"/>
  <c r="I312" i="34"/>
  <c r="F306" i="54" l="1"/>
  <c r="I11" i="34"/>
  <c r="K312" i="34"/>
  <c r="F305" i="25"/>
  <c r="I305"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Brochet Antoine</author>
    <author>Cappelletti Fabio</author>
  </authors>
  <commentList>
    <comment ref="C3" authorId="0" shapeId="0" xr:uid="{55CDA886-B582-406A-8FE9-6E2C56110B9C}">
      <text>
        <r>
          <rPr>
            <sz val="9"/>
            <color indexed="81"/>
            <rFont val="Tahoma"/>
            <family val="2"/>
          </rPr>
          <t>Veuillez indiquer le nom de la commune</t>
        </r>
      </text>
    </comment>
    <comment ref="E33" authorId="1" shapeId="0" xr:uid="{49C5B2DA-BD87-402F-A62F-09DB8996B8BC}">
      <text>
        <r>
          <rPr>
            <sz val="8"/>
            <color indexed="81"/>
            <rFont val="Tahoma"/>
            <family val="2"/>
          </rPr>
          <t>Les communes au bénéfice du plafond de l'effort qui revendiqueraient des dépenses thématiques voudront bien adapter le montant du plafond de l'effort en conséquence (Voir courrier du 16 mars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R4" authorId="0" shapeId="0" xr:uid="{FDA799F9-7651-4CD7-97E0-E6DE2160AC48}">
      <text>
        <r>
          <rPr>
            <sz val="9"/>
            <color indexed="81"/>
            <rFont val="Tahoma"/>
            <family val="2"/>
          </rPr>
          <t xml:space="preserve">La </t>
        </r>
        <r>
          <rPr>
            <b/>
            <sz val="9"/>
            <color indexed="81"/>
            <rFont val="Tahoma"/>
            <family val="2"/>
          </rPr>
          <t>valeur du point d'impôt péréquatif</t>
        </r>
        <r>
          <rPr>
            <sz val="9"/>
            <color indexed="81"/>
            <rFont val="Tahoma"/>
            <family val="2"/>
          </rPr>
          <t xml:space="preserve"> est définie par les art. 2 et 5 LPIC. Pour une commune donnée, elle est obtenue en divisant par le taux communal les éléments suivants: la somme des rendements de ses impôts qui dépendent du taux communal, le rendement de son impôt personnel fixe, le rendement de son impôt sur les immeubles des sociétés et le rendement de son impôt foncier (ce dernier normalisé au taux de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F10" authorId="0" shapeId="0" xr:uid="{270426BD-07C5-44A7-8A53-ABF443EE0A45}">
      <text>
        <r>
          <rPr>
            <sz val="9"/>
            <color indexed="81"/>
            <rFont val="Tahoma"/>
            <family val="2"/>
          </rPr>
          <t>La PCS est financée en</t>
        </r>
        <r>
          <rPr>
            <b/>
            <sz val="9"/>
            <color indexed="81"/>
            <rFont val="Tahoma"/>
            <family val="2"/>
          </rPr>
          <t xml:space="preserve"> trois étapes</t>
        </r>
        <r>
          <rPr>
            <sz val="9"/>
            <color indexed="81"/>
            <rFont val="Tahoma"/>
            <family val="2"/>
          </rPr>
          <t>. La</t>
        </r>
        <r>
          <rPr>
            <b/>
            <sz val="9"/>
            <color indexed="81"/>
            <rFont val="Tahoma"/>
            <family val="2"/>
          </rPr>
          <t xml:space="preserve"> première étape </t>
        </r>
        <r>
          <rPr>
            <sz val="9"/>
            <color indexed="81"/>
            <rFont val="Tahoma"/>
            <family val="2"/>
          </rPr>
          <t>prévoit le versement par toutes les communes de 50% des leurs recettes conjoncturelles et de 30% de l'impôt des frontaliers.</t>
        </r>
      </text>
    </comment>
    <comment ref="G10" authorId="0" shapeId="0" xr:uid="{8288FAF0-46A4-49D5-9BC8-6E8DEB0263E9}">
      <text>
        <r>
          <rPr>
            <sz val="9"/>
            <color indexed="81"/>
            <rFont val="Tahoma"/>
            <family val="2"/>
          </rPr>
          <t xml:space="preserve">La </t>
        </r>
        <r>
          <rPr>
            <b/>
            <sz val="9"/>
            <color indexed="81"/>
            <rFont val="Tahoma"/>
            <family val="2"/>
          </rPr>
          <t>deuxième étape de financement</t>
        </r>
        <r>
          <rPr>
            <sz val="9"/>
            <color indexed="81"/>
            <rFont val="Tahoma"/>
            <family val="2"/>
          </rPr>
          <t xml:space="preserve"> prévoit une contribution de la part des communes avec une valeur du point d'impôt péréquatif par habitant (VPIH) supérieur à la moyenne. Le détail du calcul de cette deuxième contribution est dans l'onglet "Ecrêtage".</t>
        </r>
      </text>
    </comment>
    <comment ref="H10" authorId="0" shapeId="0" xr:uid="{8CB4ED49-AE30-4C5E-AA9F-866EDF37CA6B}">
      <text>
        <r>
          <rPr>
            <sz val="9"/>
            <color indexed="81"/>
            <rFont val="Tahoma"/>
            <family val="2"/>
          </rPr>
          <t xml:space="preserve">Dans la </t>
        </r>
        <r>
          <rPr>
            <b/>
            <sz val="9"/>
            <color indexed="81"/>
            <rFont val="Tahoma"/>
            <family val="2"/>
          </rPr>
          <t>dernière étape de financement</t>
        </r>
        <r>
          <rPr>
            <sz val="9"/>
            <color indexed="81"/>
            <rFont val="Tahoma"/>
            <family val="2"/>
          </rPr>
          <t>, le montant de la PCS qui reste à financer (</t>
        </r>
        <r>
          <rPr>
            <b/>
            <sz val="9"/>
            <color indexed="81"/>
            <rFont val="Tahoma"/>
            <family val="2"/>
          </rPr>
          <t>solde</t>
        </r>
        <r>
          <rPr>
            <sz val="9"/>
            <color indexed="81"/>
            <rFont val="Tahoma"/>
            <family val="2"/>
          </rPr>
          <t>) est divisé par la valeur du point d'impôt péréquatif total des communes. Chaque commune verse au système le nombre de points ainsi détérminé.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M4" authorId="0" shapeId="0" xr:uid="{ED0F811D-0F7C-44EA-B462-F5E01D3443D1}">
      <text>
        <r>
          <rPr>
            <sz val="9"/>
            <color indexed="81"/>
            <rFont val="Tahoma"/>
            <family val="2"/>
          </rPr>
          <t>Pour détérminer le montant de l'écrêtage, la VPIH de la commune est</t>
        </r>
        <r>
          <rPr>
            <b/>
            <sz val="9"/>
            <color indexed="81"/>
            <rFont val="Tahoma"/>
            <family val="2"/>
          </rPr>
          <t xml:space="preserve"> initialement</t>
        </r>
        <r>
          <rPr>
            <sz val="9"/>
            <color indexed="81"/>
            <rFont val="Tahoma"/>
            <family val="2"/>
          </rPr>
          <t xml:space="preserve"> comparée avec cinq seuils exprimés en pourcent de la VPIH moyenne des communes. </t>
        </r>
        <r>
          <rPr>
            <b/>
            <sz val="9"/>
            <color indexed="81"/>
            <rFont val="Tahoma"/>
            <family val="2"/>
          </rPr>
          <t>Ensuite</t>
        </r>
        <r>
          <rPr>
            <sz val="9"/>
            <color indexed="81"/>
            <rFont val="Tahoma"/>
            <family val="2"/>
          </rPr>
          <t xml:space="preserve">, les éventuels  écarts constatés sont multipliés par les pourcentages de prélèvement spécifiques à chaque seuil et additionnés. </t>
        </r>
        <r>
          <rPr>
            <b/>
            <sz val="9"/>
            <color indexed="81"/>
            <rFont val="Tahoma"/>
            <family val="2"/>
          </rPr>
          <t>Enfin</t>
        </r>
        <r>
          <rPr>
            <sz val="9"/>
            <color indexed="81"/>
            <rFont val="Tahoma"/>
            <family val="2"/>
          </rPr>
          <t>, cette somme d'écarts pondérés est multipliée par le taux d'imposition de la commune et sa population pour obtenir son montant à verser.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D4" authorId="0" shapeId="0" xr:uid="{3C24E69B-AE57-49AE-9420-1A4BAD449CBC}">
      <text>
        <r>
          <rPr>
            <sz val="9"/>
            <color indexed="81"/>
            <rFont val="Tahoma"/>
            <family val="2"/>
          </rPr>
          <t>Le fonds de péréquation intercommunal (</t>
        </r>
        <r>
          <rPr>
            <b/>
            <sz val="9"/>
            <color indexed="81"/>
            <rFont val="Tahoma"/>
            <family val="2"/>
          </rPr>
          <t>péréquation directe</t>
        </r>
        <r>
          <rPr>
            <sz val="9"/>
            <color indexed="81"/>
            <rFont val="Tahoma"/>
            <family val="2"/>
          </rPr>
          <t xml:space="preserve">) comprend </t>
        </r>
        <r>
          <rPr>
            <b/>
            <sz val="9"/>
            <color indexed="81"/>
            <rFont val="Tahoma"/>
            <family val="2"/>
          </rPr>
          <t>trois couches de subventionnement</t>
        </r>
        <r>
          <rPr>
            <sz val="9"/>
            <color indexed="81"/>
            <rFont val="Tahoma"/>
            <family val="2"/>
          </rPr>
          <t xml:space="preserve"> (population, solidarité et dépenses thématiques) et </t>
        </r>
        <r>
          <rPr>
            <b/>
            <sz val="9"/>
            <color indexed="81"/>
            <rFont val="Tahoma"/>
            <family val="2"/>
          </rPr>
          <t>trois plafonds</t>
        </r>
        <r>
          <rPr>
            <sz val="9"/>
            <color indexed="81"/>
            <rFont val="Tahoma"/>
            <family val="2"/>
          </rPr>
          <t xml:space="preserve"> (effort, aide et taux). Le détail du calcul des montants versés par chaque couche et par chaque plafond est proposé dans les prochains onglets. Le tableau à gauche résume le total des montants versés par les trois couches et par les trois plafonds, ainsi que le </t>
        </r>
        <r>
          <rPr>
            <b/>
            <sz val="9"/>
            <color indexed="81"/>
            <rFont val="Tahoma"/>
            <family val="2"/>
          </rPr>
          <t>forfait pour la gestion du système</t>
        </r>
        <r>
          <rPr>
            <sz val="9"/>
            <color indexed="81"/>
            <rFont val="Tahoma"/>
            <family val="2"/>
          </rPr>
          <t xml:space="preserve"> (CHF 450'000.-). 
</t>
        </r>
        <r>
          <rPr>
            <b/>
            <sz val="9"/>
            <color indexed="81"/>
            <rFont val="Tahoma"/>
            <family val="2"/>
          </rPr>
          <t>Pour financer la péréquation directe</t>
        </r>
        <r>
          <rPr>
            <sz val="9"/>
            <color indexed="81"/>
            <rFont val="Tahoma"/>
            <family val="2"/>
          </rPr>
          <t>, chaque commune verse un nombre de points d'impôt égal au total à financer divisé par la valeur du point d'impôt de l'ensemble des communes.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K7" authorId="0" shapeId="0" xr:uid="{A248159E-0366-49ED-ABDF-E41AA811D6AA}">
      <text>
        <r>
          <rPr>
            <sz val="9"/>
            <color indexed="81"/>
            <rFont val="Tahoma"/>
            <family val="2"/>
          </rPr>
          <t>La</t>
        </r>
        <r>
          <rPr>
            <b/>
            <sz val="9"/>
            <color indexed="81"/>
            <rFont val="Tahoma"/>
            <family val="2"/>
          </rPr>
          <t xml:space="preserve"> couche population</t>
        </r>
        <r>
          <rPr>
            <sz val="9"/>
            <color indexed="81"/>
            <rFont val="Tahoma"/>
            <family val="2"/>
          </rPr>
          <t xml:space="preserve"> verse à chaque commune 125 francs (indexés) par habitant pour ses premiers 1'000 habitants, 350 francs (indexés) par habitant pour les 2'000 habitants suivants et ainsi de suite jusqu'à 1'050 francs (indexés) pour tous les habitants au-délà des premiers 15'000.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G4" authorId="0" shapeId="0" xr:uid="{54CAD977-3398-46E4-9C38-2E741D99B23F}">
      <text>
        <r>
          <rPr>
            <sz val="9"/>
            <color indexed="81"/>
            <rFont val="Tahoma"/>
            <family val="2"/>
          </rPr>
          <t xml:space="preserve">La </t>
        </r>
        <r>
          <rPr>
            <b/>
            <sz val="9"/>
            <color indexed="81"/>
            <rFont val="Tahoma"/>
            <family val="2"/>
          </rPr>
          <t>couche solidarité</t>
        </r>
        <r>
          <rPr>
            <sz val="9"/>
            <color indexed="81"/>
            <rFont val="Tahoma"/>
            <family val="2"/>
          </rPr>
          <t xml:space="preserve"> attribue aux communes avec une valeur du point d'impôt par habitant (VPIH) inférieure à la moyenne une compensation de base égale à 27% de l'écart entre leur VPIH et cette même moyenne multipliée par sa population et son taux. </t>
        </r>
      </text>
    </comment>
    <comment ref="I4" authorId="0" shapeId="0" xr:uid="{EECF3395-3B44-42A6-96C5-8AAFF7ADEA22}">
      <text>
        <r>
          <rPr>
            <sz val="9"/>
            <color indexed="81"/>
            <rFont val="Tahoma"/>
            <family val="2"/>
          </rPr>
          <t xml:space="preserve">La compensation de base est ensuite </t>
        </r>
        <r>
          <rPr>
            <b/>
            <sz val="9"/>
            <color indexed="81"/>
            <rFont val="Tahoma"/>
            <family val="2"/>
          </rPr>
          <t>pondérée</t>
        </r>
        <r>
          <rPr>
            <sz val="9"/>
            <color indexed="81"/>
            <rFont val="Tahoma"/>
            <family val="2"/>
          </rPr>
          <t xml:space="preserve"> par le rapport entre le taux de la commune et le taux moyen.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E4" authorId="0" shapeId="0" xr:uid="{BAE74BEC-7C7D-40D4-B664-191255A68EA3}">
      <text>
        <r>
          <rPr>
            <sz val="9"/>
            <color indexed="81"/>
            <rFont val="Tahoma"/>
            <family val="2"/>
          </rPr>
          <t xml:space="preserve">Les </t>
        </r>
        <r>
          <rPr>
            <b/>
            <sz val="9"/>
            <color indexed="81"/>
            <rFont val="Tahoma"/>
            <family val="2"/>
          </rPr>
          <t>dépenses effectives en transports</t>
        </r>
        <r>
          <rPr>
            <sz val="9"/>
            <color indexed="81"/>
            <rFont val="Tahoma"/>
            <family val="2"/>
          </rPr>
          <t xml:space="preserve"> déclarées par la commune sont comparées avec l'équivalent de 8 de ses points d'impôt.</t>
        </r>
      </text>
    </comment>
    <comment ref="H4" authorId="0" shapeId="0" xr:uid="{BF62F18C-F207-473C-871E-EBF7229851AD}">
      <text>
        <r>
          <rPr>
            <sz val="9"/>
            <color indexed="81"/>
            <rFont val="Tahoma"/>
            <family val="2"/>
          </rPr>
          <t xml:space="preserve">Les </t>
        </r>
        <r>
          <rPr>
            <b/>
            <sz val="9"/>
            <color indexed="81"/>
            <rFont val="Tahoma"/>
            <family val="2"/>
          </rPr>
          <t>éventuels dépassements sont compensés</t>
        </r>
        <r>
          <rPr>
            <sz val="9"/>
            <color indexed="81"/>
            <rFont val="Tahoma"/>
            <family val="2"/>
          </rPr>
          <t xml:space="preserve"> à hauteur de 75%. Ce taux peut être revu à la baisse si le total des prises en charges (transports + forêts) excède 4,5 points d'impôt de l'ensemble des communes.
</t>
        </r>
      </text>
    </comment>
    <comment ref="L4" authorId="0" shapeId="0" xr:uid="{F683021F-A324-4C56-9374-0E7F671FBDA9}">
      <text>
        <r>
          <rPr>
            <sz val="9"/>
            <color indexed="81"/>
            <rFont val="Tahoma"/>
            <family val="2"/>
          </rPr>
          <t xml:space="preserve">Pour les </t>
        </r>
        <r>
          <rPr>
            <b/>
            <sz val="9"/>
            <color indexed="81"/>
            <rFont val="Tahoma"/>
            <family val="2"/>
          </rPr>
          <t>dépenses effectives en</t>
        </r>
        <r>
          <rPr>
            <b/>
            <sz val="9"/>
            <color indexed="81"/>
            <rFont val="Tahoma"/>
            <family val="2"/>
          </rPr>
          <t xml:space="preserve"> forêts</t>
        </r>
        <r>
          <rPr>
            <sz val="9"/>
            <color indexed="81"/>
            <rFont val="Tahoma"/>
            <family val="2"/>
          </rPr>
          <t xml:space="preserve"> la logique est identique, mais avec un plafond égal à l'équivalent de 1 point d'impôt de la commune.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656BD7C7-68AF-4D04-8DF9-470D7B173C07}">
      <text>
        <r>
          <rPr>
            <sz val="9"/>
            <color indexed="81"/>
            <rFont val="Tahoma"/>
            <family val="2"/>
          </rPr>
          <t>Si l'</t>
        </r>
        <r>
          <rPr>
            <b/>
            <sz val="9"/>
            <color indexed="81"/>
            <rFont val="Tahoma"/>
            <family val="2"/>
          </rPr>
          <t>effort péréquatif net</t>
        </r>
        <r>
          <rPr>
            <sz val="9"/>
            <color indexed="81"/>
            <rFont val="Tahoma"/>
            <family val="2"/>
          </rPr>
          <t xml:space="preserve"> d'une commune (total des montants reçus et versés, sauf prélèvements conjoncturels et plafonds) dépasse la valeur de 48 de ses points d'impôt, le </t>
        </r>
        <r>
          <rPr>
            <b/>
            <sz val="9"/>
            <color indexed="81"/>
            <rFont val="Tahoma"/>
            <family val="2"/>
          </rPr>
          <t xml:space="preserve">plafond de l'effort </t>
        </r>
        <r>
          <rPr>
            <sz val="9"/>
            <color indexed="81"/>
            <rFont val="Tahoma"/>
            <family val="2"/>
          </rPr>
          <t>lui réstitue un montant égal au dépassement constaté. Les montants restitués sont ensuite financés par l'ensemble des communes, via l'alimentation du système (voir onglet "vue d'ensemble").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D4" authorId="0" shapeId="0" xr:uid="{3466735A-A832-4970-A628-0FD0BA8C5F9E}">
      <text>
        <r>
          <rPr>
            <sz val="9"/>
            <color indexed="81"/>
            <rFont val="Tahoma"/>
            <family val="2"/>
          </rPr>
          <t>Aux fins du plafond de l'aide, si une commune affiche une PCS totale inférieure à 0 (rare), la PCS sans prélèvements conjoncturels en pts d'impôt est déduite de la colonne D et la colonne E est mise à zéro.</t>
        </r>
      </text>
    </comment>
    <comment ref="H4" authorId="0" shapeId="0" xr:uid="{667F0BDB-6735-4DE4-A442-93ABA8391CEA}">
      <text>
        <r>
          <rPr>
            <sz val="9"/>
            <color indexed="81"/>
            <rFont val="Tahoma"/>
            <family val="2"/>
          </rPr>
          <t xml:space="preserve">Si l'aide péréquative en faveur d'une commune (total des montants reçus et alloués, sauf montants reçus des dépénses thématiques et les plafonds) dépasse la valeur de 8 de ses points impôt, le </t>
        </r>
        <r>
          <rPr>
            <b/>
            <sz val="9"/>
            <color indexed="81"/>
            <rFont val="Tahoma"/>
            <family val="2"/>
          </rPr>
          <t>plafond de l'aide</t>
        </r>
        <r>
          <rPr>
            <sz val="9"/>
            <color indexed="81"/>
            <rFont val="Tahoma"/>
            <family val="2"/>
          </rPr>
          <t xml:space="preserve"> lui retient un montant égal au dépassement constaté. Les montants ainsi retenus sont utilisé pour réduire les montants nécessaires à l'alimentation du système (voir onglet "vue d'ensemble"). </t>
        </r>
        <r>
          <rPr>
            <u/>
            <sz val="9"/>
            <color indexed="81"/>
            <rFont val="Tahoma"/>
            <family val="2"/>
          </rPr>
          <t>Nota bene</t>
        </r>
        <r>
          <rPr>
            <sz val="9"/>
            <color indexed="81"/>
            <rFont val="Tahoma"/>
            <family val="2"/>
          </rPr>
          <t>: à différence du plafonde l'effort, le plafond de l'aide tient compte des montants payés par les communes au titre du prélèvement sur les impôts conjoncturels en faveur du financement de la PCS.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91AA6013-E2E1-4EFC-BDF8-97B63E2221EB}">
      <text>
        <r>
          <rPr>
            <sz val="9"/>
            <color indexed="81"/>
            <rFont val="Tahoma"/>
            <family val="2"/>
          </rPr>
          <t xml:space="preserve">L'effort péréquatif net de l'année précédente (hors montants reçus des dépenses thématiques et avec tous les plafonds) est déduit du taux d'imposition de la commune. Ensuite, le nouveau effort péréquatif net, cette fois tenant compte des dépenses thématiques, est ajouté au taux après déduction. Si le taux ainsi obtenu (taux projeté) dépasse le taux maximal indiqué, </t>
        </r>
        <r>
          <rPr>
            <b/>
            <sz val="9"/>
            <color indexed="81"/>
            <rFont val="Tahoma"/>
            <family val="2"/>
          </rPr>
          <t>le plafond du taux</t>
        </r>
        <r>
          <rPr>
            <sz val="9"/>
            <color indexed="81"/>
            <rFont val="Tahoma"/>
            <family val="2"/>
          </rPr>
          <t xml:space="preserve"> restitue à la commune un montant égal à l'écart constaté. Les montants restitués sont financés par l'ensemble des communes, via l'alimentation du système (voir onglet "Péréquation directe").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G4" authorId="0" shapeId="0" xr:uid="{742AA191-2F26-422D-A99A-8CDC59E21F1D}">
      <text>
        <r>
          <rPr>
            <sz val="9"/>
            <color indexed="81"/>
            <rFont val="Tahoma"/>
            <family val="2"/>
          </rPr>
          <t xml:space="preserve">Dans le cadre de la </t>
        </r>
        <r>
          <rPr>
            <b/>
            <sz val="9"/>
            <color indexed="81"/>
            <rFont val="Tahoma"/>
            <family val="2"/>
          </rPr>
          <t>réforme de l'organisation policière de 2012</t>
        </r>
        <r>
          <rPr>
            <sz val="9"/>
            <color indexed="81"/>
            <rFont val="Tahoma"/>
            <family val="2"/>
          </rPr>
          <t>, le canton a basculé 2 points d'impôt aux communes. La valeur de ces points d'impôt communaux est différente de celle des points d'impôt péréquatifs, car elle est calculée uniquement sur la base des impôts suivant le taux communal (par exemple, l'impôt foncier est exclu).</t>
        </r>
      </text>
    </comment>
    <comment ref="I4" authorId="0" shapeId="0" xr:uid="{49A94A71-7E1D-4006-ACF6-1BE60A3C5587}">
      <text>
        <r>
          <rPr>
            <sz val="9"/>
            <color indexed="81"/>
            <rFont val="Tahoma"/>
            <family val="2"/>
          </rPr>
          <t xml:space="preserve">Dans une </t>
        </r>
        <r>
          <rPr>
            <b/>
            <sz val="9"/>
            <color indexed="81"/>
            <rFont val="Tahoma"/>
            <family val="2"/>
          </rPr>
          <t>première étape</t>
        </r>
        <r>
          <rPr>
            <sz val="9"/>
            <color indexed="81"/>
            <rFont val="Tahoma"/>
            <family val="2"/>
          </rPr>
          <t xml:space="preserve">, la facture policière est répartie entre les communes par tête d'habitant. Les montants ainsi obtenus sont facturés exclusivement aux communes délégatrices (c'est-à-dire aux communes qui ne sont pas affiliées à un corps de police intercommunal). Chaque commune délégatrice ne peut néanmoins se voir facturer plus que l'équivalent de 2 de ses points d'impôt </t>
        </r>
        <r>
          <rPr>
            <u/>
            <sz val="9"/>
            <color indexed="81"/>
            <rFont val="Tahoma"/>
            <family val="2"/>
          </rPr>
          <t>communaux</t>
        </r>
        <r>
          <rPr>
            <sz val="9"/>
            <color indexed="81"/>
            <rFont val="Tahoma"/>
            <family val="2"/>
          </rPr>
          <t xml:space="preserve">. 
</t>
        </r>
      </text>
    </comment>
    <comment ref="K4" authorId="0" shapeId="0" xr:uid="{EDE8ACAD-0276-4407-B1D5-8178A6F66632}">
      <text>
        <r>
          <rPr>
            <sz val="9"/>
            <color indexed="81"/>
            <rFont val="Tahoma"/>
            <family val="2"/>
          </rPr>
          <t xml:space="preserve">Dans une </t>
        </r>
        <r>
          <rPr>
            <b/>
            <sz val="9"/>
            <color indexed="81"/>
            <rFont val="Tahoma"/>
            <family val="2"/>
          </rPr>
          <t>deuxième étape</t>
        </r>
        <r>
          <rPr>
            <sz val="9"/>
            <color indexed="81"/>
            <rFont val="Tahoma"/>
            <family val="2"/>
          </rPr>
          <t>, chaque commune verse un nombre de points d'impôt égal au solde restant de la facture policière divisé par la valeur du point d'impôt</t>
        </r>
        <r>
          <rPr>
            <u/>
            <sz val="9"/>
            <color indexed="81"/>
            <rFont val="Tahoma"/>
            <family val="2"/>
          </rPr>
          <t xml:space="preserve"> péréquatif</t>
        </r>
        <r>
          <rPr>
            <sz val="9"/>
            <color indexed="81"/>
            <rFont val="Tahoma"/>
            <family val="2"/>
          </rPr>
          <t xml:space="preserve"> de l'ensemble des communes.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BD2FC531-A035-40DA-BDB5-BA1485ACE662}">
      <text>
        <r>
          <rPr>
            <sz val="9"/>
            <color indexed="81"/>
            <rFont val="Tahoma"/>
            <family val="2"/>
          </rPr>
          <t>Les chiffres en négatif expriment un montant net à recevoir tandis que les chiffres en positif expriment un montant net à verser.</t>
        </r>
      </text>
    </comment>
  </commentList>
</comments>
</file>

<file path=xl/sharedStrings.xml><?xml version="1.0" encoding="utf-8"?>
<sst xmlns="http://schemas.openxmlformats.org/spreadsheetml/2006/main" count="1024" uniqueCount="574">
  <si>
    <t>L'Isle</t>
  </si>
  <si>
    <t>Lussery-Villars</t>
  </si>
  <si>
    <t>Mauraz</t>
  </si>
  <si>
    <t>Mex</t>
  </si>
  <si>
    <t>Moiry</t>
  </si>
  <si>
    <t>Corcelles-près-Payerne</t>
  </si>
  <si>
    <t>Grandcour</t>
  </si>
  <si>
    <t>Henniez</t>
  </si>
  <si>
    <t>Missy</t>
  </si>
  <si>
    <t>Payerne</t>
  </si>
  <si>
    <t>Trey</t>
  </si>
  <si>
    <t>Villarzel</t>
  </si>
  <si>
    <t>Château-d'Oex</t>
  </si>
  <si>
    <t>Rossinière</t>
  </si>
  <si>
    <t>Rougemont</t>
  </si>
  <si>
    <t>Allaman</t>
  </si>
  <si>
    <t>Bursinel</t>
  </si>
  <si>
    <t>Bursins</t>
  </si>
  <si>
    <t>Burtigny</t>
  </si>
  <si>
    <t>Dully</t>
  </si>
  <si>
    <t>Essertines-sur-Rolle</t>
  </si>
  <si>
    <t>Gilly</t>
  </si>
  <si>
    <t>Luins</t>
  </si>
  <si>
    <t>Mont-sur-Rolle</t>
  </si>
  <si>
    <t>Perroy</t>
  </si>
  <si>
    <t>Rolle</t>
  </si>
  <si>
    <t>Tartegnin</t>
  </si>
  <si>
    <t>Vinzel</t>
  </si>
  <si>
    <t>L'Abbaye</t>
  </si>
  <si>
    <t>Saint-Barthélemy</t>
  </si>
  <si>
    <t>Villars-le-Terroir</t>
  </si>
  <si>
    <t>Vuarrens</t>
  </si>
  <si>
    <t>Bonvillars</t>
  </si>
  <si>
    <t>Bullet</t>
  </si>
  <si>
    <t>Champagne</t>
  </si>
  <si>
    <t>Concise</t>
  </si>
  <si>
    <t>Corcelles-près-Concise</t>
  </si>
  <si>
    <t>Fiez</t>
  </si>
  <si>
    <t>Fontaines-sur-Grandson</t>
  </si>
  <si>
    <t>Giez</t>
  </si>
  <si>
    <t>Grandevent</t>
  </si>
  <si>
    <t>Grandson</t>
  </si>
  <si>
    <t>Mauborget</t>
  </si>
  <si>
    <t>Plafond transports</t>
  </si>
  <si>
    <t>No OFS</t>
  </si>
  <si>
    <t>Corsier-sur-Vevey</t>
  </si>
  <si>
    <t>Jongny</t>
  </si>
  <si>
    <t>Montreux</t>
  </si>
  <si>
    <t>La Tour-de-Peilz</t>
  </si>
  <si>
    <t>Vevey</t>
  </si>
  <si>
    <t>Veytaux</t>
  </si>
  <si>
    <t>Belmont-sur-Yverdon</t>
  </si>
  <si>
    <t>Bioley-Magnoux</t>
  </si>
  <si>
    <t>Chamblon</t>
  </si>
  <si>
    <t>Champvent</t>
  </si>
  <si>
    <t>Chavannes-le-Chêne</t>
  </si>
  <si>
    <t>Chêne-Pâquier</t>
  </si>
  <si>
    <t>Cheseaux-Noréaz</t>
  </si>
  <si>
    <t>Cronay</t>
  </si>
  <si>
    <t>Cuarny</t>
  </si>
  <si>
    <t>Démoret</t>
  </si>
  <si>
    <t>Donneloye</t>
  </si>
  <si>
    <t>Ependes</t>
  </si>
  <si>
    <t>Nyon</t>
  </si>
  <si>
    <t>Prangins</t>
  </si>
  <si>
    <t>Bougy-Villars</t>
  </si>
  <si>
    <t>Yvorne</t>
  </si>
  <si>
    <t>Aubonne</t>
  </si>
  <si>
    <t>Ballens</t>
  </si>
  <si>
    <t>Berolle</t>
  </si>
  <si>
    <t>Bière</t>
  </si>
  <si>
    <t>Taux communal</t>
  </si>
  <si>
    <t>ISP</t>
  </si>
  <si>
    <t>IPE</t>
  </si>
  <si>
    <t>IET</t>
  </si>
  <si>
    <t>ISO</t>
  </si>
  <si>
    <t>IMM</t>
  </si>
  <si>
    <t>IFO</t>
  </si>
  <si>
    <t>STO</t>
  </si>
  <si>
    <t>IFR</t>
  </si>
  <si>
    <t>ISD</t>
  </si>
  <si>
    <t>DMU</t>
  </si>
  <si>
    <t>IGI</t>
  </si>
  <si>
    <t>TOT</t>
  </si>
  <si>
    <t>Commune</t>
  </si>
  <si>
    <t>Chavannes-sur-Moudon</t>
  </si>
  <si>
    <t>Curtilles</t>
  </si>
  <si>
    <t>Dompierre</t>
  </si>
  <si>
    <t>Hermenches</t>
  </si>
  <si>
    <t>Lovatens</t>
  </si>
  <si>
    <t>Lucens</t>
  </si>
  <si>
    <t>Moudon</t>
  </si>
  <si>
    <t>Ogens</t>
  </si>
  <si>
    <t>Prévonloup</t>
  </si>
  <si>
    <t>Rossenges</t>
  </si>
  <si>
    <t>Syens</t>
  </si>
  <si>
    <t>Villars-le-Comte</t>
  </si>
  <si>
    <t>Vucherens</t>
  </si>
  <si>
    <t>Arnex-sur-Nyon</t>
  </si>
  <si>
    <t>Bassins</t>
  </si>
  <si>
    <t>Chessel</t>
  </si>
  <si>
    <t>Corbeyrier</t>
  </si>
  <si>
    <t>Gryon</t>
  </si>
  <si>
    <t>Lavey-Morcles</t>
  </si>
  <si>
    <t>Leysin</t>
  </si>
  <si>
    <t>Noville</t>
  </si>
  <si>
    <t>Ollon</t>
  </si>
  <si>
    <t>Sainte-Croix</t>
  </si>
  <si>
    <t>Lausanne</t>
  </si>
  <si>
    <t>Le Mont-sur-Lausanne</t>
  </si>
  <si>
    <t>Paudex</t>
  </si>
  <si>
    <t>Prilly</t>
  </si>
  <si>
    <t>Pully</t>
  </si>
  <si>
    <t>Plafonnement du taux</t>
  </si>
  <si>
    <t>Rivaz</t>
  </si>
  <si>
    <t>St-Saphorin (Lavaux)</t>
  </si>
  <si>
    <t>Ormont-Dessous</t>
  </si>
  <si>
    <t>Ormont-Dessus</t>
  </si>
  <si>
    <t>Rennaz</t>
  </si>
  <si>
    <t>Roche</t>
  </si>
  <si>
    <t>Villeneuve</t>
  </si>
  <si>
    <t>Romainmôtier-Envy</t>
  </si>
  <si>
    <t>Sergey</t>
  </si>
  <si>
    <t>Valeyres-sous-Rances</t>
  </si>
  <si>
    <t>Total</t>
  </si>
  <si>
    <t>Ferreyres</t>
  </si>
  <si>
    <t>Gollion</t>
  </si>
  <si>
    <t>Grancy</t>
  </si>
  <si>
    <t>Forel (Lavaux)</t>
  </si>
  <si>
    <t>Lutry</t>
  </si>
  <si>
    <t>Bremblens</t>
  </si>
  <si>
    <t>Buchillon</t>
  </si>
  <si>
    <t>Yvonand</t>
  </si>
  <si>
    <t>Yverdon-les-Bains</t>
  </si>
  <si>
    <t>Clarmont</t>
  </si>
  <si>
    <t>Denens</t>
  </si>
  <si>
    <t>Denges</t>
  </si>
  <si>
    <t>Echandens</t>
  </si>
  <si>
    <t>Echichens</t>
  </si>
  <si>
    <t>Ecublens</t>
  </si>
  <si>
    <t>Etoy</t>
  </si>
  <si>
    <t>Lavigny</t>
  </si>
  <si>
    <t>Lonay</t>
  </si>
  <si>
    <t>Lully</t>
  </si>
  <si>
    <t>Lussy-sur-Morges</t>
  </si>
  <si>
    <t>Morges</t>
  </si>
  <si>
    <t>Préverenges</t>
  </si>
  <si>
    <t>Mont-la-Ville</t>
  </si>
  <si>
    <t>Montricher</t>
  </si>
  <si>
    <t>Orny</t>
  </si>
  <si>
    <t>Penthalaz</t>
  </si>
  <si>
    <t>Penthaz</t>
  </si>
  <si>
    <t>Pompaples</t>
  </si>
  <si>
    <t>La Sarraz</t>
  </si>
  <si>
    <t>Senarclens</t>
  </si>
  <si>
    <t>Sullens</t>
  </si>
  <si>
    <t>Vufflens-la-Ville</t>
  </si>
  <si>
    <t>Assens</t>
  </si>
  <si>
    <t>Bercher</t>
  </si>
  <si>
    <t>Bottens</t>
  </si>
  <si>
    <t>Bretigny-sur-Morrens</t>
  </si>
  <si>
    <t>Cugy</t>
  </si>
  <si>
    <t>Echallens</t>
  </si>
  <si>
    <t>Essertines-sur-Yverdon</t>
  </si>
  <si>
    <t>Etagnières</t>
  </si>
  <si>
    <t>Fey</t>
  </si>
  <si>
    <t>Froideville</t>
  </si>
  <si>
    <t>Morrens</t>
  </si>
  <si>
    <t>Oulens-sous-Echallens</t>
  </si>
  <si>
    <t>Pailly</t>
  </si>
  <si>
    <t>Penthéréaz</t>
  </si>
  <si>
    <t>Poliez-Pittet</t>
  </si>
  <si>
    <t>Rueyres</t>
  </si>
  <si>
    <t>Sous-total</t>
  </si>
  <si>
    <t>Frontaliers</t>
  </si>
  <si>
    <t>Successions et donations</t>
  </si>
  <si>
    <t>Droits de mutation</t>
  </si>
  <si>
    <t>Gains immobiliers</t>
  </si>
  <si>
    <t>Villars-sous-Yens</t>
  </si>
  <si>
    <t>Vufflens-le-Château</t>
  </si>
  <si>
    <t>Vullierens</t>
  </si>
  <si>
    <t>Yens</t>
  </si>
  <si>
    <t>Boulens</t>
  </si>
  <si>
    <t>Bussy-sur-Moudon</t>
  </si>
  <si>
    <t>Le Chenit</t>
  </si>
  <si>
    <t>Le Lieu</t>
  </si>
  <si>
    <t>Chardonne</t>
  </si>
  <si>
    <t>Corseaux</t>
  </si>
  <si>
    <t>Boussens</t>
  </si>
  <si>
    <t>La Chaux (Cossonay)</t>
  </si>
  <si>
    <t>Dépassement forêts</t>
  </si>
  <si>
    <t>Romanel-sur-Lausanne</t>
  </si>
  <si>
    <t>La Praz</t>
  </si>
  <si>
    <t>Premier</t>
  </si>
  <si>
    <t>Rances</t>
  </si>
  <si>
    <t>Begnins</t>
  </si>
  <si>
    <t>Bogis-Bossey</t>
  </si>
  <si>
    <t>Borex</t>
  </si>
  <si>
    <t>Chavannes-de-Bogis</t>
  </si>
  <si>
    <t>Chavannes-des-Bois</t>
  </si>
  <si>
    <t>Chéserex</t>
  </si>
  <si>
    <t>Coinsins</t>
  </si>
  <si>
    <t>Commugny</t>
  </si>
  <si>
    <t>Coppet</t>
  </si>
  <si>
    <t>Crassier</t>
  </si>
  <si>
    <t>Duillier</t>
  </si>
  <si>
    <t>Eysins</t>
  </si>
  <si>
    <t>Founex</t>
  </si>
  <si>
    <t>Genolier</t>
  </si>
  <si>
    <t>Gingins</t>
  </si>
  <si>
    <t>Givrins</t>
  </si>
  <si>
    <t>Gland</t>
  </si>
  <si>
    <t>Grens</t>
  </si>
  <si>
    <t>Mies</t>
  </si>
  <si>
    <t>Cuarnens</t>
  </si>
  <si>
    <t>Daillens</t>
  </si>
  <si>
    <t>Dizy</t>
  </si>
  <si>
    <t>Eclépens</t>
  </si>
  <si>
    <t>Pertes débiteurs</t>
  </si>
  <si>
    <t>Imputation forfaitaire</t>
  </si>
  <si>
    <t>Chavannes-près-Renens</t>
  </si>
  <si>
    <t>Chigny</t>
  </si>
  <si>
    <t>Impôt spécial affecté</t>
  </si>
  <si>
    <t>Impôt personnel</t>
  </si>
  <si>
    <t>Aigle</t>
  </si>
  <si>
    <t>Bex</t>
  </si>
  <si>
    <t>Arnex-sur-Orbe</t>
  </si>
  <si>
    <t>Ballaigues</t>
  </si>
  <si>
    <t>Baulmes</t>
  </si>
  <si>
    <t>Bavois</t>
  </si>
  <si>
    <t>Bofflens</t>
  </si>
  <si>
    <t>Bretonnières</t>
  </si>
  <si>
    <t>Chavornay</t>
  </si>
  <si>
    <t>Les Clées</t>
  </si>
  <si>
    <t>Montagny-près-Yverdon</t>
  </si>
  <si>
    <t>Oppens</t>
  </si>
  <si>
    <t>Orges</t>
  </si>
  <si>
    <t>Ursins</t>
  </si>
  <si>
    <t>Vugelles-La Mothe</t>
  </si>
  <si>
    <t>Corcelles-le-Jorat</t>
  </si>
  <si>
    <t>Maracon</t>
  </si>
  <si>
    <t>Montpreveyres</t>
  </si>
  <si>
    <t>Ropraz</t>
  </si>
  <si>
    <t>Servion</t>
  </si>
  <si>
    <t>Mutrux</t>
  </si>
  <si>
    <t>Novalles</t>
  </si>
  <si>
    <t>Onnens</t>
  </si>
  <si>
    <t>Provence</t>
  </si>
  <si>
    <t>en % de la moyenne</t>
  </si>
  <si>
    <t>Seuil 1</t>
  </si>
  <si>
    <t>Seuil 2</t>
  </si>
  <si>
    <t>Total écrêtage</t>
  </si>
  <si>
    <t>Savigny</t>
  </si>
  <si>
    <t>Chexbres</t>
  </si>
  <si>
    <t>Villars-Epeney</t>
  </si>
  <si>
    <t>Puidoux</t>
  </si>
  <si>
    <t>Dépassement transports</t>
  </si>
  <si>
    <t>Population</t>
  </si>
  <si>
    <t>Bas</t>
  </si>
  <si>
    <t>Seuils de population</t>
  </si>
  <si>
    <t>Haut</t>
  </si>
  <si>
    <t>Montants</t>
  </si>
  <si>
    <t>Romanel-sur-Morges</t>
  </si>
  <si>
    <t>Saint-Prex</t>
  </si>
  <si>
    <t>Saint-Sulpice</t>
  </si>
  <si>
    <t>Tolochenaz</t>
  </si>
  <si>
    <t>Vaux-sur-Morges</t>
  </si>
  <si>
    <t>Villars-Sainte-Croix</t>
  </si>
  <si>
    <t>La Rippe</t>
  </si>
  <si>
    <t>Saint-Cergue</t>
  </si>
  <si>
    <t>Signy-Avenex</t>
  </si>
  <si>
    <t>Tannay</t>
  </si>
  <si>
    <t>Trélex</t>
  </si>
  <si>
    <t>Le Vaud</t>
  </si>
  <si>
    <t>Vich</t>
  </si>
  <si>
    <t>L'Abergement</t>
  </si>
  <si>
    <t>Agiez</t>
  </si>
  <si>
    <t>Péréquation directe</t>
  </si>
  <si>
    <t>Transports publics</t>
  </si>
  <si>
    <t>Transports scolaires</t>
  </si>
  <si>
    <t>Croy</t>
  </si>
  <si>
    <t>Juriens</t>
  </si>
  <si>
    <t>Lignerolle</t>
  </si>
  <si>
    <t>Montcherand</t>
  </si>
  <si>
    <t>Orbe</t>
  </si>
  <si>
    <t>Vallorbe</t>
  </si>
  <si>
    <t>Vaulion</t>
  </si>
  <si>
    <t>Vuiteboeuf</t>
  </si>
  <si>
    <t>Impôts suivant le taux</t>
  </si>
  <si>
    <t>Féchy</t>
  </si>
  <si>
    <t>Gimel</t>
  </si>
  <si>
    <t>Saint-Livres</t>
  </si>
  <si>
    <t>Saint-Oyens</t>
  </si>
  <si>
    <t>Saubraz</t>
  </si>
  <si>
    <t>Avenches</t>
  </si>
  <si>
    <t>Cudrefin</t>
  </si>
  <si>
    <t>Faoug</t>
  </si>
  <si>
    <t>Bettens</t>
  </si>
  <si>
    <t>Bournens</t>
  </si>
  <si>
    <t>Différence à compenser</t>
  </si>
  <si>
    <t xml:space="preserve">Taux actuel </t>
  </si>
  <si>
    <t xml:space="preserve">Taux </t>
  </si>
  <si>
    <t>Longirod</t>
  </si>
  <si>
    <t>Marchissy</t>
  </si>
  <si>
    <t>Mollens</t>
  </si>
  <si>
    <t>Saint-George</t>
  </si>
  <si>
    <t>Chavannes-le-Veyron</t>
  </si>
  <si>
    <t>Chevilly</t>
  </si>
  <si>
    <t>Cossonay</t>
  </si>
  <si>
    <t>./. Conjoncturelles</t>
  </si>
  <si>
    <t>./. Ecrêtage</t>
  </si>
  <si>
    <t>Seuil max (pts)</t>
  </si>
  <si>
    <t>Impôt à la source</t>
  </si>
  <si>
    <t>Impôt foncier</t>
  </si>
  <si>
    <t>Vulliens</t>
  </si>
  <si>
    <t>Champtauroz</t>
  </si>
  <si>
    <t>Chevroux</t>
  </si>
  <si>
    <t>Belmont-sur-Lausanne</t>
  </si>
  <si>
    <t>Cheseaux-sur-Lausanne</t>
  </si>
  <si>
    <t>Crissier</t>
  </si>
  <si>
    <t>Epalinges</t>
  </si>
  <si>
    <t>Jouxtens-Mézery</t>
  </si>
  <si>
    <t>Mathod</t>
  </si>
  <si>
    <t>Molondin</t>
  </si>
  <si>
    <t>Renens</t>
  </si>
  <si>
    <t>Valeyres-sous-Montagny</t>
  </si>
  <si>
    <t>Valeyres-sous-Ursins</t>
  </si>
  <si>
    <t>Orzens</t>
  </si>
  <si>
    <t>Pomy</t>
  </si>
  <si>
    <t>Rovray</t>
  </si>
  <si>
    <t>Suchy</t>
  </si>
  <si>
    <t>Suscévaz</t>
  </si>
  <si>
    <t>Treycovagnes</t>
  </si>
  <si>
    <t>Aclens</t>
  </si>
  <si>
    <t>Total part communale</t>
  </si>
  <si>
    <t>Points</t>
  </si>
  <si>
    <t>Seuil 3</t>
  </si>
  <si>
    <t>Impôt récupéré après défalcation</t>
  </si>
  <si>
    <t>PPR</t>
  </si>
  <si>
    <t>PPF</t>
  </si>
  <si>
    <t>PMB</t>
  </si>
  <si>
    <t>PMC</t>
  </si>
  <si>
    <t>Bourg-en-Lavaux</t>
  </si>
  <si>
    <t>Tévenon</t>
  </si>
  <si>
    <t>Vully-les-Lacs</t>
  </si>
  <si>
    <t>Goumoëns</t>
  </si>
  <si>
    <t>Montilliez</t>
  </si>
  <si>
    <t>Jorat-Menthue</t>
  </si>
  <si>
    <t>Valbroye</t>
  </si>
  <si>
    <t>Oron</t>
  </si>
  <si>
    <t>Prélèvements conjoncturels</t>
  </si>
  <si>
    <t>Bussigny</t>
  </si>
  <si>
    <t>Arzier-Le Muids</t>
  </si>
  <si>
    <t>Montanaire</t>
  </si>
  <si>
    <t>Indice IPC au 1er janvier 2010</t>
  </si>
  <si>
    <t>Montant à affecter ajusté à l'IPC</t>
  </si>
  <si>
    <t>Population selon FAO</t>
  </si>
  <si>
    <t>Péréquation directe - Couche Population</t>
  </si>
  <si>
    <t>Péréquation directe - Couche Solidarité</t>
  </si>
  <si>
    <t>CHF</t>
  </si>
  <si>
    <t>Pts</t>
  </si>
  <si>
    <t>pour une capacité dépassant</t>
  </si>
  <si>
    <t>Montant à affecter par habitant</t>
  </si>
  <si>
    <t>Prise en charge maximale</t>
  </si>
  <si>
    <t>Impôts théoriques</t>
  </si>
  <si>
    <t>Ecrêtage</t>
  </si>
  <si>
    <t xml:space="preserve">J) Liste des communes A--&gt;Z </t>
  </si>
  <si>
    <t>Aide</t>
  </si>
  <si>
    <t>Taux</t>
  </si>
  <si>
    <t>Montant à charge de la commune</t>
  </si>
  <si>
    <t>Total à charge des communes</t>
  </si>
  <si>
    <t>Taux IFO</t>
  </si>
  <si>
    <t>P é r é q u a t i o n   d i r e c t e</t>
  </si>
  <si>
    <t>Treytorrens (Payerne)</t>
  </si>
  <si>
    <t>Jorat-Mézières</t>
  </si>
  <si>
    <t>Effort</t>
  </si>
  <si>
    <t>S y n t h è s e   e n   C H F</t>
  </si>
  <si>
    <t>Taux maximum plafonné. Art. 6 DLPIC</t>
  </si>
  <si>
    <t>Seuil 4</t>
  </si>
  <si>
    <t>Seuil 5</t>
  </si>
  <si>
    <t>Point impôt</t>
  </si>
  <si>
    <t>Total de la participation à la cohésion sociale</t>
  </si>
  <si>
    <t xml:space="preserve">Charges de fonctionnement </t>
  </si>
  <si>
    <t xml:space="preserve">Investissements </t>
  </si>
  <si>
    <t>Investissements</t>
  </si>
  <si>
    <t>Transports</t>
  </si>
  <si>
    <t>Forêts</t>
  </si>
  <si>
    <t>Totaux</t>
  </si>
  <si>
    <t>Acomptes*</t>
  </si>
  <si>
    <t>(+ à payer / - à recevoir)</t>
  </si>
  <si>
    <t>Communes</t>
  </si>
  <si>
    <t>Péréquation horizontale</t>
  </si>
  <si>
    <t>Acomptes</t>
  </si>
  <si>
    <t>Décompte</t>
  </si>
  <si>
    <t>Participation à la cohésion sociale</t>
  </si>
  <si>
    <t>Communes 
LDecTer</t>
  </si>
  <si>
    <t>Hautemorges</t>
  </si>
  <si>
    <t>Table des matières</t>
  </si>
  <si>
    <t>Cette couche alloue des montants à toutes les communes en fonction de leur population. Son but est de tenir compte du fait que certaines charges d’une commune tendent à augmenter avec l’augmentation de sa taille.</t>
  </si>
  <si>
    <t>Les dépenses thématique allouent des montants aux communes qui doivent faire face à des dépenses jugées excessives dans les domaines des transports (routes, transports publics et transports scolaires) et des forêts.</t>
  </si>
  <si>
    <t>Données saisies</t>
  </si>
  <si>
    <t>Plafond de l'effort</t>
  </si>
  <si>
    <t>Plafond de l'aide</t>
  </si>
  <si>
    <t>Plafond du taux</t>
  </si>
  <si>
    <t>Décompte vs acomptes</t>
  </si>
  <si>
    <t>← Précédent</t>
  </si>
  <si>
    <t>Suivant →</t>
  </si>
  <si>
    <t>Paramétrage du système</t>
  </si>
  <si>
    <t>Péréquation Directe - Dépenses Thématiques</t>
  </si>
  <si>
    <t>Période de calcul</t>
  </si>
  <si>
    <t>Facture policière</t>
  </si>
  <si>
    <t>Valeur du point d'impôt péréquatif (VPI)</t>
  </si>
  <si>
    <t>Paramètrage de la feuille de calcul et références aux bases légales.</t>
  </si>
  <si>
    <t>Valeur du point d'impôt péréquatif</t>
  </si>
  <si>
    <t>Participation à charge des communes</t>
  </si>
  <si>
    <t>P a r t i c i p a t i o n   à   l a    c o h é s i o n    s o c i a l e</t>
  </si>
  <si>
    <t>T o t a l   p é r é q u a t i o n    e t    f a c t u r e s    c a n t o n a l e s</t>
  </si>
  <si>
    <t>Impôt à la
 source</t>
  </si>
  <si>
    <t>Compensation RFFA</t>
  </si>
  <si>
    <t>Impôt spécial
 affecté</t>
  </si>
  <si>
    <t>Impôt foncier
normalisé</t>
  </si>
  <si>
    <t>Impôt des frontaliers</t>
  </si>
  <si>
    <t>Montant de la PCS à répartir</t>
  </si>
  <si>
    <t>À répartir en points d'impôt</t>
  </si>
  <si>
    <t>Calcul de la capacité fiscale relative</t>
  </si>
  <si>
    <t>% du taux moyen</t>
  </si>
  <si>
    <t>Participation à la cohésion sociale (PCS)</t>
  </si>
  <si>
    <t>Prélèvement sur les impôts conjoncturels</t>
  </si>
  <si>
    <t>Synthèse</t>
  </si>
  <si>
    <t>Plafond
forêts</t>
  </si>
  <si>
    <t>Total
forêts</t>
  </si>
  <si>
    <t>Total
transports</t>
  </si>
  <si>
    <t>Plafonds</t>
  </si>
  <si>
    <t>Plafond en points</t>
  </si>
  <si>
    <t>Alimentation péréquation directe</t>
  </si>
  <si>
    <t>Effort péréquatif net</t>
  </si>
  <si>
    <t>Taux après déduction de l'ancien effort</t>
  </si>
  <si>
    <t>Restitution en CHF</t>
  </si>
  <si>
    <t>Retenue
en CHF</t>
  </si>
  <si>
    <t>Total routes et infrastructures</t>
  </si>
  <si>
    <t>Avec police communale</t>
  </si>
  <si>
    <t>Communes avec police</t>
  </si>
  <si>
    <t>Cette couche alloue des montants aux communes avec une valeur du point d’impôt péréquatif par habitant inférieure à la moyenne. Elle cible de manière directe les disparités de capacité financière entre les communes.</t>
  </si>
  <si>
    <t xml:space="preserve"> Extraction synthétique des montants à recevoir ou à payer pour une commune au choix.</t>
  </si>
  <si>
    <t>Calcul de la valeur du point d'impôt péréquatif selon les dispositions légales en vigueur.</t>
  </si>
  <si>
    <t>Acomptes/décompte et année</t>
  </si>
  <si>
    <t>Impôt sur le revenu</t>
  </si>
  <si>
    <t>Impôt sur la fortune</t>
  </si>
  <si>
    <t>Impôt sur le bénéfice</t>
  </si>
  <si>
    <t>Impôt sur le capital</t>
  </si>
  <si>
    <t>Impôt sur les immeubles des sociétés</t>
  </si>
  <si>
    <t>Prélèvement sur les impôts conjoncturels (art. 3 LPIC)</t>
  </si>
  <si>
    <t>Droits de mutation, gains immobiliers, successions et donations</t>
  </si>
  <si>
    <t>Pourcentage prélevé</t>
  </si>
  <si>
    <t>Ecrêtage (art. 4 LPIC)</t>
  </si>
  <si>
    <t>Couche population (art. 8 LPIC et art. 2 DLPIC)</t>
  </si>
  <si>
    <t>Seuil de population (habitants)</t>
  </si>
  <si>
    <t>Couche solidarité (art. 8 LPIC et art. 3 DLPIC)</t>
  </si>
  <si>
    <t>Taux de compensation pour les communes à faible capacité financière</t>
  </si>
  <si>
    <t>Gestion du fond (art. 8 DLPIC)</t>
  </si>
  <si>
    <t>Montants affectés aux plafonnements et gestion du fond</t>
  </si>
  <si>
    <t>Dépenses thématiques (art. 8 LPIC et art. 4 DLPIC)</t>
  </si>
  <si>
    <t>Entretien des forêts</t>
  </si>
  <si>
    <t>Transports publics, transports routiers et transports scolaires</t>
  </si>
  <si>
    <t>Total des dépassements</t>
  </si>
  <si>
    <t>Compensation théorique</t>
  </si>
  <si>
    <t>Plafond global (art. 4 al. 2)</t>
  </si>
  <si>
    <t>Aide péréquatif maximal en points d'impôt (art. 5 DLPIC)</t>
  </si>
  <si>
    <t>Effort péréquatif maximal en points d'impôt (art. 9d DLPIC)</t>
  </si>
  <si>
    <t>Nouveau article prévu par l'EMPD Budget de l'Etat de 2022 (maintien de la pratique 2020-2021).</t>
  </si>
  <si>
    <t>Paramètres des plafonds</t>
  </si>
  <si>
    <t>Total plafonds</t>
  </si>
  <si>
    <t>Financement</t>
  </si>
  <si>
    <t>Indexation du taux maximum</t>
  </si>
  <si>
    <t>Taux plafonné de l'année précédente</t>
  </si>
  <si>
    <t>Valeur du point (année précédente)</t>
  </si>
  <si>
    <t>PCS (année précédente)</t>
  </si>
  <si>
    <t>Montant de la facture 2013</t>
  </si>
  <si>
    <t>Augmentation forfaitaire annuelle</t>
  </si>
  <si>
    <t>Année de la facture policière</t>
  </si>
  <si>
    <t>Budget/comptes et année pour la PCS</t>
  </si>
  <si>
    <t>Date de la population</t>
  </si>
  <si>
    <t>Année des données de référence (rendements, taux, DT, etc.)</t>
  </si>
  <si>
    <t>Table des
matières</t>
  </si>
  <si>
    <t>Solde en points d'impôt</t>
  </si>
  <si>
    <t>Valeur du point par habitant</t>
  </si>
  <si>
    <t>Compensation de base</t>
  </si>
  <si>
    <t>Total à financer (alimentation)</t>
  </si>
  <si>
    <t>Différence = 0</t>
  </si>
  <si>
    <t>Données concernant toutes les communes saisies pour être utilisées dans les calculs du système de péréquation.</t>
  </si>
  <si>
    <t>Déduction complémentaire au montant de la PCS selon art. 17b al. 3 LOF</t>
  </si>
  <si>
    <t>à ajouter</t>
  </si>
  <si>
    <t>à déduire</t>
  </si>
  <si>
    <t>Effort  péréquatif net avec plafonds</t>
  </si>
  <si>
    <t>Effort péréquatif net sans dép. thém. et avec plafonds</t>
  </si>
  <si>
    <t>Répartition par habitant de la facture policière</t>
  </si>
  <si>
    <t>Valeur du
point d'impôt péréquatif</t>
  </si>
  <si>
    <t>Valeur du point d'impôt péréquatif par habitant</t>
  </si>
  <si>
    <t>Financement du solde en points</t>
  </si>
  <si>
    <t>Alimentation de la péréquation directe</t>
  </si>
  <si>
    <t>Données -&gt; Analyse de scenario -&gt; Valeur cible. Définir C49, cibler 0, modifier B49.</t>
  </si>
  <si>
    <t>Compensation</t>
  </si>
  <si>
    <t>Compensation pondérée</t>
  </si>
  <si>
    <t>Compensation population</t>
  </si>
  <si>
    <t>Compensation solidarité</t>
  </si>
  <si>
    <t>Compensation dépenses thématiques</t>
  </si>
  <si>
    <t>Montants à financer</t>
  </si>
  <si>
    <t>Couches péréquatives</t>
  </si>
  <si>
    <t>Compensation plafonds</t>
  </si>
  <si>
    <t>Effet net de la péréquation directe</t>
  </si>
  <si>
    <t>Compensation transports</t>
  </si>
  <si>
    <t>Compensation forêts</t>
  </si>
  <si>
    <t>Total des compensations</t>
  </si>
  <si>
    <t>Total du financement</t>
  </si>
  <si>
    <t>Forfait pour la gestion du système</t>
  </si>
  <si>
    <t>Taux projeté</t>
  </si>
  <si>
    <t>Impôts sur le revenu et la fortune</t>
  </si>
  <si>
    <t>Impôts sur le bénéfice et le capital, y compris compensation RFFA</t>
  </si>
  <si>
    <t>Prise en charge</t>
  </si>
  <si>
    <t>Répartition solde après prélèvements conjoncturels et écrêtage</t>
  </si>
  <si>
    <t>Facturation aux communes délégatrices</t>
  </si>
  <si>
    <t>F a c t u r e   p o l i c i è r e</t>
  </si>
  <si>
    <t>Répartition du solde de la facture</t>
  </si>
  <si>
    <t>Total de la facture policière</t>
  </si>
  <si>
    <t>Recherche par commune</t>
  </si>
  <si>
    <t>Total net de la péréquation directe</t>
  </si>
  <si>
    <t>D-A</t>
  </si>
  <si>
    <t>À venir</t>
  </si>
  <si>
    <t>Facture
policière</t>
  </si>
  <si>
    <t>Solde</t>
  </si>
  <si>
    <t>Droits de mutation, gains immobiliers et successions</t>
  </si>
  <si>
    <t>Modifications de taxations antérieures</t>
  </si>
  <si>
    <t>Impôt sur la dépense</t>
  </si>
  <si>
    <t>PPR + PPF</t>
  </si>
  <si>
    <t>PMB + PMC</t>
  </si>
  <si>
    <t>PCS sans prélèvements conjoncturels</t>
  </si>
  <si>
    <t>Effort net sans dépenses thématiques et avec prélévements conjoncturels</t>
  </si>
  <si>
    <r>
      <t xml:space="preserve">Financement reçu pour les nouvelles tâches
</t>
    </r>
    <r>
      <rPr>
        <i/>
        <sz val="9"/>
        <color theme="0"/>
        <rFont val="Calibri"/>
        <family val="2"/>
        <scheme val="minor"/>
      </rPr>
      <t>(équivalent de 2 points d'impôt communaux)</t>
    </r>
  </si>
  <si>
    <r>
      <t xml:space="preserve">Facturation aux communes délégatrices 
</t>
    </r>
    <r>
      <rPr>
        <i/>
        <sz val="9"/>
        <color theme="0"/>
        <rFont val="Calibri"/>
        <family val="2"/>
        <scheme val="minor"/>
      </rPr>
      <t>(au maximum l'équivalent de 2 points d'impôt communaux)</t>
    </r>
  </si>
  <si>
    <t>Routes et infrastructures</t>
  </si>
  <si>
    <r>
      <t xml:space="preserve">
</t>
    </r>
    <r>
      <rPr>
        <sz val="8"/>
        <rFont val="Calibri"/>
        <family val="2"/>
        <scheme val="minor"/>
      </rPr>
      <t>*montants selon le fichier des acomptes initiaux adoptés par la COPAR. Ne tient pas compte des arrangements survenus en cours d'année. Les factures, respectivement les remboursements, seront gérés par les services concernés, à savoir :
- pour la péréquation indirecte, par le Département de la santé et de l'action sociale (DSAS) ;
- pour la péréquation directe, par la Direction générale des affaires institutionnelles et des communes (DGAIC);
- pour la facture policière, par la police cantonale (PolCant).</t>
    </r>
  </si>
  <si>
    <t>PCS - Détail écrêtage</t>
  </si>
  <si>
    <t>Détail écrêtage</t>
  </si>
  <si>
    <t>La participation à la cohésion sociale (PCS) est une facture cantonale faisant participer les communes au financement des dépenses engagées par le canton en faveur des couches les plus fragiles de la population. Elle est financée en trois étapes (prélèvements conjoncturels, écrêtage et répartition du solde en fonction de la valeur du point d'impôt).</t>
  </si>
  <si>
    <t>La méthode de calcul de l'écrêtage étant particulièrement élaborée, elle fait l'objet d'un onglet de calcul à part.</t>
  </si>
  <si>
    <t>Le fonds de péréquation intercommunal comprend trois couches de subventionnement et trois plafonds. Les montants versés sont financés par les communes proportionnellement à la valeur des leurs points d'impôt péréquatifs.</t>
  </si>
  <si>
    <t>Dépenses thématiques (DT)</t>
  </si>
  <si>
    <t>Solidarité</t>
  </si>
  <si>
    <t>Répartition entre les communes du coût des missions générales de police (MGP) accomplies par la police cantonale.</t>
  </si>
  <si>
    <t>Synthèse des transferts générés par chaque composante du système de péréquation.</t>
  </si>
  <si>
    <t>Compensation 
dépenses thématiques</t>
  </si>
  <si>
    <t>Fonds de péréquation intercommunal
(ou péréquation directe)</t>
  </si>
  <si>
    <t>Paramètres</t>
  </si>
  <si>
    <t>Différences entre le décompte et les acomptes déjà versés (pertinent uniquement dans le fichier avec le décompte).</t>
  </si>
  <si>
    <t>Plafonds (effort, aide et taux)</t>
  </si>
  <si>
    <t>Montant nécessaire pour financer le total des plafonnements</t>
  </si>
  <si>
    <t>Crans</t>
  </si>
  <si>
    <t>Blonay-St-Légier</t>
  </si>
  <si>
    <t>Régimes repris intégralement par le Canton dès 2022 selon art. 17b al. 2 let a LOF</t>
  </si>
  <si>
    <t>Montant brut de la PCS avant convention et déduction complémentaire</t>
  </si>
  <si>
    <t>Coût des agences d'assurances sociales reprise par l'Etat (hors PCS)</t>
  </si>
  <si>
    <t>Montant net de la PCS à la charge des communes communiqué par DSAS
Montant tenant compte de  :</t>
  </si>
  <si>
    <r>
      <rPr>
        <b/>
        <sz val="8"/>
        <rFont val="Calibri"/>
        <family val="2"/>
        <scheme val="minor"/>
      </rPr>
      <t xml:space="preserve">Suivi des modifications législatives depuis 2017
</t>
    </r>
    <r>
      <rPr>
        <sz val="8"/>
        <rFont val="Calibri"/>
        <family val="2"/>
        <scheme val="minor"/>
      </rPr>
      <t xml:space="preserve">
</t>
    </r>
    <r>
      <rPr>
        <b/>
        <sz val="8"/>
        <rFont val="Calibri"/>
        <family val="2"/>
        <scheme val="minor"/>
      </rPr>
      <t>2017</t>
    </r>
    <r>
      <rPr>
        <sz val="8"/>
        <rFont val="Calibri"/>
        <family val="2"/>
        <scheme val="minor"/>
      </rPr>
      <t xml:space="preserve">: point d'impôt écrêté à 65% et plafond de l'aide augmenté de 5 à 6,5 points.
</t>
    </r>
    <r>
      <rPr>
        <b/>
        <sz val="8"/>
        <rFont val="Calibri"/>
        <family val="2"/>
        <scheme val="minor"/>
      </rPr>
      <t>2018</t>
    </r>
    <r>
      <rPr>
        <sz val="8"/>
        <rFont val="Calibri"/>
        <family val="2"/>
        <scheme val="minor"/>
      </rPr>
      <t xml:space="preserve">: point d'impôt écrêté à 50% et plafond de l'effort provisoirement fixé à 45 points (2018-2019)
</t>
    </r>
    <r>
      <rPr>
        <b/>
        <sz val="8"/>
        <rFont val="Calibri"/>
        <family val="2"/>
        <scheme val="minor"/>
      </rPr>
      <t>Dès 2019</t>
    </r>
    <r>
      <rPr>
        <sz val="8"/>
        <rFont val="Calibri"/>
        <family val="2"/>
        <scheme val="minor"/>
      </rPr>
      <t xml:space="preserve">: plafond de l'aide augmenté à 8 points, abandon du point d'impôt écrêté, nouveau palier d'écrêtage entre 100% et 120%, diminution de 6 points pour les autres paliers d'écrêtage, augmentation à CHF 125.- de la première tranche de la couche population, augmentation de 4 à 4,5 points du plafond global pour les dépenses thématiques.
</t>
    </r>
    <r>
      <rPr>
        <b/>
        <sz val="8"/>
        <rFont val="Calibri"/>
        <family val="2"/>
        <scheme val="minor"/>
      </rPr>
      <t>Dès 2020</t>
    </r>
    <r>
      <rPr>
        <sz val="8"/>
        <rFont val="Calibri"/>
        <family val="2"/>
        <scheme val="minor"/>
      </rPr>
      <t xml:space="preserve">: Compensation RFFA répartie en fonction du rendement des impôts PM. Exclusion du montant du prélèvement sur les impôts conjoncturels du calcul de l'effort péréquatif. Plafond de l'effort provisoirement fixé à 48 points (2020-2021).
</t>
    </r>
    <r>
      <rPr>
        <b/>
        <sz val="8"/>
        <rFont val="Calibri"/>
        <family val="2"/>
        <scheme val="minor"/>
      </rPr>
      <t>2021</t>
    </r>
    <r>
      <rPr>
        <sz val="8"/>
        <rFont val="Calibri"/>
        <family val="2"/>
        <scheme val="minor"/>
      </rPr>
      <t xml:space="preserve">: déduction forfaitaire de CHF 25 millions au montant de la PCS (art. 19a LOF)
</t>
    </r>
    <r>
      <rPr>
        <b/>
        <sz val="8"/>
        <rFont val="Calibri"/>
        <family val="2"/>
        <scheme val="minor"/>
      </rPr>
      <t>Dès 2022</t>
    </r>
    <r>
      <rPr>
        <sz val="8"/>
        <rFont val="Calibri"/>
        <family val="2"/>
        <scheme val="minor"/>
      </rPr>
      <t>: reconduction du plafond de l'effort provisoire à 48 points (2022-2023), reprise par l'Etat de certaines dépenses sociales incluses jusqu'ici dans la PCS et application de la déduction forfaitaire complémentaire à la PCS prévue par l'art. 19a LOF.</t>
    </r>
  </si>
  <si>
    <t>Montant
prélevé</t>
  </si>
  <si>
    <t>Décompte 2022</t>
  </si>
  <si>
    <t>Comptes 2022</t>
  </si>
  <si>
    <t>Solde à déduire de la PCS selon convention (CHF 60 mios pour 2023)</t>
  </si>
  <si>
    <t>Blonay-Saint-Légier</t>
  </si>
  <si>
    <t>!!! Valeyres-sous-Ursins</t>
  </si>
  <si>
    <t>Contrôle total
rééquilibrage</t>
  </si>
  <si>
    <t>Sous-total (avant dépenses thématiques)</t>
  </si>
  <si>
    <t>Compensation (-) des dépenses thématiques à déterminer</t>
  </si>
  <si>
    <r>
      <t xml:space="preserve">Total net sans </t>
    </r>
    <r>
      <rPr>
        <b/>
        <sz val="10"/>
        <color rgb="FF92D050"/>
        <rFont val="Calibri"/>
        <family val="2"/>
        <scheme val="minor"/>
      </rPr>
      <t>dépenses thématiques</t>
    </r>
  </si>
  <si>
    <t>Décompte provisoire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</si>
</sst>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 _C_H_F_-;\-* #,##0.00\ _C_H_F_-;_-* &quot;-&quot;??\ _C_H_F_-;_-@_-"/>
    <numFmt numFmtId="165" formatCode="_ * #,##0.00_ ;_ * \-#,##0.00_ ;_ * &quot;-&quot;??_ ;_ @_ "/>
    <numFmt numFmtId="166" formatCode="#\ ###\ ###\ ##0"/>
    <numFmt numFmtId="167" formatCode="#,##0.0"/>
    <numFmt numFmtId="168" formatCode="0.0%"/>
    <numFmt numFmtId="169" formatCode="#\ ###\ ##0"/>
    <numFmt numFmtId="170" formatCode="0.000"/>
    <numFmt numFmtId="171" formatCode="#,##0.000"/>
    <numFmt numFmtId="172" formatCode="#,##0;\-#,##0;"/>
    <numFmt numFmtId="173" formatCode="#,##0.000000"/>
    <numFmt numFmtId="174" formatCode="0.0000"/>
    <numFmt numFmtId="175" formatCode="_-* #,##0_-;\-* #,##0_-;_-* &quot;-&quot;??_-;_-@_-"/>
    <numFmt numFmtId="176" formatCode="_ * #,##0_ ;_ * \-#,##0_ ;_ * &quot;-&quot;??_ ;_ @_ "/>
    <numFmt numFmtId="177" formatCode="_-* #,##0.0_-;\-* #,##0.0_-;_-* &quot;-&quot;??_-;_-@_-"/>
    <numFmt numFmtId="178" formatCode="_ * #,##0.000_ ;_ * \-#,##0.000_ ;_ * &quot;-&quot;??_ ;_ @_ "/>
    <numFmt numFmtId="179" formatCode="0_ ;\-0\ "/>
    <numFmt numFmtId="180" formatCode="#,##0_ ;\-#,##0\ "/>
    <numFmt numFmtId="181" formatCode="#,##0.00_ ;\-#,##0.00\ "/>
    <numFmt numFmtId="182" formatCode="_-* #,##0.000_-;\-* #,##0.000_-;_-* &quot;-&quot;??_-;_-@_-"/>
    <numFmt numFmtId="183" formatCode="0.0"/>
    <numFmt numFmtId="184" formatCode="_-* #,##0.00000_-;\-* #,##0.00000_-;_-* &quot;-&quot;??_-;_-@_-"/>
  </numFmts>
  <fonts count="83"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Arial Narrow"/>
      <family val="2"/>
    </font>
    <font>
      <sz val="10"/>
      <name val="Arial"/>
      <family val="2"/>
    </font>
    <font>
      <sz val="8"/>
      <name val="Verdana"/>
      <family val="2"/>
    </font>
    <font>
      <sz val="10"/>
      <color indexed="8"/>
      <name val="Arial"/>
      <family val="2"/>
    </font>
    <font>
      <sz val="10"/>
      <name val="Times New Roman"/>
      <family val="1"/>
    </font>
    <font>
      <sz val="14"/>
      <name val="Times New Roman"/>
      <family val="1"/>
    </font>
    <font>
      <sz val="10"/>
      <name val="MS Sans Serif"/>
      <family val="2"/>
    </font>
    <font>
      <sz val="11"/>
      <color theme="1"/>
      <name val="Calibri"/>
      <family val="2"/>
      <scheme val="minor"/>
    </font>
    <font>
      <sz val="11"/>
      <color theme="0"/>
      <name val="Calibri"/>
      <family val="2"/>
      <scheme val="minor"/>
    </font>
    <font>
      <sz val="11"/>
      <name val="Calibri"/>
      <family val="2"/>
      <scheme val="minor"/>
    </font>
    <font>
      <i/>
      <sz val="11"/>
      <name val="Calibri"/>
      <family val="2"/>
      <scheme val="minor"/>
    </font>
    <font>
      <sz val="16"/>
      <name val="Calibri"/>
      <family val="2"/>
      <scheme val="minor"/>
    </font>
    <font>
      <b/>
      <sz val="11"/>
      <name val="Calibri"/>
      <family val="2"/>
      <scheme val="minor"/>
    </font>
    <font>
      <sz val="11"/>
      <color indexed="10"/>
      <name val="Calibri"/>
      <family val="2"/>
      <scheme val="minor"/>
    </font>
    <font>
      <sz val="11"/>
      <color indexed="8"/>
      <name val="Calibri"/>
      <family val="2"/>
      <scheme val="minor"/>
    </font>
    <font>
      <sz val="20"/>
      <name val="Calibri"/>
      <family val="2"/>
      <scheme val="minor"/>
    </font>
    <font>
      <sz val="20"/>
      <color theme="0"/>
      <name val="Calibri"/>
      <family val="2"/>
      <scheme val="minor"/>
    </font>
    <font>
      <sz val="10"/>
      <name val="Arial"/>
      <family val="2"/>
    </font>
    <font>
      <sz val="10"/>
      <name val="Calibri"/>
      <family val="2"/>
      <scheme val="minor"/>
    </font>
    <font>
      <sz val="12"/>
      <color theme="0"/>
      <name val="Trebuchet MS"/>
      <family val="2"/>
    </font>
    <font>
      <b/>
      <sz val="10"/>
      <name val="Calibri"/>
      <family val="2"/>
      <scheme val="minor"/>
    </font>
    <font>
      <sz val="14"/>
      <name val="Trebuchet MS"/>
      <family val="2"/>
    </font>
    <font>
      <sz val="11"/>
      <color theme="0"/>
      <name val="Calibri"/>
      <family val="2"/>
    </font>
    <font>
      <sz val="11"/>
      <name val="Calibri"/>
      <family val="2"/>
    </font>
    <font>
      <sz val="8"/>
      <name val="Helvetica"/>
    </font>
    <font>
      <sz val="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9"/>
      <name val="Calibri"/>
      <family val="2"/>
      <scheme val="minor"/>
    </font>
    <font>
      <b/>
      <sz val="9"/>
      <color theme="1"/>
      <name val="Calibri"/>
      <family val="2"/>
      <scheme val="minor"/>
    </font>
    <font>
      <b/>
      <sz val="9"/>
      <color indexed="81"/>
      <name val="Tahoma"/>
      <family val="2"/>
    </font>
    <font>
      <sz val="8"/>
      <name val="Calibri"/>
      <family val="2"/>
      <scheme val="minor"/>
    </font>
    <font>
      <sz val="9"/>
      <name val="Calibri"/>
      <family val="2"/>
      <scheme val="minor"/>
    </font>
    <font>
      <u/>
      <sz val="10"/>
      <color theme="10"/>
      <name val="Verdana"/>
      <family val="2"/>
    </font>
    <font>
      <b/>
      <sz val="10"/>
      <name val="Verdana"/>
      <family val="2"/>
    </font>
    <font>
      <b/>
      <sz val="16"/>
      <name val="Verdana"/>
      <family val="2"/>
    </font>
    <font>
      <b/>
      <sz val="20"/>
      <name val="Calibri"/>
      <family val="2"/>
      <scheme val="minor"/>
    </font>
    <font>
      <sz val="11"/>
      <color rgb="FF0070C0"/>
      <name val="Calibri"/>
      <family val="2"/>
      <scheme val="minor"/>
    </font>
    <font>
      <sz val="12"/>
      <name val="Calibri"/>
      <family val="2"/>
      <scheme val="minor"/>
    </font>
    <font>
      <sz val="9"/>
      <color indexed="81"/>
      <name val="Tahoma"/>
      <family val="2"/>
    </font>
    <font>
      <i/>
      <sz val="9"/>
      <name val="Calibri"/>
      <family val="2"/>
      <scheme val="minor"/>
    </font>
    <font>
      <u/>
      <sz val="9"/>
      <color indexed="81"/>
      <name val="Tahoma"/>
      <family val="2"/>
    </font>
    <font>
      <i/>
      <sz val="9"/>
      <color theme="0"/>
      <name val="Calibri"/>
      <family val="2"/>
      <scheme val="minor"/>
    </font>
    <font>
      <b/>
      <sz val="8"/>
      <name val="Calibri"/>
      <family val="2"/>
      <scheme val="minor"/>
    </font>
    <font>
      <u/>
      <sz val="8"/>
      <color theme="10"/>
      <name val="Verdana"/>
      <family val="2"/>
    </font>
    <font>
      <sz val="11"/>
      <color rgb="FFFF0000"/>
      <name val="Calibri"/>
      <family val="2"/>
      <scheme val="minor"/>
    </font>
    <font>
      <b/>
      <sz val="10"/>
      <color rgb="FF92D050"/>
      <name val="Calibri"/>
      <family val="2"/>
      <scheme val="minor"/>
    </font>
    <font>
      <sz val="8"/>
      <color indexed="81"/>
      <name val="Tahoma"/>
      <family val="2"/>
    </font>
  </fonts>
  <fills count="4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70C0"/>
        <bgColor indexed="64"/>
      </patternFill>
    </fill>
    <fill>
      <patternFill patternType="solid">
        <fgColor rgb="FFC0000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34">
    <border>
      <left/>
      <right/>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8"/>
      </top>
      <bottom/>
      <diagonal/>
    </border>
    <border>
      <left style="hair">
        <color indexed="8"/>
      </left>
      <right style="hair">
        <color indexed="8"/>
      </right>
      <top style="hair">
        <color indexed="8"/>
      </top>
      <bottom style="hair">
        <color indexed="8"/>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bottom style="thin">
        <color indexed="64"/>
      </bottom>
      <diagonal/>
    </border>
    <border>
      <left/>
      <right style="thin">
        <color theme="0"/>
      </right>
      <top/>
      <bottom style="thin">
        <color indexed="64"/>
      </bottom>
      <diagonal/>
    </border>
    <border>
      <left style="thin">
        <color rgb="FFC00000"/>
      </left>
      <right style="thin">
        <color rgb="FFC00000"/>
      </right>
      <top style="thin">
        <color rgb="FFC00000"/>
      </top>
      <bottom/>
      <diagonal/>
    </border>
  </borders>
  <cellStyleXfs count="669">
    <xf numFmtId="0" fontId="0" fillId="0" borderId="0"/>
    <xf numFmtId="0" fontId="23" fillId="0" borderId="1"/>
    <xf numFmtId="0" fontId="24" fillId="0" borderId="0"/>
    <xf numFmtId="0" fontId="23" fillId="0" borderId="2">
      <alignment vertical="top"/>
    </xf>
    <xf numFmtId="43" fontId="18" fillId="0" borderId="0" applyFont="0" applyFill="0" applyBorder="0" applyAlignment="0" applyProtection="0"/>
    <xf numFmtId="165" fontId="20" fillId="0" borderId="0" applyFont="0" applyFill="0" applyBorder="0" applyAlignment="0" applyProtection="0"/>
    <xf numFmtId="165" fontId="26" fillId="0" borderId="0" applyFont="0" applyFill="0" applyBorder="0" applyAlignment="0" applyProtection="0"/>
    <xf numFmtId="0" fontId="25" fillId="0" borderId="0"/>
    <xf numFmtId="0" fontId="22" fillId="0" borderId="0"/>
    <xf numFmtId="0" fontId="20" fillId="0" borderId="0"/>
    <xf numFmtId="0" fontId="26" fillId="0" borderId="0"/>
    <xf numFmtId="0" fontId="19" fillId="0" borderId="0"/>
    <xf numFmtId="9" fontId="18" fillId="0" borderId="0" applyFont="0" applyFill="0" applyBorder="0" applyAlignment="0" applyProtection="0"/>
    <xf numFmtId="9" fontId="20" fillId="0" borderId="0" applyFont="0" applyFill="0" applyBorder="0" applyAlignment="0" applyProtection="0"/>
    <xf numFmtId="165" fontId="36" fillId="0" borderId="0" applyFont="0" applyFill="0" applyBorder="0" applyAlignment="0" applyProtection="0"/>
    <xf numFmtId="0" fontId="36" fillId="0" borderId="0"/>
    <xf numFmtId="165" fontId="16" fillId="0" borderId="0" applyFont="0" applyFill="0" applyBorder="0" applyAlignment="0" applyProtection="0"/>
    <xf numFmtId="0" fontId="16" fillId="0" borderId="0"/>
    <xf numFmtId="0" fontId="18"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0" fillId="0" borderId="0" applyFont="0" applyFill="0" applyBorder="0" applyAlignment="0" applyProtection="0"/>
    <xf numFmtId="0" fontId="15" fillId="0" borderId="0"/>
    <xf numFmtId="0" fontId="15" fillId="0" borderId="0"/>
    <xf numFmtId="0" fontId="15" fillId="0" borderId="0"/>
    <xf numFmtId="0" fontId="15" fillId="0" borderId="0"/>
    <xf numFmtId="0" fontId="20"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0" fontId="20" fillId="0" borderId="0"/>
    <xf numFmtId="0" fontId="20"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20"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3" fillId="0" borderId="5" applyBorder="0">
      <alignment horizontal="center" textRotation="90"/>
    </xf>
    <xf numFmtId="0" fontId="44" fillId="0" borderId="0"/>
    <xf numFmtId="0" fontId="4"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165" fontId="4" fillId="0" borderId="0" applyFont="0" applyFill="0" applyBorder="0" applyAlignment="0" applyProtection="0"/>
    <xf numFmtId="0" fontId="4" fillId="0" borderId="0"/>
    <xf numFmtId="9" fontId="18"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8"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20" fillId="0" borderId="0"/>
    <xf numFmtId="0" fontId="45" fillId="0" borderId="0">
      <alignment vertical="top"/>
    </xf>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8" fillId="0" borderId="0" applyNumberFormat="0" applyFill="0" applyBorder="0" applyAlignment="0" applyProtection="0"/>
    <xf numFmtId="0" fontId="49" fillId="27" borderId="18" applyNumberFormat="0" applyAlignment="0" applyProtection="0"/>
    <xf numFmtId="0" fontId="50" fillId="0" borderId="19" applyNumberFormat="0" applyFill="0" applyAlignment="0" applyProtection="0"/>
    <xf numFmtId="0" fontId="51" fillId="14" borderId="18" applyNumberFormat="0" applyAlignment="0" applyProtection="0"/>
    <xf numFmtId="0" fontId="52" fillId="10" borderId="0" applyNumberFormat="0" applyBorder="0" applyAlignment="0" applyProtection="0"/>
    <xf numFmtId="165" fontId="22" fillId="0" borderId="0" applyFont="0" applyFill="0" applyBorder="0" applyAlignment="0" applyProtection="0">
      <alignment vertical="top"/>
    </xf>
    <xf numFmtId="0" fontId="53" fillId="28" borderId="0" applyNumberFormat="0" applyBorder="0" applyAlignment="0" applyProtection="0"/>
    <xf numFmtId="0" fontId="25" fillId="0" borderId="0"/>
    <xf numFmtId="0" fontId="54" fillId="11" borderId="0" applyNumberFormat="0" applyBorder="0" applyAlignment="0" applyProtection="0"/>
    <xf numFmtId="0" fontId="55" fillId="27" borderId="20"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21" applyNumberFormat="0" applyFill="0" applyAlignment="0" applyProtection="0"/>
    <xf numFmtId="0" fontId="59" fillId="0" borderId="22" applyNumberFormat="0" applyFill="0" applyAlignment="0" applyProtection="0"/>
    <xf numFmtId="0" fontId="60" fillId="0" borderId="23" applyNumberFormat="0" applyFill="0" applyAlignment="0" applyProtection="0"/>
    <xf numFmtId="0" fontId="60" fillId="0" borderId="0" applyNumberFormat="0" applyFill="0" applyBorder="0" applyAlignment="0" applyProtection="0"/>
    <xf numFmtId="0" fontId="61" fillId="0" borderId="24" applyNumberFormat="0" applyFill="0" applyAlignment="0" applyProtection="0"/>
    <xf numFmtId="0" fontId="62" fillId="29" borderId="25" applyNumberFormat="0" applyAlignment="0" applyProtection="0"/>
    <xf numFmtId="0" fontId="4" fillId="0" borderId="0"/>
    <xf numFmtId="165" fontId="4" fillId="0" borderId="0" applyFont="0" applyFill="0" applyBorder="0" applyAlignment="0" applyProtection="0"/>
    <xf numFmtId="0" fontId="23" fillId="0" borderId="26"/>
    <xf numFmtId="0" fontId="23" fillId="0" borderId="27">
      <alignment vertical="top"/>
    </xf>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68" fillId="0" borderId="0" applyNumberFormat="0" applyFill="0" applyBorder="0" applyAlignment="0" applyProtection="0"/>
  </cellStyleXfs>
  <cellXfs count="711">
    <xf numFmtId="0" fontId="0" fillId="0" borderId="0" xfId="0"/>
    <xf numFmtId="175" fontId="28" fillId="0" borderId="0" xfId="4" applyNumberFormat="1" applyFont="1" applyFill="1" applyBorder="1"/>
    <xf numFmtId="0" fontId="28" fillId="3" borderId="0" xfId="0" applyNumberFormat="1" applyFont="1" applyFill="1" applyAlignment="1">
      <alignment horizontal="left"/>
    </xf>
    <xf numFmtId="0" fontId="28" fillId="3" borderId="0" xfId="0" applyNumberFormat="1" applyFont="1" applyFill="1" applyAlignment="1">
      <alignment horizontal="center"/>
    </xf>
    <xf numFmtId="175" fontId="28" fillId="3" borderId="0" xfId="4" applyNumberFormat="1" applyFont="1" applyFill="1" applyAlignment="1">
      <alignment horizontal="center"/>
    </xf>
    <xf numFmtId="175" fontId="28" fillId="3" borderId="0" xfId="4" applyNumberFormat="1" applyFont="1" applyFill="1"/>
    <xf numFmtId="0" fontId="28" fillId="3" borderId="14" xfId="0" applyNumberFormat="1" applyFont="1" applyFill="1" applyBorder="1" applyAlignment="1">
      <alignment horizontal="center"/>
    </xf>
    <xf numFmtId="0" fontId="28" fillId="3" borderId="5" xfId="0" applyNumberFormat="1" applyFont="1" applyFill="1" applyBorder="1" applyAlignment="1">
      <alignment horizontal="center"/>
    </xf>
    <xf numFmtId="175" fontId="28" fillId="3" borderId="5" xfId="4" applyNumberFormat="1" applyFont="1" applyFill="1" applyBorder="1"/>
    <xf numFmtId="175" fontId="28" fillId="3" borderId="14" xfId="4" applyNumberFormat="1" applyFont="1" applyFill="1" applyBorder="1"/>
    <xf numFmtId="3" fontId="28" fillId="3" borderId="0" xfId="0" applyNumberFormat="1" applyFont="1" applyFill="1"/>
    <xf numFmtId="0" fontId="28" fillId="3" borderId="0" xfId="0" applyFont="1" applyFill="1"/>
    <xf numFmtId="175" fontId="28" fillId="3" borderId="0" xfId="4" applyNumberFormat="1" applyFont="1" applyFill="1" applyBorder="1"/>
    <xf numFmtId="43" fontId="28" fillId="3" borderId="0" xfId="4" applyFont="1" applyFill="1"/>
    <xf numFmtId="0" fontId="28" fillId="3" borderId="0" xfId="0" applyFont="1" applyFill="1" applyAlignment="1">
      <alignment vertical="top" wrapText="1"/>
    </xf>
    <xf numFmtId="43" fontId="28" fillId="3" borderId="0" xfId="0" applyNumberFormat="1" applyFont="1" applyFill="1"/>
    <xf numFmtId="175" fontId="28" fillId="3" borderId="3" xfId="4" applyNumberFormat="1" applyFont="1" applyFill="1" applyBorder="1"/>
    <xf numFmtId="43" fontId="28" fillId="3" borderId="14" xfId="4" applyFont="1" applyFill="1" applyBorder="1"/>
    <xf numFmtId="0" fontId="28" fillId="3" borderId="0" xfId="0" applyFont="1" applyFill="1" applyAlignment="1">
      <alignment horizontal="center"/>
    </xf>
    <xf numFmtId="166" fontId="28" fillId="3" borderId="17" xfId="0" applyNumberFormat="1" applyFont="1" applyFill="1" applyBorder="1" applyAlignment="1">
      <alignment horizontal="center"/>
    </xf>
    <xf numFmtId="0" fontId="30" fillId="3" borderId="0" xfId="0" applyNumberFormat="1" applyFont="1" applyFill="1" applyAlignment="1">
      <alignment horizontal="left"/>
    </xf>
    <xf numFmtId="0" fontId="30" fillId="3" borderId="0" xfId="0" applyNumberFormat="1" applyFont="1" applyFill="1" applyAlignment="1">
      <alignment horizontal="center"/>
    </xf>
    <xf numFmtId="0" fontId="29" fillId="3" borderId="0" xfId="0" applyFont="1" applyFill="1"/>
    <xf numFmtId="4" fontId="28" fillId="3" borderId="0" xfId="0" applyNumberFormat="1" applyFont="1" applyFill="1"/>
    <xf numFmtId="166" fontId="28" fillId="3" borderId="0" xfId="0" applyNumberFormat="1" applyFont="1" applyFill="1" applyAlignment="1">
      <alignment horizontal="left"/>
    </xf>
    <xf numFmtId="0" fontId="28" fillId="3" borderId="14" xfId="0" applyFont="1" applyFill="1" applyBorder="1"/>
    <xf numFmtId="175" fontId="28" fillId="3" borderId="11" xfId="4" applyNumberFormat="1" applyFont="1" applyFill="1" applyBorder="1"/>
    <xf numFmtId="3" fontId="28" fillId="3" borderId="5" xfId="0" applyNumberFormat="1" applyFont="1" applyFill="1" applyBorder="1"/>
    <xf numFmtId="43" fontId="28" fillId="3" borderId="5" xfId="4" applyFont="1" applyFill="1" applyBorder="1"/>
    <xf numFmtId="175" fontId="28" fillId="3" borderId="0" xfId="0" applyNumberFormat="1" applyFont="1" applyFill="1"/>
    <xf numFmtId="175" fontId="28" fillId="4" borderId="14" xfId="4" applyNumberFormat="1" applyFont="1" applyFill="1" applyBorder="1"/>
    <xf numFmtId="175" fontId="28" fillId="3" borderId="9" xfId="4" applyNumberFormat="1" applyFont="1" applyFill="1" applyBorder="1"/>
    <xf numFmtId="3" fontId="28" fillId="3" borderId="0" xfId="11" applyNumberFormat="1" applyFont="1" applyFill="1" applyAlignment="1">
      <alignment vertical="center"/>
    </xf>
    <xf numFmtId="0" fontId="28" fillId="3" borderId="0" xfId="11" applyFont="1" applyFill="1" applyAlignment="1">
      <alignment vertical="center"/>
    </xf>
    <xf numFmtId="175" fontId="28" fillId="3" borderId="0" xfId="4" applyNumberFormat="1" applyFont="1" applyFill="1" applyAlignment="1">
      <alignment vertical="center"/>
    </xf>
    <xf numFmtId="0" fontId="28" fillId="3" borderId="0" xfId="0" applyFont="1" applyFill="1" applyBorder="1"/>
    <xf numFmtId="0" fontId="28" fillId="3" borderId="4" xfId="0" applyFont="1" applyFill="1" applyBorder="1" applyAlignment="1">
      <alignment horizontal="center"/>
    </xf>
    <xf numFmtId="0" fontId="28" fillId="3" borderId="0" xfId="0" quotePrefix="1" applyFont="1" applyFill="1"/>
    <xf numFmtId="0" fontId="28" fillId="3" borderId="5" xfId="0" applyFont="1" applyFill="1" applyBorder="1" applyAlignment="1">
      <alignment horizontal="center"/>
    </xf>
    <xf numFmtId="0" fontId="28" fillId="3" borderId="3" xfId="0" applyFont="1" applyFill="1" applyBorder="1" applyAlignment="1">
      <alignment horizontal="center"/>
    </xf>
    <xf numFmtId="0" fontId="29" fillId="3" borderId="0" xfId="11" applyFont="1" applyFill="1"/>
    <xf numFmtId="175" fontId="28" fillId="3" borderId="4" xfId="4" applyNumberFormat="1" applyFont="1" applyFill="1" applyBorder="1"/>
    <xf numFmtId="175" fontId="28" fillId="4" borderId="5" xfId="4" applyNumberFormat="1" applyFont="1" applyFill="1" applyBorder="1"/>
    <xf numFmtId="0" fontId="28" fillId="3" borderId="0" xfId="11" applyFont="1" applyFill="1" applyBorder="1" applyAlignment="1">
      <alignment vertical="center"/>
    </xf>
    <xf numFmtId="10" fontId="28" fillId="3" borderId="0" xfId="12" applyNumberFormat="1" applyFont="1" applyFill="1" applyAlignment="1">
      <alignment vertical="center"/>
    </xf>
    <xf numFmtId="10" fontId="28" fillId="3" borderId="0" xfId="12" applyNumberFormat="1" applyFont="1" applyFill="1"/>
    <xf numFmtId="4" fontId="28" fillId="3" borderId="14" xfId="0" applyNumberFormat="1" applyFont="1" applyFill="1" applyBorder="1"/>
    <xf numFmtId="10" fontId="28" fillId="3" borderId="14" xfId="12" applyNumberFormat="1" applyFont="1" applyFill="1" applyBorder="1"/>
    <xf numFmtId="0" fontId="27" fillId="5" borderId="14" xfId="0" applyFont="1" applyFill="1" applyBorder="1" applyAlignment="1">
      <alignment horizontal="center" vertical="center" wrapText="1"/>
    </xf>
    <xf numFmtId="169" fontId="28" fillId="3" borderId="0" xfId="11" applyNumberFormat="1" applyFont="1" applyFill="1" applyAlignment="1">
      <alignment vertical="center"/>
    </xf>
    <xf numFmtId="175" fontId="28" fillId="3" borderId="15" xfId="4" applyNumberFormat="1" applyFont="1" applyFill="1" applyBorder="1"/>
    <xf numFmtId="175" fontId="28" fillId="3" borderId="16" xfId="4" applyNumberFormat="1" applyFont="1" applyFill="1" applyBorder="1"/>
    <xf numFmtId="170" fontId="28" fillId="3" borderId="0" xfId="0" applyNumberFormat="1" applyFont="1" applyFill="1"/>
    <xf numFmtId="0" fontId="28" fillId="3" borderId="0" xfId="0" applyFont="1" applyFill="1" applyAlignment="1">
      <alignment vertical="top"/>
    </xf>
    <xf numFmtId="3" fontId="28" fillId="3" borderId="0" xfId="0" applyNumberFormat="1" applyFont="1" applyFill="1" applyAlignment="1">
      <alignment vertical="top"/>
    </xf>
    <xf numFmtId="3" fontId="28" fillId="3" borderId="0" xfId="0" applyNumberFormat="1" applyFont="1" applyFill="1" applyBorder="1" applyAlignment="1">
      <alignment vertical="top" wrapText="1"/>
    </xf>
    <xf numFmtId="0" fontId="28" fillId="3" borderId="14" xfId="0" applyFont="1" applyFill="1" applyBorder="1" applyAlignment="1">
      <alignment horizontal="center"/>
    </xf>
    <xf numFmtId="173" fontId="28" fillId="3" borderId="0" xfId="0" applyNumberFormat="1" applyFont="1" applyFill="1" applyAlignment="1">
      <alignment vertical="top"/>
    </xf>
    <xf numFmtId="175" fontId="28" fillId="3" borderId="12" xfId="4" applyNumberFormat="1" applyFont="1" applyFill="1" applyBorder="1"/>
    <xf numFmtId="43" fontId="28" fillId="3" borderId="4" xfId="4" applyFont="1" applyFill="1" applyBorder="1"/>
    <xf numFmtId="169" fontId="28" fillId="3" borderId="0" xfId="0" applyNumberFormat="1" applyFont="1" applyFill="1"/>
    <xf numFmtId="3" fontId="28" fillId="3" borderId="14" xfId="12" applyNumberFormat="1" applyFont="1" applyFill="1" applyBorder="1"/>
    <xf numFmtId="43" fontId="28" fillId="3" borderId="14" xfId="4" applyNumberFormat="1" applyFont="1" applyFill="1" applyBorder="1"/>
    <xf numFmtId="175" fontId="28" fillId="7" borderId="14" xfId="4" applyNumberFormat="1" applyFont="1" applyFill="1" applyBorder="1"/>
    <xf numFmtId="175" fontId="28" fillId="4" borderId="4" xfId="4" applyNumberFormat="1" applyFont="1" applyFill="1" applyBorder="1"/>
    <xf numFmtId="175" fontId="28" fillId="4" borderId="3" xfId="4" applyNumberFormat="1" applyFont="1" applyFill="1" applyBorder="1"/>
    <xf numFmtId="3" fontId="27" fillId="5" borderId="4" xfId="0" applyNumberFormat="1" applyFont="1" applyFill="1" applyBorder="1"/>
    <xf numFmtId="0" fontId="27" fillId="5" borderId="0" xfId="0" applyFont="1" applyFill="1"/>
    <xf numFmtId="0" fontId="28" fillId="3" borderId="8" xfId="0" applyFont="1" applyFill="1" applyBorder="1" applyAlignment="1">
      <alignment horizontal="center"/>
    </xf>
    <xf numFmtId="0" fontId="27" fillId="5" borderId="3" xfId="0" applyFont="1" applyFill="1" applyBorder="1" applyAlignment="1">
      <alignment horizontal="center"/>
    </xf>
    <xf numFmtId="175" fontId="28" fillId="3" borderId="13" xfId="4" applyNumberFormat="1" applyFont="1" applyFill="1" applyBorder="1"/>
    <xf numFmtId="2" fontId="28" fillId="3" borderId="0" xfId="0" applyNumberFormat="1" applyFont="1" applyFill="1"/>
    <xf numFmtId="175" fontId="28" fillId="4" borderId="11" xfId="4" applyNumberFormat="1" applyFont="1" applyFill="1" applyBorder="1"/>
    <xf numFmtId="171" fontId="28" fillId="3" borderId="0" xfId="0" applyNumberFormat="1" applyFont="1" applyFill="1"/>
    <xf numFmtId="166" fontId="28" fillId="3" borderId="14" xfId="0" applyNumberFormat="1" applyFont="1" applyFill="1" applyBorder="1" applyAlignment="1">
      <alignment horizontal="center"/>
    </xf>
    <xf numFmtId="175" fontId="28" fillId="3" borderId="7" xfId="4" applyNumberFormat="1" applyFont="1" applyFill="1" applyBorder="1"/>
    <xf numFmtId="0" fontId="27" fillId="5" borderId="17" xfId="0" applyFont="1" applyFill="1" applyBorder="1"/>
    <xf numFmtId="0" fontId="27" fillId="5" borderId="6" xfId="0" applyFont="1" applyFill="1" applyBorder="1"/>
    <xf numFmtId="0" fontId="27" fillId="5" borderId="14" xfId="0" applyFont="1" applyFill="1" applyBorder="1" applyAlignment="1">
      <alignment horizontal="center"/>
    </xf>
    <xf numFmtId="43" fontId="28" fillId="3" borderId="0" xfId="4" applyFont="1" applyFill="1" applyBorder="1" applyAlignment="1">
      <alignment vertical="center"/>
    </xf>
    <xf numFmtId="43" fontId="28" fillId="3" borderId="0" xfId="4" applyFont="1" applyFill="1" applyAlignment="1">
      <alignment vertical="center"/>
    </xf>
    <xf numFmtId="172" fontId="28" fillId="3" borderId="0" xfId="0" applyNumberFormat="1" applyFont="1" applyFill="1"/>
    <xf numFmtId="167" fontId="28" fillId="3" borderId="12" xfId="0" applyNumberFormat="1" applyFont="1" applyFill="1" applyBorder="1"/>
    <xf numFmtId="167" fontId="28" fillId="3" borderId="11" xfId="0" applyNumberFormat="1" applyFont="1" applyFill="1" applyBorder="1"/>
    <xf numFmtId="167" fontId="28" fillId="3" borderId="13" xfId="0" applyNumberFormat="1" applyFont="1" applyFill="1" applyBorder="1"/>
    <xf numFmtId="0" fontId="32" fillId="3" borderId="0" xfId="0" applyFont="1" applyFill="1"/>
    <xf numFmtId="0" fontId="33" fillId="3" borderId="5" xfId="0" applyFont="1" applyFill="1" applyBorder="1" applyAlignment="1">
      <alignment horizontal="center"/>
    </xf>
    <xf numFmtId="0" fontId="33" fillId="3" borderId="0" xfId="0" applyFont="1" applyFill="1"/>
    <xf numFmtId="0" fontId="28" fillId="7" borderId="0" xfId="0" applyFont="1" applyFill="1"/>
    <xf numFmtId="0" fontId="28" fillId="7" borderId="0" xfId="0" applyFont="1" applyFill="1" applyBorder="1"/>
    <xf numFmtId="0" fontId="29" fillId="7" borderId="0" xfId="0" applyFont="1" applyFill="1"/>
    <xf numFmtId="174" fontId="28" fillId="7" borderId="0" xfId="0" applyNumberFormat="1" applyFont="1" applyFill="1" applyBorder="1"/>
    <xf numFmtId="3" fontId="28" fillId="7" borderId="0" xfId="0" applyNumberFormat="1" applyFont="1" applyFill="1"/>
    <xf numFmtId="2" fontId="28" fillId="7" borderId="0" xfId="0" applyNumberFormat="1" applyFont="1" applyFill="1"/>
    <xf numFmtId="9" fontId="28" fillId="7" borderId="0" xfId="0" applyNumberFormat="1" applyFont="1" applyFill="1" applyBorder="1" applyAlignment="1">
      <alignment horizontal="center" vertical="top" wrapText="1"/>
    </xf>
    <xf numFmtId="2" fontId="28" fillId="7" borderId="0" xfId="0" applyNumberFormat="1" applyFont="1" applyFill="1" applyBorder="1" applyAlignment="1">
      <alignment horizontal="center"/>
    </xf>
    <xf numFmtId="10" fontId="28" fillId="7" borderId="14" xfId="0" applyNumberFormat="1" applyFont="1" applyFill="1" applyBorder="1" applyAlignment="1">
      <alignment horizontal="center" vertical="top" wrapText="1"/>
    </xf>
    <xf numFmtId="170" fontId="28" fillId="7" borderId="0" xfId="0" applyNumberFormat="1" applyFont="1" applyFill="1" applyBorder="1"/>
    <xf numFmtId="3" fontId="28" fillId="7" borderId="0" xfId="0" applyNumberFormat="1" applyFont="1" applyFill="1" applyBorder="1"/>
    <xf numFmtId="43" fontId="28" fillId="7" borderId="0" xfId="4" applyFont="1" applyFill="1" applyBorder="1"/>
    <xf numFmtId="0" fontId="28" fillId="7" borderId="14" xfId="0" applyFont="1" applyFill="1" applyBorder="1"/>
    <xf numFmtId="43" fontId="28" fillId="7" borderId="14" xfId="4" applyFont="1" applyFill="1" applyBorder="1"/>
    <xf numFmtId="0" fontId="28" fillId="7" borderId="0" xfId="0" applyFont="1" applyFill="1" applyAlignment="1">
      <alignment vertical="top"/>
    </xf>
    <xf numFmtId="0" fontId="30" fillId="7" borderId="0" xfId="0" applyFont="1" applyFill="1"/>
    <xf numFmtId="9" fontId="28" fillId="6" borderId="14" xfId="0" applyNumberFormat="1" applyFont="1" applyFill="1" applyBorder="1" applyAlignment="1">
      <alignment horizontal="center" vertical="top" wrapText="1"/>
    </xf>
    <xf numFmtId="10" fontId="28" fillId="6" borderId="14" xfId="0" applyNumberFormat="1" applyFont="1" applyFill="1" applyBorder="1" applyAlignment="1">
      <alignment horizontal="center"/>
    </xf>
    <xf numFmtId="0" fontId="28" fillId="7" borderId="0" xfId="0" applyFont="1" applyFill="1" applyBorder="1" applyAlignment="1"/>
    <xf numFmtId="0" fontId="28" fillId="7" borderId="0" xfId="0" applyFont="1" applyFill="1" applyBorder="1" applyAlignment="1">
      <alignment horizontal="left" vertical="top"/>
    </xf>
    <xf numFmtId="0" fontId="28" fillId="7" borderId="0" xfId="0" applyFont="1" applyFill="1" applyBorder="1" applyAlignment="1">
      <alignment horizontal="left"/>
    </xf>
    <xf numFmtId="3" fontId="28" fillId="7" borderId="14" xfId="0" applyNumberFormat="1" applyFont="1" applyFill="1" applyBorder="1" applyAlignment="1">
      <alignment horizontal="center"/>
    </xf>
    <xf numFmtId="9" fontId="28" fillId="6" borderId="14" xfId="0" applyNumberFormat="1" applyFont="1" applyFill="1" applyBorder="1" applyAlignment="1">
      <alignment horizontal="center"/>
    </xf>
    <xf numFmtId="0" fontId="28" fillId="6" borderId="14" xfId="0" applyFont="1" applyFill="1" applyBorder="1" applyAlignment="1">
      <alignment horizontal="center" vertical="top" wrapText="1"/>
    </xf>
    <xf numFmtId="0" fontId="28" fillId="7" borderId="4" xfId="0" applyFont="1" applyFill="1" applyBorder="1" applyAlignment="1">
      <alignment horizontal="center" vertical="center" wrapText="1"/>
    </xf>
    <xf numFmtId="176" fontId="28" fillId="7" borderId="14" xfId="4" applyNumberFormat="1" applyFont="1" applyFill="1" applyBorder="1"/>
    <xf numFmtId="0" fontId="30" fillId="7" borderId="0" xfId="0" applyFont="1" applyFill="1" applyBorder="1"/>
    <xf numFmtId="4" fontId="28" fillId="3" borderId="0" xfId="0" applyNumberFormat="1" applyFont="1" applyFill="1" applyBorder="1"/>
    <xf numFmtId="175" fontId="28" fillId="7" borderId="0" xfId="4" applyNumberFormat="1" applyFont="1" applyFill="1"/>
    <xf numFmtId="0" fontId="34" fillId="7" borderId="0" xfId="0" applyFont="1" applyFill="1"/>
    <xf numFmtId="175" fontId="34" fillId="7" borderId="0" xfId="4" applyNumberFormat="1" applyFont="1" applyFill="1"/>
    <xf numFmtId="175" fontId="27" fillId="5" borderId="0" xfId="4" applyNumberFormat="1" applyFont="1" applyFill="1"/>
    <xf numFmtId="0" fontId="34" fillId="7" borderId="0" xfId="0" applyFont="1" applyFill="1" applyAlignment="1">
      <alignment horizontal="right"/>
    </xf>
    <xf numFmtId="169" fontId="31" fillId="3" borderId="0" xfId="11" applyNumberFormat="1" applyFont="1" applyFill="1" applyBorder="1" applyAlignment="1">
      <alignment vertical="center"/>
    </xf>
    <xf numFmtId="176" fontId="28" fillId="3" borderId="0" xfId="14" applyNumberFormat="1" applyFont="1" applyFill="1" applyBorder="1" applyAlignment="1">
      <alignment vertical="center"/>
    </xf>
    <xf numFmtId="0" fontId="29" fillId="3" borderId="0" xfId="11" applyFont="1" applyFill="1" applyBorder="1"/>
    <xf numFmtId="176" fontId="29" fillId="3" borderId="0" xfId="14" applyNumberFormat="1" applyFont="1" applyFill="1" applyBorder="1"/>
    <xf numFmtId="0" fontId="28" fillId="3" borderId="0" xfId="15" applyFont="1" applyFill="1"/>
    <xf numFmtId="0" fontId="28" fillId="3" borderId="0" xfId="15" applyFont="1" applyFill="1" applyBorder="1"/>
    <xf numFmtId="176" fontId="28" fillId="3" borderId="0" xfId="14" applyNumberFormat="1" applyFont="1" applyFill="1" applyBorder="1"/>
    <xf numFmtId="165" fontId="28" fillId="3" borderId="5" xfId="14" applyFont="1" applyFill="1" applyBorder="1"/>
    <xf numFmtId="176" fontId="17" fillId="3" borderId="0" xfId="14" applyNumberFormat="1" applyFont="1" applyFill="1" applyBorder="1" applyAlignment="1">
      <alignment horizontal="left"/>
    </xf>
    <xf numFmtId="3" fontId="17" fillId="3" borderId="0" xfId="15" applyNumberFormat="1" applyFont="1" applyFill="1" applyBorder="1" applyAlignment="1">
      <alignment horizontal="right"/>
    </xf>
    <xf numFmtId="176" fontId="28" fillId="3" borderId="0" xfId="15" applyNumberFormat="1" applyFont="1" applyFill="1" applyBorder="1"/>
    <xf numFmtId="3" fontId="28" fillId="3" borderId="0" xfId="15" applyNumberFormat="1" applyFont="1" applyFill="1"/>
    <xf numFmtId="0" fontId="27" fillId="3" borderId="0" xfId="15" applyFont="1" applyFill="1" applyBorder="1" applyAlignment="1">
      <alignment vertical="center"/>
    </xf>
    <xf numFmtId="176" fontId="27" fillId="3" borderId="0" xfId="14" applyNumberFormat="1" applyFont="1" applyFill="1" applyBorder="1" applyAlignment="1">
      <alignment horizontal="center" vertical="center" wrapText="1"/>
    </xf>
    <xf numFmtId="176" fontId="27" fillId="3" borderId="0" xfId="14" applyNumberFormat="1" applyFont="1" applyFill="1" applyBorder="1" applyAlignment="1">
      <alignment vertical="center"/>
    </xf>
    <xf numFmtId="0" fontId="27" fillId="3" borderId="0" xfId="15" applyFont="1" applyFill="1" applyAlignment="1">
      <alignment vertical="center"/>
    </xf>
    <xf numFmtId="175" fontId="28" fillId="3" borderId="14" xfId="4" applyNumberFormat="1" applyFont="1" applyFill="1" applyBorder="1" applyAlignment="1">
      <alignment horizontal="center"/>
    </xf>
    <xf numFmtId="175" fontId="28" fillId="6" borderId="14" xfId="4" applyNumberFormat="1" applyFont="1" applyFill="1" applyBorder="1"/>
    <xf numFmtId="0" fontId="38" fillId="5" borderId="0" xfId="0" applyFont="1" applyFill="1"/>
    <xf numFmtId="175" fontId="28" fillId="3" borderId="0" xfId="15" applyNumberFormat="1" applyFont="1" applyFill="1"/>
    <xf numFmtId="175" fontId="28" fillId="3" borderId="3" xfId="4" applyNumberFormat="1" applyFont="1" applyFill="1" applyBorder="1" applyAlignment="1">
      <alignment horizontal="center"/>
    </xf>
    <xf numFmtId="175" fontId="28" fillId="7" borderId="0" xfId="4" applyNumberFormat="1" applyFont="1" applyFill="1" applyBorder="1"/>
    <xf numFmtId="43" fontId="28" fillId="6" borderId="14" xfId="4" applyFont="1" applyFill="1" applyBorder="1" applyAlignment="1">
      <alignment horizontal="center"/>
    </xf>
    <xf numFmtId="0" fontId="37" fillId="3" borderId="0" xfId="0" applyFont="1" applyFill="1"/>
    <xf numFmtId="175" fontId="37" fillId="3" borderId="0" xfId="4" applyNumberFormat="1" applyFont="1" applyFill="1"/>
    <xf numFmtId="0" fontId="37" fillId="7" borderId="0" xfId="0" applyFont="1" applyFill="1"/>
    <xf numFmtId="175" fontId="37" fillId="2" borderId="0" xfId="4" applyNumberFormat="1" applyFont="1" applyFill="1"/>
    <xf numFmtId="43" fontId="37" fillId="3" borderId="0" xfId="4" applyFont="1" applyFill="1"/>
    <xf numFmtId="175" fontId="37" fillId="3" borderId="16" xfId="4" applyNumberFormat="1" applyFont="1" applyFill="1" applyBorder="1"/>
    <xf numFmtId="175" fontId="39" fillId="3" borderId="0" xfId="4" applyNumberFormat="1" applyFont="1" applyFill="1"/>
    <xf numFmtId="0" fontId="39" fillId="3" borderId="0" xfId="0" applyFont="1" applyFill="1"/>
    <xf numFmtId="0" fontId="37" fillId="3" borderId="0" xfId="0" applyFont="1" applyFill="1" applyAlignment="1">
      <alignment horizontal="right"/>
    </xf>
    <xf numFmtId="0" fontId="37" fillId="3" borderId="0" xfId="0" applyFont="1" applyFill="1" applyAlignment="1">
      <alignment horizontal="left"/>
    </xf>
    <xf numFmtId="0" fontId="28" fillId="0" borderId="0" xfId="0" applyFont="1" applyFill="1"/>
    <xf numFmtId="10" fontId="28" fillId="7" borderId="3" xfId="12" applyNumberFormat="1" applyFont="1" applyFill="1" applyBorder="1"/>
    <xf numFmtId="2" fontId="28" fillId="7" borderId="14" xfId="0" applyNumberFormat="1" applyFont="1" applyFill="1" applyBorder="1" applyAlignment="1"/>
    <xf numFmtId="2" fontId="28" fillId="7" borderId="14" xfId="4" applyNumberFormat="1" applyFont="1" applyFill="1" applyBorder="1"/>
    <xf numFmtId="10" fontId="28" fillId="6" borderId="17" xfId="0" applyNumberFormat="1" applyFont="1" applyFill="1" applyBorder="1" applyAlignment="1">
      <alignment horizontal="center"/>
    </xf>
    <xf numFmtId="3" fontId="28" fillId="3" borderId="14" xfId="0" applyNumberFormat="1" applyFont="1" applyFill="1" applyBorder="1"/>
    <xf numFmtId="43" fontId="27" fillId="5" borderId="14" xfId="4" applyNumberFormat="1" applyFont="1" applyFill="1" applyBorder="1"/>
    <xf numFmtId="10" fontId="28" fillId="3" borderId="0" xfId="0" applyNumberFormat="1" applyFont="1" applyFill="1" applyBorder="1"/>
    <xf numFmtId="43" fontId="28" fillId="6" borderId="14" xfId="4" applyNumberFormat="1" applyFont="1" applyFill="1" applyBorder="1"/>
    <xf numFmtId="43" fontId="28" fillId="3" borderId="0" xfId="4" applyNumberFormat="1" applyFont="1" applyFill="1"/>
    <xf numFmtId="0" fontId="28" fillId="3" borderId="0" xfId="0" applyFont="1" applyFill="1" applyAlignment="1">
      <alignment vertical="center"/>
    </xf>
    <xf numFmtId="175" fontId="28" fillId="3" borderId="0" xfId="4" applyNumberFormat="1" applyFont="1" applyFill="1" applyBorder="1" applyAlignment="1">
      <alignment horizontal="center"/>
    </xf>
    <xf numFmtId="175" fontId="28" fillId="3" borderId="0" xfId="4" applyNumberFormat="1" applyFont="1" applyFill="1" applyBorder="1" applyAlignment="1">
      <alignment vertical="center"/>
    </xf>
    <xf numFmtId="9" fontId="28" fillId="6" borderId="14" xfId="12" applyFont="1" applyFill="1" applyBorder="1"/>
    <xf numFmtId="0" fontId="28" fillId="3" borderId="0" xfId="0" applyFont="1" applyFill="1" applyBorder="1" applyAlignment="1">
      <alignment horizontal="left"/>
    </xf>
    <xf numFmtId="3" fontId="28" fillId="3" borderId="0" xfId="0" applyNumberFormat="1" applyFont="1" applyFill="1" applyBorder="1"/>
    <xf numFmtId="0" fontId="28" fillId="3" borderId="9" xfId="0" applyFont="1" applyFill="1" applyBorder="1" applyAlignment="1">
      <alignment horizontal="center"/>
    </xf>
    <xf numFmtId="3" fontId="28" fillId="3" borderId="4" xfId="0" applyNumberFormat="1" applyFont="1" applyFill="1" applyBorder="1"/>
    <xf numFmtId="166" fontId="28" fillId="3" borderId="6" xfId="0" applyNumberFormat="1" applyFont="1" applyFill="1" applyBorder="1" applyAlignment="1">
      <alignment horizontal="center"/>
    </xf>
    <xf numFmtId="175" fontId="28" fillId="3" borderId="6" xfId="4" applyNumberFormat="1" applyFont="1" applyFill="1" applyBorder="1"/>
    <xf numFmtId="0" fontId="28" fillId="3" borderId="4" xfId="15" applyFont="1" applyFill="1" applyBorder="1" applyAlignment="1">
      <alignment horizontal="center"/>
    </xf>
    <xf numFmtId="0" fontId="28" fillId="3" borderId="5" xfId="15" applyFont="1" applyFill="1" applyBorder="1" applyAlignment="1">
      <alignment horizontal="center"/>
    </xf>
    <xf numFmtId="0" fontId="28" fillId="3" borderId="3" xfId="15" applyFont="1" applyFill="1" applyBorder="1" applyAlignment="1">
      <alignment horizontal="center"/>
    </xf>
    <xf numFmtId="3" fontId="33" fillId="3" borderId="0" xfId="12" applyNumberFormat="1" applyFont="1" applyFill="1" applyBorder="1"/>
    <xf numFmtId="0" fontId="28" fillId="7" borderId="0" xfId="0" applyFont="1" applyFill="1" applyBorder="1" applyAlignment="1">
      <alignment horizontal="right"/>
    </xf>
    <xf numFmtId="3" fontId="33" fillId="3" borderId="0" xfId="0" applyNumberFormat="1" applyFont="1" applyFill="1"/>
    <xf numFmtId="43" fontId="28" fillId="6" borderId="17" xfId="4" applyFont="1" applyFill="1" applyBorder="1"/>
    <xf numFmtId="175" fontId="37" fillId="3" borderId="0" xfId="4" applyNumberFormat="1" applyFont="1" applyFill="1" applyAlignment="1">
      <alignment horizontal="right"/>
    </xf>
    <xf numFmtId="43" fontId="28" fillId="3" borderId="0" xfId="4" applyFont="1" applyFill="1" applyAlignment="1">
      <alignment horizontal="center"/>
    </xf>
    <xf numFmtId="43" fontId="28" fillId="3" borderId="0" xfId="4" applyFont="1" applyFill="1" applyBorder="1" applyAlignment="1">
      <alignment horizontal="center"/>
    </xf>
    <xf numFmtId="43" fontId="28" fillId="3" borderId="0" xfId="4" applyFont="1" applyFill="1" applyBorder="1" applyAlignment="1">
      <alignment horizontal="left"/>
    </xf>
    <xf numFmtId="43" fontId="29" fillId="3" borderId="0" xfId="4" applyFont="1" applyFill="1"/>
    <xf numFmtId="43" fontId="28" fillId="3" borderId="0" xfId="4" applyFont="1" applyFill="1" applyAlignment="1">
      <alignment horizontal="center" vertical="top" wrapText="1"/>
    </xf>
    <xf numFmtId="43" fontId="28" fillId="0" borderId="0" xfId="4" applyFont="1" applyFill="1"/>
    <xf numFmtId="43" fontId="28" fillId="3" borderId="0" xfId="4" applyFont="1" applyFill="1" applyBorder="1"/>
    <xf numFmtId="179" fontId="28" fillId="3" borderId="0" xfId="4" applyNumberFormat="1" applyFont="1" applyFill="1" applyAlignment="1">
      <alignment horizontal="left"/>
    </xf>
    <xf numFmtId="179" fontId="28" fillId="3" borderId="5" xfId="4" applyNumberFormat="1" applyFont="1" applyFill="1" applyBorder="1" applyAlignment="1">
      <alignment horizontal="center"/>
    </xf>
    <xf numFmtId="179" fontId="28" fillId="0" borderId="5" xfId="4" applyNumberFormat="1" applyFont="1" applyFill="1" applyBorder="1" applyAlignment="1">
      <alignment horizontal="center"/>
    </xf>
    <xf numFmtId="179" fontId="28" fillId="3" borderId="14" xfId="4" applyNumberFormat="1" applyFont="1" applyFill="1" applyBorder="1" applyAlignment="1">
      <alignment horizontal="center"/>
    </xf>
    <xf numFmtId="179" fontId="28" fillId="3" borderId="0" xfId="4" applyNumberFormat="1" applyFont="1" applyFill="1" applyAlignment="1">
      <alignment horizontal="center"/>
    </xf>
    <xf numFmtId="175" fontId="42" fillId="3" borderId="0" xfId="4" applyNumberFormat="1" applyFont="1" applyFill="1"/>
    <xf numFmtId="175" fontId="37" fillId="7" borderId="0" xfId="0" applyNumberFormat="1" applyFont="1" applyFill="1"/>
    <xf numFmtId="175" fontId="39" fillId="3" borderId="0" xfId="4" applyNumberFormat="1" applyFont="1" applyFill="1" applyAlignment="1">
      <alignment horizontal="center"/>
    </xf>
    <xf numFmtId="0" fontId="28" fillId="3" borderId="9" xfId="0" applyFont="1" applyFill="1" applyBorder="1" applyAlignment="1">
      <alignment horizontal="left"/>
    </xf>
    <xf numFmtId="0" fontId="28" fillId="3" borderId="10" xfId="0" applyFont="1" applyFill="1" applyBorder="1" applyAlignment="1">
      <alignment horizontal="left"/>
    </xf>
    <xf numFmtId="0" fontId="28" fillId="3" borderId="8" xfId="0" applyFont="1" applyFill="1" applyBorder="1" applyAlignment="1">
      <alignment horizontal="left"/>
    </xf>
    <xf numFmtId="171" fontId="28" fillId="7" borderId="0" xfId="0" applyNumberFormat="1" applyFont="1" applyFill="1"/>
    <xf numFmtId="175" fontId="28" fillId="3" borderId="17" xfId="4" applyNumberFormat="1" applyFont="1" applyFill="1" applyBorder="1" applyAlignment="1">
      <alignment horizontal="center"/>
    </xf>
    <xf numFmtId="0" fontId="28" fillId="7" borderId="0" xfId="0" quotePrefix="1" applyFont="1" applyFill="1" applyBorder="1" applyAlignment="1"/>
    <xf numFmtId="10" fontId="28" fillId="3" borderId="9" xfId="12" applyNumberFormat="1" applyFont="1" applyFill="1" applyBorder="1"/>
    <xf numFmtId="43" fontId="28" fillId="3" borderId="0" xfId="4" applyFont="1" applyFill="1"/>
    <xf numFmtId="0" fontId="28" fillId="3" borderId="3" xfId="0" applyFont="1" applyFill="1" applyBorder="1"/>
    <xf numFmtId="43" fontId="28" fillId="3" borderId="5" xfId="4" applyNumberFormat="1" applyFont="1" applyFill="1" applyBorder="1"/>
    <xf numFmtId="43" fontId="28" fillId="3" borderId="4" xfId="4" applyNumberFormat="1" applyFont="1" applyFill="1" applyBorder="1"/>
    <xf numFmtId="43" fontId="28" fillId="3" borderId="3" xfId="4" applyNumberFormat="1" applyFont="1" applyFill="1" applyBorder="1"/>
    <xf numFmtId="178" fontId="28" fillId="7" borderId="0" xfId="0" quotePrefix="1" applyNumberFormat="1" applyFont="1" applyFill="1" applyAlignment="1">
      <alignment horizontal="right"/>
    </xf>
    <xf numFmtId="164" fontId="28" fillId="7" borderId="0" xfId="0" applyNumberFormat="1" applyFont="1" applyFill="1"/>
    <xf numFmtId="2" fontId="27" fillId="5" borderId="14" xfId="0" applyNumberFormat="1" applyFont="1" applyFill="1" applyBorder="1" applyAlignment="1">
      <alignment horizontal="center" vertical="top" wrapText="1"/>
    </xf>
    <xf numFmtId="0" fontId="28" fillId="7" borderId="0" xfId="0" applyFont="1" applyFill="1" applyBorder="1" applyAlignment="1">
      <alignment horizontal="left"/>
    </xf>
    <xf numFmtId="175" fontId="28" fillId="3" borderId="11" xfId="4" applyNumberFormat="1" applyFont="1" applyFill="1" applyBorder="1"/>
    <xf numFmtId="175" fontId="28" fillId="3" borderId="12" xfId="4" applyNumberFormat="1" applyFont="1" applyFill="1" applyBorder="1"/>
    <xf numFmtId="175" fontId="28" fillId="3" borderId="13" xfId="4" applyNumberFormat="1" applyFont="1" applyFill="1" applyBorder="1"/>
    <xf numFmtId="164" fontId="28" fillId="3" borderId="0" xfId="0" applyNumberFormat="1" applyFont="1" applyFill="1"/>
    <xf numFmtId="0" fontId="28" fillId="3" borderId="0" xfId="0" applyFont="1" applyFill="1"/>
    <xf numFmtId="4" fontId="28" fillId="3" borderId="0" xfId="0" applyNumberFormat="1" applyFont="1" applyFill="1"/>
    <xf numFmtId="169" fontId="28" fillId="3" borderId="0" xfId="11" applyNumberFormat="1" applyFont="1" applyFill="1" applyAlignment="1">
      <alignment vertical="center"/>
    </xf>
    <xf numFmtId="0" fontId="28" fillId="7" borderId="0" xfId="0" applyFont="1" applyFill="1"/>
    <xf numFmtId="0" fontId="28" fillId="7" borderId="0" xfId="0" applyFont="1" applyFill="1" applyBorder="1"/>
    <xf numFmtId="10" fontId="28" fillId="6" borderId="14" xfId="0" applyNumberFormat="1" applyFont="1" applyFill="1" applyBorder="1" applyAlignment="1">
      <alignment horizontal="center"/>
    </xf>
    <xf numFmtId="177" fontId="28" fillId="3" borderId="0" xfId="4" applyNumberFormat="1" applyFont="1" applyFill="1" applyBorder="1"/>
    <xf numFmtId="175" fontId="28" fillId="3" borderId="0" xfId="4" applyNumberFormat="1" applyFont="1" applyFill="1" applyBorder="1"/>
    <xf numFmtId="175" fontId="28" fillId="3" borderId="3" xfId="4" applyNumberFormat="1" applyFont="1" applyFill="1" applyBorder="1"/>
    <xf numFmtId="175" fontId="28" fillId="3" borderId="0" xfId="0" applyNumberFormat="1" applyFont="1" applyFill="1"/>
    <xf numFmtId="175" fontId="28" fillId="7" borderId="0" xfId="0" applyNumberFormat="1" applyFont="1" applyFill="1"/>
    <xf numFmtId="175" fontId="37" fillId="7" borderId="0" xfId="0" applyNumberFormat="1" applyFont="1" applyFill="1"/>
    <xf numFmtId="43" fontId="37" fillId="7" borderId="0" xfId="4" applyFont="1" applyFill="1"/>
    <xf numFmtId="43" fontId="28" fillId="3" borderId="0" xfId="15" applyNumberFormat="1" applyFont="1" applyFill="1"/>
    <xf numFmtId="176" fontId="7" fillId="3" borderId="0" xfId="14" applyNumberFormat="1" applyFont="1" applyFill="1" applyBorder="1" applyAlignment="1">
      <alignment horizontal="left"/>
    </xf>
    <xf numFmtId="164" fontId="17" fillId="3" borderId="0" xfId="14" applyNumberFormat="1" applyFont="1" applyFill="1" applyBorder="1" applyAlignment="1">
      <alignment horizontal="left"/>
    </xf>
    <xf numFmtId="175" fontId="28" fillId="3" borderId="0" xfId="4" applyNumberFormat="1" applyFont="1" applyFill="1" applyBorder="1" applyAlignment="1">
      <alignment horizontal="center"/>
    </xf>
    <xf numFmtId="175" fontId="28" fillId="3" borderId="4" xfId="4" applyNumberFormat="1" applyFont="1" applyFill="1" applyBorder="1" applyAlignment="1">
      <alignment horizontal="center"/>
    </xf>
    <xf numFmtId="175" fontId="28" fillId="3" borderId="5" xfId="4" applyNumberFormat="1" applyFont="1" applyFill="1" applyBorder="1" applyAlignment="1">
      <alignment horizontal="center"/>
    </xf>
    <xf numFmtId="175" fontId="28" fillId="3" borderId="0" xfId="4" applyNumberFormat="1" applyFont="1" applyFill="1" applyBorder="1"/>
    <xf numFmtId="43" fontId="28" fillId="3" borderId="0" xfId="4" applyFont="1" applyFill="1"/>
    <xf numFmtId="43" fontId="28" fillId="3" borderId="5" xfId="4" applyFont="1" applyFill="1" applyBorder="1"/>
    <xf numFmtId="43" fontId="28" fillId="3" borderId="3" xfId="4" applyFont="1" applyFill="1" applyBorder="1"/>
    <xf numFmtId="43" fontId="28" fillId="3" borderId="0" xfId="4" applyFont="1" applyFill="1" applyBorder="1"/>
    <xf numFmtId="43" fontId="28" fillId="3" borderId="9" xfId="4" applyFont="1" applyFill="1" applyBorder="1"/>
    <xf numFmtId="43" fontId="28" fillId="3" borderId="8" xfId="4" applyFont="1" applyFill="1" applyBorder="1"/>
    <xf numFmtId="43" fontId="28" fillId="3" borderId="10" xfId="4" applyFont="1" applyFill="1" applyBorder="1"/>
    <xf numFmtId="175" fontId="28" fillId="3" borderId="0" xfId="4" applyNumberFormat="1" applyFont="1" applyFill="1" applyAlignment="1">
      <alignment horizontal="center" vertical="top" wrapText="1"/>
    </xf>
    <xf numFmtId="0" fontId="31" fillId="7" borderId="0" xfId="0" applyFont="1" applyFill="1" applyAlignment="1">
      <alignment vertical="center" wrapText="1"/>
    </xf>
    <xf numFmtId="9" fontId="27" fillId="5" borderId="14" xfId="0" applyNumberFormat="1" applyFont="1" applyFill="1" applyBorder="1" applyAlignment="1">
      <alignment horizontal="center"/>
    </xf>
    <xf numFmtId="0" fontId="28" fillId="30" borderId="0" xfId="0" applyFont="1" applyFill="1" applyBorder="1" applyAlignment="1">
      <alignment horizontal="left"/>
    </xf>
    <xf numFmtId="175" fontId="37" fillId="3" borderId="0" xfId="4" applyNumberFormat="1" applyFont="1" applyFill="1" applyAlignment="1">
      <alignment horizontal="center"/>
    </xf>
    <xf numFmtId="0" fontId="39" fillId="3" borderId="0" xfId="0" applyFont="1" applyFill="1" applyAlignment="1">
      <alignment wrapText="1"/>
    </xf>
    <xf numFmtId="0" fontId="37" fillId="3" borderId="0" xfId="0" applyFont="1" applyFill="1" applyAlignment="1">
      <alignment wrapText="1"/>
    </xf>
    <xf numFmtId="175" fontId="37" fillId="3" borderId="0" xfId="4" applyNumberFormat="1" applyFont="1" applyFill="1" applyAlignment="1">
      <alignment wrapText="1"/>
    </xf>
    <xf numFmtId="0" fontId="39" fillId="2" borderId="28" xfId="0" applyFont="1" applyFill="1" applyBorder="1" applyAlignment="1">
      <alignment horizontal="center" vertical="center" wrapText="1"/>
    </xf>
    <xf numFmtId="0" fontId="37" fillId="2" borderId="28" xfId="0" applyFont="1" applyFill="1" applyBorder="1" applyAlignment="1">
      <alignment horizontal="center" vertical="center" wrapText="1"/>
    </xf>
    <xf numFmtId="175" fontId="37" fillId="2" borderId="29" xfId="4" applyNumberFormat="1" applyFont="1" applyFill="1" applyBorder="1" applyAlignment="1">
      <alignment horizontal="center" vertical="center" wrapText="1"/>
    </xf>
    <xf numFmtId="0" fontId="37" fillId="2" borderId="30" xfId="0" applyFont="1" applyFill="1" applyBorder="1"/>
    <xf numFmtId="0" fontId="66" fillId="3" borderId="0" xfId="0" applyFont="1" applyFill="1" applyAlignment="1">
      <alignment horizontal="right"/>
    </xf>
    <xf numFmtId="175" fontId="30" fillId="3" borderId="0" xfId="4" applyNumberFormat="1" applyFont="1" applyFill="1" applyAlignment="1">
      <alignment vertical="center"/>
    </xf>
    <xf numFmtId="0" fontId="30" fillId="3" borderId="0" xfId="0" applyFont="1" applyFill="1" applyAlignment="1">
      <alignment vertical="center"/>
    </xf>
    <xf numFmtId="175" fontId="33" fillId="3" borderId="0" xfId="4" applyNumberFormat="1" applyFont="1" applyFill="1"/>
    <xf numFmtId="175" fontId="33" fillId="3" borderId="5" xfId="4" applyNumberFormat="1" applyFont="1" applyFill="1" applyBorder="1"/>
    <xf numFmtId="175" fontId="33" fillId="3" borderId="14" xfId="4" applyNumberFormat="1" applyFont="1" applyFill="1" applyBorder="1"/>
    <xf numFmtId="175" fontId="33" fillId="3" borderId="0" xfId="4" applyNumberFormat="1" applyFont="1" applyFill="1" applyBorder="1"/>
    <xf numFmtId="175" fontId="0" fillId="3" borderId="0" xfId="4" applyNumberFormat="1" applyFont="1" applyFill="1"/>
    <xf numFmtId="0" fontId="0" fillId="3" borderId="0" xfId="0" applyFill="1"/>
    <xf numFmtId="43" fontId="28" fillId="3" borderId="0" xfId="4" applyFont="1" applyFill="1" applyBorder="1" applyAlignment="1">
      <alignment horizontal="center" vertical="top" wrapText="1"/>
    </xf>
    <xf numFmtId="3" fontId="28" fillId="3" borderId="0" xfId="15" applyNumberFormat="1" applyFont="1" applyFill="1" applyBorder="1"/>
    <xf numFmtId="43" fontId="27" fillId="3" borderId="0" xfId="4" applyFont="1" applyFill="1" applyBorder="1" applyAlignment="1">
      <alignment horizontal="center" vertical="center" textRotation="90" wrapText="1"/>
    </xf>
    <xf numFmtId="43" fontId="63" fillId="3" borderId="0" xfId="4" applyFont="1" applyFill="1"/>
    <xf numFmtId="43" fontId="64" fillId="3" borderId="0" xfId="4" applyFont="1" applyFill="1"/>
    <xf numFmtId="176" fontId="64" fillId="3" borderId="0" xfId="4" applyNumberFormat="1" applyFont="1" applyFill="1"/>
    <xf numFmtId="0" fontId="17" fillId="3" borderId="0" xfId="15" applyNumberFormat="1" applyFont="1" applyFill="1" applyBorder="1" applyAlignment="1">
      <alignment horizontal="right"/>
    </xf>
    <xf numFmtId="0" fontId="18" fillId="3" borderId="0" xfId="260" applyFill="1"/>
    <xf numFmtId="0" fontId="18" fillId="3" borderId="0" xfId="260" applyFill="1" applyAlignment="1">
      <alignment vertical="center"/>
    </xf>
    <xf numFmtId="0" fontId="18" fillId="3" borderId="0" xfId="260" applyFill="1" applyAlignment="1">
      <alignment horizontal="center" vertical="center"/>
    </xf>
    <xf numFmtId="0" fontId="71" fillId="7" borderId="0" xfId="0" applyFont="1" applyFill="1"/>
    <xf numFmtId="179" fontId="71" fillId="3" borderId="0" xfId="4" applyNumberFormat="1" applyFont="1" applyFill="1" applyAlignment="1">
      <alignment horizontal="left"/>
    </xf>
    <xf numFmtId="0" fontId="71" fillId="3" borderId="0" xfId="0" applyNumberFormat="1" applyFont="1" applyFill="1" applyAlignment="1">
      <alignment horizontal="left"/>
    </xf>
    <xf numFmtId="1" fontId="71" fillId="3" borderId="0" xfId="11" applyNumberFormat="1" applyFont="1" applyFill="1" applyAlignment="1">
      <alignment horizontal="left" vertical="center"/>
    </xf>
    <xf numFmtId="3" fontId="34" fillId="3" borderId="0" xfId="11" applyNumberFormat="1" applyFont="1" applyFill="1" applyAlignment="1">
      <alignment vertical="center"/>
    </xf>
    <xf numFmtId="0" fontId="34" fillId="3" borderId="0" xfId="0" applyFont="1" applyFill="1"/>
    <xf numFmtId="43" fontId="34" fillId="3" borderId="0" xfId="4" applyFont="1" applyFill="1"/>
    <xf numFmtId="169" fontId="34" fillId="3" borderId="0" xfId="11" applyNumberFormat="1" applyFont="1" applyFill="1" applyAlignment="1">
      <alignment vertical="center"/>
    </xf>
    <xf numFmtId="3" fontId="71" fillId="3" borderId="0" xfId="11" applyNumberFormat="1" applyFont="1" applyFill="1" applyAlignment="1">
      <alignment vertical="center"/>
    </xf>
    <xf numFmtId="169" fontId="71" fillId="3" borderId="0" xfId="0" applyNumberFormat="1" applyFont="1" applyFill="1"/>
    <xf numFmtId="0" fontId="71" fillId="3" borderId="0" xfId="0" applyFont="1" applyFill="1"/>
    <xf numFmtId="175" fontId="71" fillId="3" borderId="0" xfId="4" applyNumberFormat="1" applyFont="1" applyFill="1"/>
    <xf numFmtId="169" fontId="71" fillId="3" borderId="0" xfId="11" applyNumberFormat="1" applyFont="1" applyFill="1" applyAlignment="1">
      <alignment vertical="center"/>
    </xf>
    <xf numFmtId="175" fontId="71" fillId="3" borderId="0" xfId="4" applyNumberFormat="1" applyFont="1" applyFill="1" applyAlignment="1">
      <alignment vertical="center"/>
    </xf>
    <xf numFmtId="175" fontId="71" fillId="3" borderId="0" xfId="4" applyNumberFormat="1" applyFont="1" applyFill="1" applyBorder="1" applyAlignment="1">
      <alignment vertical="center"/>
    </xf>
    <xf numFmtId="43" fontId="71" fillId="3" borderId="0" xfId="4" applyFont="1" applyFill="1" applyAlignment="1">
      <alignment vertical="center"/>
    </xf>
    <xf numFmtId="0" fontId="71" fillId="3" borderId="0" xfId="11" applyFont="1" applyFill="1" applyAlignment="1">
      <alignment vertical="center"/>
    </xf>
    <xf numFmtId="177" fontId="71" fillId="3" borderId="0" xfId="11" applyNumberFormat="1" applyFont="1" applyFill="1" applyAlignment="1">
      <alignment vertical="center"/>
    </xf>
    <xf numFmtId="43" fontId="71" fillId="3" borderId="0" xfId="4" applyFont="1" applyFill="1" applyBorder="1" applyAlignment="1">
      <alignment vertical="center"/>
    </xf>
    <xf numFmtId="0" fontId="71" fillId="3" borderId="0" xfId="11" applyFont="1" applyFill="1" applyBorder="1" applyAlignment="1">
      <alignment vertical="center"/>
    </xf>
    <xf numFmtId="1" fontId="71" fillId="3" borderId="0" xfId="11" applyNumberFormat="1" applyFont="1" applyFill="1" applyAlignment="1">
      <alignment vertical="center"/>
    </xf>
    <xf numFmtId="0" fontId="71" fillId="3" borderId="0" xfId="0" applyFont="1" applyFill="1" applyAlignment="1">
      <alignment vertical="center"/>
    </xf>
    <xf numFmtId="0" fontId="42" fillId="7" borderId="0" xfId="0" applyFont="1" applyFill="1" applyAlignment="1">
      <alignment horizontal="center" vertical="center"/>
    </xf>
    <xf numFmtId="43" fontId="28" fillId="3" borderId="0" xfId="4" applyFont="1" applyFill="1" applyBorder="1" applyAlignment="1">
      <alignment horizontal="center" vertical="center"/>
    </xf>
    <xf numFmtId="0" fontId="68" fillId="7" borderId="0" xfId="668" applyFill="1" applyAlignment="1">
      <alignment horizontal="center" vertical="center" wrapText="1"/>
    </xf>
    <xf numFmtId="0" fontId="68" fillId="7" borderId="0" xfId="668" applyFill="1" applyAlignment="1">
      <alignment vertical="center"/>
    </xf>
    <xf numFmtId="43" fontId="68" fillId="3" borderId="0" xfId="668" applyNumberFormat="1" applyFill="1" applyBorder="1" applyAlignment="1">
      <alignment horizontal="center" vertical="center"/>
    </xf>
    <xf numFmtId="43" fontId="68" fillId="3" borderId="0" xfId="668" applyNumberFormat="1" applyFill="1" applyAlignment="1">
      <alignment horizontal="center" vertical="center" wrapText="1"/>
    </xf>
    <xf numFmtId="43" fontId="68" fillId="3" borderId="0" xfId="668" applyNumberFormat="1" applyFill="1" applyBorder="1" applyAlignment="1">
      <alignment horizontal="left" vertical="center"/>
    </xf>
    <xf numFmtId="175" fontId="27" fillId="5" borderId="4" xfId="4" applyNumberFormat="1" applyFont="1" applyFill="1" applyBorder="1" applyAlignment="1">
      <alignment horizontal="center" vertical="center" wrapText="1"/>
    </xf>
    <xf numFmtId="43" fontId="68" fillId="3" borderId="0" xfId="668" applyNumberFormat="1" applyFill="1" applyAlignment="1">
      <alignment horizontal="center" vertical="center" wrapText="1"/>
    </xf>
    <xf numFmtId="0" fontId="27" fillId="5" borderId="14" xfId="0" applyFont="1" applyFill="1" applyBorder="1" applyAlignment="1">
      <alignment horizontal="center" vertical="center" wrapText="1"/>
    </xf>
    <xf numFmtId="43" fontId="68" fillId="3" borderId="0" xfId="668" applyNumberFormat="1" applyFill="1" applyAlignment="1">
      <alignment horizontal="left" vertical="center"/>
    </xf>
    <xf numFmtId="43" fontId="68" fillId="3" borderId="0" xfId="668" applyNumberFormat="1" applyFill="1" applyBorder="1" applyAlignment="1">
      <alignment horizontal="center" vertical="center" wrapText="1"/>
    </xf>
    <xf numFmtId="0" fontId="28" fillId="3" borderId="0" xfId="0" applyFont="1" applyFill="1" applyAlignment="1">
      <alignment vertical="center"/>
    </xf>
    <xf numFmtId="0" fontId="27" fillId="5" borderId="4" xfId="0" applyFont="1" applyFill="1" applyBorder="1" applyAlignment="1">
      <alignment horizontal="center" vertical="center" wrapText="1"/>
    </xf>
    <xf numFmtId="43" fontId="68" fillId="3" borderId="0" xfId="668" applyNumberFormat="1" applyFill="1" applyAlignment="1">
      <alignment horizontal="center" vertical="center" wrapText="1"/>
    </xf>
    <xf numFmtId="0" fontId="68" fillId="7" borderId="0" xfId="668" applyFill="1" applyAlignment="1">
      <alignment horizontal="center" vertical="center"/>
    </xf>
    <xf numFmtId="175" fontId="28" fillId="36" borderId="5" xfId="4" applyNumberFormat="1" applyFont="1" applyFill="1" applyBorder="1"/>
    <xf numFmtId="175" fontId="28" fillId="36" borderId="14" xfId="4" applyNumberFormat="1" applyFont="1" applyFill="1" applyBorder="1"/>
    <xf numFmtId="43" fontId="41" fillId="38" borderId="4" xfId="4" applyFont="1" applyFill="1" applyBorder="1" applyAlignment="1">
      <alignment horizontal="center"/>
    </xf>
    <xf numFmtId="43" fontId="27" fillId="38" borderId="12" xfId="4" applyFont="1" applyFill="1" applyBorder="1" applyAlignment="1">
      <alignment horizontal="center"/>
    </xf>
    <xf numFmtId="43" fontId="27" fillId="38" borderId="14" xfId="4" applyFont="1" applyFill="1" applyBorder="1" applyAlignment="1">
      <alignment horizontal="center"/>
    </xf>
    <xf numFmtId="175" fontId="27" fillId="39" borderId="14" xfId="4" applyNumberFormat="1" applyFont="1" applyFill="1" applyBorder="1" applyAlignment="1">
      <alignment horizontal="center" vertical="center" wrapText="1"/>
    </xf>
    <xf numFmtId="9" fontId="27" fillId="39" borderId="5" xfId="12" applyFont="1" applyFill="1" applyBorder="1" applyAlignment="1">
      <alignment horizontal="center"/>
    </xf>
    <xf numFmtId="9" fontId="27" fillId="39" borderId="14" xfId="12" applyFont="1" applyFill="1" applyBorder="1" applyAlignment="1">
      <alignment horizontal="center"/>
    </xf>
    <xf numFmtId="175" fontId="28" fillId="35" borderId="5" xfId="4" applyNumberFormat="1" applyFont="1" applyFill="1" applyBorder="1"/>
    <xf numFmtId="9" fontId="27" fillId="39" borderId="14" xfId="12" applyNumberFormat="1" applyFont="1" applyFill="1" applyBorder="1" applyAlignment="1">
      <alignment horizontal="center" vertical="center" wrapText="1"/>
    </xf>
    <xf numFmtId="0" fontId="27" fillId="39" borderId="14" xfId="0" applyFont="1" applyFill="1" applyBorder="1" applyAlignment="1">
      <alignment horizontal="center" vertical="center" wrapText="1"/>
    </xf>
    <xf numFmtId="9" fontId="27" fillId="39" borderId="14" xfId="12" applyNumberFormat="1" applyFont="1" applyFill="1" applyBorder="1" applyAlignment="1">
      <alignment horizontal="center" vertical="center"/>
    </xf>
    <xf numFmtId="43" fontId="27" fillId="39" borderId="14" xfId="4" applyFont="1" applyFill="1" applyBorder="1" applyAlignment="1">
      <alignment vertical="center" wrapText="1"/>
    </xf>
    <xf numFmtId="175" fontId="28" fillId="35" borderId="11" xfId="4" applyNumberFormat="1" applyFont="1" applyFill="1" applyBorder="1"/>
    <xf numFmtId="175" fontId="28" fillId="35" borderId="14" xfId="4" applyNumberFormat="1" applyFont="1" applyFill="1" applyBorder="1"/>
    <xf numFmtId="0" fontId="27" fillId="39" borderId="4" xfId="0" applyFont="1" applyFill="1" applyBorder="1" applyAlignment="1">
      <alignment horizontal="center" vertical="center" wrapText="1"/>
    </xf>
    <xf numFmtId="175" fontId="28" fillId="3" borderId="8" xfId="4" applyNumberFormat="1" applyFont="1" applyFill="1" applyBorder="1"/>
    <xf numFmtId="0" fontId="27" fillId="39" borderId="12" xfId="0" applyFont="1" applyFill="1" applyBorder="1" applyAlignment="1">
      <alignment horizontal="center" vertical="center" wrapText="1"/>
    </xf>
    <xf numFmtId="175" fontId="28" fillId="36" borderId="4" xfId="4" applyNumberFormat="1" applyFont="1" applyFill="1" applyBorder="1"/>
    <xf numFmtId="175" fontId="28" fillId="36" borderId="3" xfId="4" applyNumberFormat="1" applyFont="1" applyFill="1" applyBorder="1"/>
    <xf numFmtId="180" fontId="27" fillId="5" borderId="14" xfId="4" applyNumberFormat="1" applyFont="1" applyFill="1" applyBorder="1" applyAlignment="1">
      <alignment horizontal="center" vertical="center" wrapText="1"/>
    </xf>
    <xf numFmtId="10" fontId="27" fillId="5" borderId="14" xfId="12" applyNumberFormat="1" applyFont="1" applyFill="1" applyBorder="1" applyAlignment="1">
      <alignment horizontal="center" vertical="center"/>
    </xf>
    <xf numFmtId="175" fontId="28" fillId="0" borderId="11" xfId="4" applyNumberFormat="1" applyFont="1" applyFill="1" applyBorder="1"/>
    <xf numFmtId="10" fontId="27" fillId="5" borderId="4" xfId="12" applyNumberFormat="1" applyFont="1" applyFill="1" applyBorder="1" applyAlignment="1">
      <alignment horizontal="center" vertical="center"/>
    </xf>
    <xf numFmtId="175" fontId="27" fillId="3" borderId="0" xfId="4" applyNumberFormat="1" applyFont="1" applyFill="1" applyBorder="1" applyAlignment="1">
      <alignment horizontal="center" vertical="center" wrapText="1"/>
    </xf>
    <xf numFmtId="10" fontId="27" fillId="3" borderId="0" xfId="12" applyNumberFormat="1" applyFont="1" applyFill="1" applyBorder="1" applyAlignment="1">
      <alignment horizontal="center" vertical="center"/>
    </xf>
    <xf numFmtId="0" fontId="27" fillId="40" borderId="4" xfId="15" applyFont="1" applyFill="1" applyBorder="1" applyAlignment="1">
      <alignment horizontal="center" vertical="center" wrapText="1"/>
    </xf>
    <xf numFmtId="43" fontId="27" fillId="40" borderId="14" xfId="4" quotePrefix="1" applyFont="1" applyFill="1" applyBorder="1" applyAlignment="1">
      <alignment horizontal="center" vertical="center" wrapText="1"/>
    </xf>
    <xf numFmtId="175" fontId="28" fillId="41" borderId="4" xfId="4" applyNumberFormat="1" applyFont="1" applyFill="1" applyBorder="1"/>
    <xf numFmtId="175" fontId="28" fillId="41" borderId="5" xfId="4" applyNumberFormat="1" applyFont="1" applyFill="1" applyBorder="1"/>
    <xf numFmtId="175" fontId="28" fillId="41" borderId="3" xfId="4" applyNumberFormat="1" applyFont="1" applyFill="1" applyBorder="1"/>
    <xf numFmtId="0" fontId="28" fillId="36" borderId="17" xfId="0" applyFont="1" applyFill="1" applyBorder="1"/>
    <xf numFmtId="0" fontId="28" fillId="36" borderId="7" xfId="0" applyFont="1" applyFill="1" applyBorder="1"/>
    <xf numFmtId="43" fontId="28" fillId="36" borderId="14" xfId="4" applyNumberFormat="1" applyFont="1" applyFill="1" applyBorder="1"/>
    <xf numFmtId="3" fontId="28" fillId="3" borderId="8" xfId="12" applyNumberFormat="1" applyFont="1" applyFill="1" applyBorder="1"/>
    <xf numFmtId="3" fontId="28" fillId="3" borderId="9" xfId="12" applyNumberFormat="1" applyFont="1" applyFill="1" applyBorder="1"/>
    <xf numFmtId="3" fontId="28" fillId="36" borderId="17" xfId="12" applyNumberFormat="1" applyFont="1" applyFill="1" applyBorder="1"/>
    <xf numFmtId="0" fontId="27" fillId="37" borderId="12" xfId="0" applyFont="1" applyFill="1" applyBorder="1" applyAlignment="1">
      <alignment horizontal="center" vertical="center" wrapText="1"/>
    </xf>
    <xf numFmtId="180" fontId="28" fillId="3" borderId="14" xfId="4" applyNumberFormat="1" applyFont="1" applyFill="1" applyBorder="1" applyAlignment="1">
      <alignment horizontal="center"/>
    </xf>
    <xf numFmtId="0" fontId="28" fillId="3" borderId="8" xfId="15" applyFont="1" applyFill="1" applyBorder="1"/>
    <xf numFmtId="0" fontId="28" fillId="3" borderId="9" xfId="15" applyFont="1" applyFill="1" applyBorder="1"/>
    <xf numFmtId="3" fontId="17" fillId="3" borderId="11" xfId="15" applyNumberFormat="1" applyFont="1" applyFill="1" applyBorder="1" applyAlignment="1">
      <alignment horizontal="right"/>
    </xf>
    <xf numFmtId="1" fontId="73" fillId="3" borderId="0" xfId="11" applyNumberFormat="1" applyFont="1" applyFill="1" applyAlignment="1">
      <alignment horizontal="left" vertical="center"/>
    </xf>
    <xf numFmtId="0" fontId="73" fillId="3" borderId="0" xfId="0" applyFont="1" applyFill="1" applyAlignment="1">
      <alignment horizontal="left" vertical="center"/>
    </xf>
    <xf numFmtId="0" fontId="73" fillId="3" borderId="0" xfId="0" applyNumberFormat="1" applyFont="1" applyFill="1" applyAlignment="1">
      <alignment horizontal="left"/>
    </xf>
    <xf numFmtId="0" fontId="28" fillId="3" borderId="0" xfId="0" applyNumberFormat="1" applyFont="1" applyFill="1" applyAlignment="1">
      <alignment horizontal="center" vertical="center"/>
    </xf>
    <xf numFmtId="179" fontId="73" fillId="3" borderId="0" xfId="4" applyNumberFormat="1" applyFont="1" applyFill="1" applyAlignment="1">
      <alignment horizontal="left"/>
    </xf>
    <xf numFmtId="0" fontId="27" fillId="5" borderId="4" xfId="0" applyFont="1" applyFill="1" applyBorder="1" applyAlignment="1">
      <alignment horizontal="center" vertical="center" wrapText="1"/>
    </xf>
    <xf numFmtId="0" fontId="28" fillId="7" borderId="0" xfId="0" applyFont="1" applyFill="1" applyBorder="1" applyAlignment="1">
      <alignment vertical="center" wrapText="1"/>
    </xf>
    <xf numFmtId="0" fontId="28" fillId="7" borderId="0" xfId="0" applyFont="1" applyFill="1" applyBorder="1" applyAlignment="1">
      <alignment vertical="center"/>
    </xf>
    <xf numFmtId="0" fontId="28" fillId="7" borderId="0" xfId="0" applyFont="1" applyFill="1" applyAlignment="1">
      <alignment vertical="center"/>
    </xf>
    <xf numFmtId="14" fontId="27" fillId="40" borderId="3" xfId="15" applyNumberFormat="1" applyFont="1" applyFill="1" applyBorder="1" applyAlignment="1">
      <alignment horizontal="center" vertical="center" wrapText="1"/>
    </xf>
    <xf numFmtId="0" fontId="67" fillId="7" borderId="0" xfId="0" applyFont="1" applyFill="1" applyAlignment="1">
      <alignment horizontal="right"/>
    </xf>
    <xf numFmtId="171" fontId="28" fillId="7" borderId="0" xfId="0" applyNumberFormat="1" applyFont="1" applyFill="1" applyBorder="1"/>
    <xf numFmtId="168" fontId="28" fillId="6" borderId="14" xfId="12" applyNumberFormat="1" applyFont="1" applyFill="1" applyBorder="1"/>
    <xf numFmtId="164" fontId="28" fillId="7" borderId="0" xfId="0" applyNumberFormat="1" applyFont="1" applyFill="1" applyBorder="1"/>
    <xf numFmtId="0" fontId="67" fillId="3" borderId="0" xfId="0" applyNumberFormat="1" applyFont="1" applyFill="1" applyBorder="1" applyAlignment="1">
      <alignment wrapText="1"/>
    </xf>
    <xf numFmtId="175" fontId="2" fillId="36" borderId="14" xfId="4" applyNumberFormat="1" applyFont="1" applyFill="1" applyBorder="1" applyAlignment="1">
      <alignment horizontal="center" vertical="center" wrapText="1"/>
    </xf>
    <xf numFmtId="43" fontId="28" fillId="36" borderId="5" xfId="4" applyNumberFormat="1" applyFont="1" applyFill="1" applyBorder="1"/>
    <xf numFmtId="49" fontId="67" fillId="3" borderId="0" xfId="4" applyNumberFormat="1" applyFont="1" applyFill="1" applyBorder="1" applyAlignment="1">
      <alignment vertical="center" wrapText="1"/>
    </xf>
    <xf numFmtId="0" fontId="29" fillId="3" borderId="0" xfId="11" applyFont="1" applyFill="1" applyAlignment="1"/>
    <xf numFmtId="0" fontId="34" fillId="3" borderId="0" xfId="0" applyFont="1" applyFill="1" applyBorder="1"/>
    <xf numFmtId="0" fontId="28" fillId="3" borderId="0" xfId="11" applyFont="1" applyFill="1" applyBorder="1" applyAlignment="1">
      <alignment horizontal="right" vertical="center"/>
    </xf>
    <xf numFmtId="0" fontId="28" fillId="3" borderId="0" xfId="0" applyFont="1" applyFill="1" applyAlignment="1">
      <alignment horizontal="right"/>
    </xf>
    <xf numFmtId="3" fontId="28" fillId="3" borderId="0" xfId="0" applyNumberFormat="1" applyFont="1" applyFill="1" applyBorder="1" applyAlignment="1">
      <alignment horizontal="right"/>
    </xf>
    <xf numFmtId="3" fontId="28" fillId="3" borderId="7" xfId="0" applyNumberFormat="1" applyFont="1" applyFill="1" applyBorder="1" applyAlignment="1">
      <alignment horizontal="right"/>
    </xf>
    <xf numFmtId="0" fontId="71" fillId="3" borderId="0" xfId="0" applyFont="1" applyFill="1" applyAlignment="1"/>
    <xf numFmtId="10" fontId="28" fillId="3" borderId="7" xfId="0" applyNumberFormat="1" applyFont="1" applyFill="1" applyBorder="1"/>
    <xf numFmtId="175" fontId="28" fillId="36" borderId="4" xfId="4" quotePrefix="1" applyNumberFormat="1" applyFont="1" applyFill="1" applyBorder="1"/>
    <xf numFmtId="175" fontId="28" fillId="36" borderId="5" xfId="4" quotePrefix="1" applyNumberFormat="1" applyFont="1" applyFill="1" applyBorder="1"/>
    <xf numFmtId="0" fontId="67" fillId="7" borderId="0" xfId="0" applyFont="1" applyFill="1" applyBorder="1" applyAlignment="1">
      <alignment vertical="center" wrapText="1"/>
    </xf>
    <xf numFmtId="0" fontId="67" fillId="3" borderId="0" xfId="0" applyFont="1" applyFill="1" applyBorder="1" applyAlignment="1">
      <alignment vertical="center" wrapText="1"/>
    </xf>
    <xf numFmtId="0" fontId="67" fillId="3" borderId="0" xfId="11" applyFont="1" applyFill="1" applyBorder="1" applyAlignment="1">
      <alignment vertical="center" wrapText="1"/>
    </xf>
    <xf numFmtId="0" fontId="67" fillId="3" borderId="0" xfId="0" applyFont="1" applyFill="1" applyBorder="1" applyAlignment="1"/>
    <xf numFmtId="175" fontId="28" fillId="36" borderId="11" xfId="4" applyNumberFormat="1" applyFont="1" applyFill="1" applyBorder="1"/>
    <xf numFmtId="2" fontId="27" fillId="5" borderId="4" xfId="0" applyNumberFormat="1" applyFont="1" applyFill="1" applyBorder="1" applyAlignment="1">
      <alignment horizontal="center" vertical="top" wrapText="1"/>
    </xf>
    <xf numFmtId="175" fontId="28" fillId="33" borderId="14" xfId="4" applyNumberFormat="1" applyFont="1" applyFill="1" applyBorder="1"/>
    <xf numFmtId="0" fontId="75" fillId="7" borderId="0" xfId="0" applyFont="1" applyFill="1"/>
    <xf numFmtId="0" fontId="75" fillId="7" borderId="0" xfId="0" applyFont="1" applyFill="1" applyAlignment="1">
      <alignment horizontal="center" vertical="center"/>
    </xf>
    <xf numFmtId="0" fontId="33" fillId="3" borderId="4" xfId="0" applyFont="1" applyFill="1" applyBorder="1" applyAlignment="1">
      <alignment horizontal="left"/>
    </xf>
    <xf numFmtId="0" fontId="33" fillId="3" borderId="8" xfId="0" applyFont="1" applyFill="1" applyBorder="1" applyAlignment="1">
      <alignment horizontal="center"/>
    </xf>
    <xf numFmtId="0" fontId="33" fillId="3" borderId="9" xfId="0" applyFont="1" applyFill="1" applyBorder="1" applyAlignment="1">
      <alignment horizontal="center"/>
    </xf>
    <xf numFmtId="0" fontId="33" fillId="3" borderId="10" xfId="0" applyFont="1" applyFill="1" applyBorder="1" applyAlignment="1">
      <alignment horizontal="center"/>
    </xf>
    <xf numFmtId="43" fontId="33" fillId="3" borderId="0" xfId="4" applyFont="1" applyFill="1" applyBorder="1"/>
    <xf numFmtId="166" fontId="28" fillId="3" borderId="10" xfId="0" applyNumberFormat="1" applyFont="1" applyFill="1" applyBorder="1" applyAlignment="1">
      <alignment horizontal="center"/>
    </xf>
    <xf numFmtId="0" fontId="33" fillId="3" borderId="5" xfId="0" applyFont="1" applyFill="1" applyBorder="1" applyAlignment="1">
      <alignment horizontal="left"/>
    </xf>
    <xf numFmtId="0" fontId="33" fillId="3" borderId="3" xfId="0" applyFont="1" applyFill="1" applyBorder="1" applyAlignment="1">
      <alignment horizontal="left"/>
    </xf>
    <xf numFmtId="180" fontId="33" fillId="3" borderId="4" xfId="4" applyNumberFormat="1" applyFont="1" applyFill="1" applyBorder="1"/>
    <xf numFmtId="180" fontId="33" fillId="3" borderId="5" xfId="4" applyNumberFormat="1" applyFont="1" applyFill="1" applyBorder="1"/>
    <xf numFmtId="180" fontId="33" fillId="3" borderId="3" xfId="4" applyNumberFormat="1" applyFont="1" applyFill="1" applyBorder="1"/>
    <xf numFmtId="43" fontId="68" fillId="3" borderId="0" xfId="668" applyNumberFormat="1" applyFill="1" applyAlignment="1">
      <alignment horizontal="left" vertical="center"/>
    </xf>
    <xf numFmtId="43" fontId="68" fillId="3" borderId="0" xfId="668" applyNumberFormat="1" applyFill="1" applyBorder="1" applyAlignment="1">
      <alignment horizontal="right" vertical="center"/>
    </xf>
    <xf numFmtId="0" fontId="27" fillId="38" borderId="4" xfId="0" applyFont="1" applyFill="1" applyBorder="1" applyAlignment="1">
      <alignment horizontal="center" vertical="center" wrapText="1"/>
    </xf>
    <xf numFmtId="175" fontId="28" fillId="41" borderId="3" xfId="4" applyNumberFormat="1" applyFont="1" applyFill="1" applyBorder="1" applyAlignment="1">
      <alignment horizontal="center"/>
    </xf>
    <xf numFmtId="43" fontId="33" fillId="5" borderId="14" xfId="4" applyFont="1" applyFill="1" applyBorder="1"/>
    <xf numFmtId="172" fontId="28" fillId="5" borderId="14" xfId="12" applyNumberFormat="1" applyFont="1" applyFill="1" applyBorder="1"/>
    <xf numFmtId="3" fontId="28" fillId="3" borderId="10" xfId="12" applyNumberFormat="1" applyFont="1" applyFill="1" applyBorder="1"/>
    <xf numFmtId="43" fontId="28" fillId="3" borderId="12" xfId="4" applyFont="1" applyFill="1" applyBorder="1"/>
    <xf numFmtId="43" fontId="28" fillId="3" borderId="11" xfId="4" applyFont="1" applyFill="1" applyBorder="1"/>
    <xf numFmtId="43" fontId="28" fillId="3" borderId="13" xfId="4" applyFont="1" applyFill="1" applyBorder="1"/>
    <xf numFmtId="43" fontId="28" fillId="3" borderId="7" xfId="4" applyFont="1" applyFill="1" applyBorder="1"/>
    <xf numFmtId="43" fontId="75" fillId="7" borderId="0" xfId="4" applyFont="1" applyFill="1"/>
    <xf numFmtId="175" fontId="28" fillId="36" borderId="3" xfId="4" quotePrefix="1" applyNumberFormat="1" applyFont="1" applyFill="1" applyBorder="1"/>
    <xf numFmtId="43" fontId="28" fillId="3" borderId="0" xfId="4" applyNumberFormat="1" applyFont="1" applyFill="1" applyBorder="1"/>
    <xf numFmtId="3" fontId="28" fillId="3" borderId="17" xfId="12" applyNumberFormat="1" applyFont="1" applyFill="1" applyBorder="1"/>
    <xf numFmtId="177" fontId="28" fillId="3" borderId="7" xfId="4" applyNumberFormat="1" applyFont="1" applyFill="1" applyBorder="1"/>
    <xf numFmtId="43" fontId="28" fillId="36" borderId="4" xfId="4" applyNumberFormat="1" applyFont="1" applyFill="1" applyBorder="1"/>
    <xf numFmtId="0" fontId="75" fillId="7" borderId="0" xfId="0" applyFont="1" applyFill="1" applyBorder="1" applyAlignment="1">
      <alignment horizontal="left" indent="8"/>
    </xf>
    <xf numFmtId="0" fontId="69" fillId="3" borderId="0" xfId="260" applyFont="1" applyFill="1" applyAlignment="1">
      <alignment horizontal="left" vertical="center" indent="1"/>
    </xf>
    <xf numFmtId="0" fontId="68" fillId="7" borderId="8" xfId="668" applyFill="1" applyBorder="1" applyAlignment="1">
      <alignment horizontal="left" vertical="center" indent="1"/>
    </xf>
    <xf numFmtId="0" fontId="68" fillId="7" borderId="9" xfId="668" applyFill="1" applyBorder="1" applyAlignment="1">
      <alignment horizontal="left" vertical="center" indent="1"/>
    </xf>
    <xf numFmtId="0" fontId="68" fillId="7" borderId="10" xfId="668" applyFill="1" applyBorder="1" applyAlignment="1">
      <alignment horizontal="left" vertical="center" indent="1"/>
    </xf>
    <xf numFmtId="0" fontId="68" fillId="35" borderId="10" xfId="668" applyFill="1" applyBorder="1" applyAlignment="1">
      <alignment horizontal="left" vertical="center" indent="1"/>
    </xf>
    <xf numFmtId="0" fontId="68" fillId="32" borderId="17" xfId="668" applyFill="1" applyBorder="1" applyAlignment="1">
      <alignment horizontal="left" vertical="center" indent="1"/>
    </xf>
    <xf numFmtId="43" fontId="68" fillId="3" borderId="0" xfId="668" applyNumberFormat="1" applyFill="1" applyAlignment="1">
      <alignment vertical="center" wrapText="1"/>
    </xf>
    <xf numFmtId="175" fontId="37" fillId="31" borderId="32" xfId="4" applyNumberFormat="1" applyFont="1" applyFill="1" applyBorder="1" applyAlignment="1">
      <alignment horizontal="right"/>
    </xf>
    <xf numFmtId="175" fontId="37" fillId="31" borderId="16" xfId="4" applyNumberFormat="1" applyFont="1" applyFill="1" applyBorder="1" applyAlignment="1">
      <alignment horizontal="right"/>
    </xf>
    <xf numFmtId="175" fontId="37" fillId="31" borderId="31" xfId="0" applyNumberFormat="1" applyFont="1" applyFill="1" applyBorder="1" applyAlignment="1">
      <alignment horizontal="right"/>
    </xf>
    <xf numFmtId="175" fontId="37" fillId="31" borderId="30" xfId="0" applyNumberFormat="1" applyFont="1" applyFill="1" applyBorder="1" applyAlignment="1">
      <alignment horizontal="right"/>
    </xf>
    <xf numFmtId="175" fontId="37" fillId="31" borderId="30" xfId="4" applyNumberFormat="1" applyFont="1" applyFill="1" applyBorder="1" applyAlignment="1">
      <alignment horizontal="right"/>
    </xf>
    <xf numFmtId="175" fontId="37" fillId="31" borderId="0" xfId="4" applyNumberFormat="1" applyFont="1" applyFill="1" applyAlignment="1">
      <alignment horizontal="right"/>
    </xf>
    <xf numFmtId="175" fontId="28" fillId="3" borderId="14" xfId="4" applyNumberFormat="1" applyFont="1" applyFill="1" applyBorder="1" applyProtection="1"/>
    <xf numFmtId="43" fontId="28" fillId="3" borderId="14" xfId="4" applyNumberFormat="1" applyFont="1" applyFill="1" applyBorder="1" applyProtection="1"/>
    <xf numFmtId="43" fontId="28" fillId="36" borderId="5" xfId="4" applyNumberFormat="1" applyFont="1" applyFill="1" applyBorder="1" applyProtection="1"/>
    <xf numFmtId="43" fontId="28" fillId="36" borderId="14" xfId="4" applyNumberFormat="1" applyFont="1" applyFill="1" applyBorder="1" applyProtection="1"/>
    <xf numFmtId="175" fontId="28" fillId="36" borderId="5" xfId="4" applyNumberFormat="1" applyFont="1" applyFill="1" applyBorder="1" applyProtection="1"/>
    <xf numFmtId="175" fontId="28" fillId="36" borderId="14" xfId="4" applyNumberFormat="1" applyFont="1" applyFill="1" applyBorder="1" applyProtection="1"/>
    <xf numFmtId="43" fontId="28" fillId="42" borderId="9" xfId="4" applyFont="1" applyFill="1" applyBorder="1"/>
    <xf numFmtId="3" fontId="27" fillId="38" borderId="4" xfId="0" applyNumberFormat="1" applyFont="1" applyFill="1" applyBorder="1" applyAlignment="1">
      <alignment horizontal="center" vertical="center" wrapText="1"/>
    </xf>
    <xf numFmtId="175" fontId="27" fillId="38" borderId="4" xfId="4" applyNumberFormat="1" applyFont="1" applyFill="1" applyBorder="1" applyAlignment="1">
      <alignment horizontal="center" vertical="center" wrapText="1"/>
    </xf>
    <xf numFmtId="43" fontId="27" fillId="38" borderId="4" xfId="4" applyFont="1" applyFill="1" applyBorder="1" applyAlignment="1">
      <alignment horizontal="center" vertical="center" wrapText="1"/>
    </xf>
    <xf numFmtId="3" fontId="27" fillId="38" borderId="14" xfId="0" applyNumberFormat="1" applyFont="1" applyFill="1" applyBorder="1" applyAlignment="1">
      <alignment horizontal="center"/>
    </xf>
    <xf numFmtId="166" fontId="27" fillId="38" borderId="14" xfId="0" applyNumberFormat="1" applyFont="1" applyFill="1" applyBorder="1" applyAlignment="1">
      <alignment horizontal="center"/>
    </xf>
    <xf numFmtId="175" fontId="27" fillId="38" borderId="14" xfId="4" applyNumberFormat="1" applyFont="1" applyFill="1" applyBorder="1" applyAlignment="1">
      <alignment horizontal="center"/>
    </xf>
    <xf numFmtId="0" fontId="27" fillId="38" borderId="14" xfId="0" applyNumberFormat="1" applyFont="1" applyFill="1" applyBorder="1" applyAlignment="1">
      <alignment horizont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175" fontId="28" fillId="42" borderId="5" xfId="4" applyNumberFormat="1" applyFont="1" applyFill="1" applyBorder="1"/>
    <xf numFmtId="175" fontId="28" fillId="42" borderId="14" xfId="4" applyNumberFormat="1" applyFont="1" applyFill="1" applyBorder="1"/>
    <xf numFmtId="0" fontId="70" fillId="3" borderId="0" xfId="260" applyFont="1" applyFill="1" applyAlignment="1">
      <alignment horizontal="left" vertical="center" indent="1"/>
    </xf>
    <xf numFmtId="43" fontId="27" fillId="38" borderId="4" xfId="4" applyFont="1" applyFill="1" applyBorder="1" applyAlignment="1">
      <alignment horizontal="center" vertical="center" wrapText="1"/>
    </xf>
    <xf numFmtId="0" fontId="41" fillId="38" borderId="4" xfId="4" quotePrefix="1" applyNumberFormat="1" applyFont="1" applyFill="1" applyBorder="1" applyAlignment="1">
      <alignment horizontal="center"/>
    </xf>
    <xf numFmtId="14" fontId="41" fillId="38" borderId="4" xfId="0" applyNumberFormat="1" applyFont="1" applyFill="1" applyBorder="1" applyAlignment="1">
      <alignment horizontal="center"/>
    </xf>
    <xf numFmtId="43" fontId="41" fillId="38" borderId="4" xfId="4" applyFont="1" applyFill="1" applyBorder="1" applyAlignment="1">
      <alignment horizontal="center" vertical="center" wrapText="1"/>
    </xf>
    <xf numFmtId="3" fontId="41" fillId="38" borderId="4" xfId="0" applyNumberFormat="1" applyFont="1" applyFill="1" applyBorder="1" applyAlignment="1">
      <alignment horizontal="center" vertical="center" wrapText="1"/>
    </xf>
    <xf numFmtId="175" fontId="27" fillId="38" borderId="4" xfId="4" applyNumberFormat="1" applyFont="1" applyFill="1" applyBorder="1" applyAlignment="1">
      <alignment horizontal="center" vertical="center" wrapText="1"/>
    </xf>
    <xf numFmtId="175" fontId="28" fillId="3" borderId="6" xfId="4" applyNumberFormat="1" applyFont="1" applyFill="1" applyBorder="1" applyAlignment="1">
      <alignment vertical="center"/>
    </xf>
    <xf numFmtId="43" fontId="28" fillId="3" borderId="14" xfId="4" applyNumberFormat="1" applyFont="1" applyFill="1" applyBorder="1" applyAlignment="1">
      <alignment vertical="center"/>
    </xf>
    <xf numFmtId="175" fontId="28" fillId="3" borderId="7" xfId="4" applyNumberFormat="1" applyFont="1" applyFill="1" applyBorder="1" applyAlignment="1">
      <alignment vertical="center"/>
    </xf>
    <xf numFmtId="0" fontId="29" fillId="3" borderId="0" xfId="11" applyFont="1" applyFill="1" applyAlignment="1">
      <alignment vertical="center"/>
    </xf>
    <xf numFmtId="175" fontId="28" fillId="3" borderId="8" xfId="4" applyNumberFormat="1" applyFont="1" applyFill="1" applyBorder="1" applyAlignment="1">
      <alignment vertical="center"/>
    </xf>
    <xf numFmtId="43" fontId="28" fillId="3" borderId="4" xfId="4" applyNumberFormat="1" applyFont="1" applyFill="1" applyBorder="1" applyAlignment="1">
      <alignment vertical="center"/>
    </xf>
    <xf numFmtId="175" fontId="28" fillId="3" borderId="0" xfId="0" applyNumberFormat="1" applyFont="1" applyFill="1" applyAlignment="1">
      <alignment vertical="center"/>
    </xf>
    <xf numFmtId="175" fontId="28" fillId="3" borderId="9" xfId="4" applyNumberFormat="1" applyFont="1" applyFill="1" applyBorder="1" applyAlignment="1">
      <alignment vertical="center"/>
    </xf>
    <xf numFmtId="43" fontId="28" fillId="3" borderId="5" xfId="4" applyNumberFormat="1" applyFont="1" applyFill="1" applyBorder="1" applyAlignment="1">
      <alignment vertical="center"/>
    </xf>
    <xf numFmtId="181" fontId="27" fillId="39" borderId="14" xfId="4" applyNumberFormat="1" applyFont="1" applyFill="1" applyBorder="1" applyAlignment="1">
      <alignment horizontal="center" vertical="center"/>
    </xf>
    <xf numFmtId="0" fontId="28" fillId="36" borderId="14" xfId="0" applyFont="1" applyFill="1" applyBorder="1" applyAlignment="1">
      <alignment horizontal="center" vertical="center" wrapText="1"/>
    </xf>
    <xf numFmtId="175" fontId="33" fillId="33" borderId="3" xfId="0" applyNumberFormat="1" applyFont="1" applyFill="1" applyBorder="1"/>
    <xf numFmtId="175" fontId="33" fillId="33" borderId="14" xfId="0" applyNumberFormat="1" applyFont="1" applyFill="1" applyBorder="1"/>
    <xf numFmtId="175" fontId="28" fillId="33" borderId="7" xfId="0" applyNumberFormat="1" applyFont="1" applyFill="1" applyBorder="1"/>
    <xf numFmtId="175" fontId="28" fillId="5" borderId="3" xfId="0" applyNumberFormat="1" applyFont="1" applyFill="1" applyBorder="1"/>
    <xf numFmtId="175" fontId="28" fillId="42" borderId="4" xfId="4" applyNumberFormat="1" applyFont="1" applyFill="1" applyBorder="1"/>
    <xf numFmtId="175" fontId="28" fillId="42" borderId="3" xfId="4" applyNumberFormat="1" applyFont="1" applyFill="1" applyBorder="1"/>
    <xf numFmtId="167" fontId="27" fillId="39" borderId="14" xfId="12" applyNumberFormat="1" applyFont="1" applyFill="1" applyBorder="1" applyAlignment="1">
      <alignment horizontal="center" vertical="center" wrapText="1"/>
    </xf>
    <xf numFmtId="172" fontId="33" fillId="35" borderId="11" xfId="0" applyNumberFormat="1" applyFont="1" applyFill="1" applyBorder="1" applyAlignment="1">
      <alignment horizontal="center"/>
    </xf>
    <xf numFmtId="172" fontId="33" fillId="35" borderId="5" xfId="0" applyNumberFormat="1" applyFont="1" applyFill="1" applyBorder="1" applyAlignment="1">
      <alignment horizontal="center"/>
    </xf>
    <xf numFmtId="172" fontId="33" fillId="35" borderId="14" xfId="0" applyNumberFormat="1" applyFont="1" applyFill="1" applyBorder="1" applyAlignment="1">
      <alignment horizontal="center"/>
    </xf>
    <xf numFmtId="175" fontId="27" fillId="5" borderId="14" xfId="4" applyNumberFormat="1" applyFont="1" applyFill="1" applyBorder="1" applyAlignment="1">
      <alignment horizontal="center" vertical="center" wrapText="1"/>
    </xf>
    <xf numFmtId="167" fontId="27" fillId="5" borderId="14" xfId="12" applyNumberFormat="1" applyFont="1" applyFill="1" applyBorder="1" applyAlignment="1">
      <alignment horizontal="center" vertical="center" wrapText="1"/>
    </xf>
    <xf numFmtId="172" fontId="33" fillId="36" borderId="5" xfId="0" applyNumberFormat="1" applyFont="1" applyFill="1" applyBorder="1" applyAlignment="1">
      <alignment horizontal="center"/>
    </xf>
    <xf numFmtId="172" fontId="33" fillId="36" borderId="14" xfId="0" applyNumberFormat="1" applyFont="1" applyFill="1" applyBorder="1" applyAlignment="1">
      <alignment horizontal="center"/>
    </xf>
    <xf numFmtId="175" fontId="27" fillId="40" borderId="14" xfId="4" applyNumberFormat="1" applyFont="1" applyFill="1" applyBorder="1" applyAlignment="1">
      <alignment horizontal="center" vertical="center" wrapText="1"/>
    </xf>
    <xf numFmtId="167" fontId="27" fillId="40" borderId="14" xfId="12" applyNumberFormat="1" applyFont="1" applyFill="1" applyBorder="1" applyAlignment="1">
      <alignment horizontal="center" vertical="center" wrapText="1"/>
    </xf>
    <xf numFmtId="172" fontId="33" fillId="41" borderId="5" xfId="0" applyNumberFormat="1" applyFont="1" applyFill="1" applyBorder="1" applyAlignment="1">
      <alignment horizontal="center"/>
    </xf>
    <xf numFmtId="172" fontId="33" fillId="41" borderId="14" xfId="0" applyNumberFormat="1" applyFont="1" applyFill="1" applyBorder="1" applyAlignment="1">
      <alignment horizontal="center"/>
    </xf>
    <xf numFmtId="0" fontId="68" fillId="43" borderId="8" xfId="668" applyFill="1" applyBorder="1" applyAlignment="1">
      <alignment horizontal="left" vertical="center" indent="1"/>
    </xf>
    <xf numFmtId="0" fontId="68" fillId="43" borderId="9" xfId="668" applyFill="1" applyBorder="1" applyAlignment="1">
      <alignment horizontal="left" vertical="center" indent="1"/>
    </xf>
    <xf numFmtId="175" fontId="28" fillId="3" borderId="0" xfId="4" applyNumberFormat="1" applyFont="1" applyFill="1" applyBorder="1" applyAlignment="1">
      <alignment horizontal="left"/>
    </xf>
    <xf numFmtId="175" fontId="28" fillId="42" borderId="5" xfId="4" applyNumberFormat="1" applyFont="1" applyFill="1" applyBorder="1" applyProtection="1"/>
    <xf numFmtId="175" fontId="28" fillId="42" borderId="14" xfId="4" applyNumberFormat="1" applyFont="1" applyFill="1" applyBorder="1" applyProtection="1"/>
    <xf numFmtId="0" fontId="27" fillId="5" borderId="4" xfId="0" applyFont="1" applyFill="1" applyBorder="1" applyAlignment="1">
      <alignment horizontal="center" vertical="center" wrapText="1"/>
    </xf>
    <xf numFmtId="0" fontId="27" fillId="5" borderId="14" xfId="0" applyFont="1" applyFill="1" applyBorder="1" applyAlignment="1">
      <alignment horizontal="center" vertical="center" wrapText="1"/>
    </xf>
    <xf numFmtId="43" fontId="27" fillId="5" borderId="4" xfId="4" applyFont="1" applyFill="1" applyBorder="1" applyAlignment="1">
      <alignment horizontal="center" vertical="center" wrapText="1"/>
    </xf>
    <xf numFmtId="43" fontId="68" fillId="3" borderId="0" xfId="668" applyNumberFormat="1" applyFill="1" applyAlignment="1">
      <alignment horizontal="left" vertical="center"/>
    </xf>
    <xf numFmtId="175" fontId="28" fillId="44" borderId="5" xfId="4" applyNumberFormat="1" applyFont="1" applyFill="1" applyBorder="1"/>
    <xf numFmtId="175" fontId="28" fillId="44" borderId="0" xfId="4" applyNumberFormat="1" applyFont="1" applyFill="1" applyBorder="1"/>
    <xf numFmtId="0" fontId="68" fillId="34" borderId="17" xfId="668" applyFill="1" applyBorder="1" applyAlignment="1">
      <alignment horizontal="left" vertical="center" wrapText="1" indent="1"/>
    </xf>
    <xf numFmtId="177" fontId="28" fillId="3" borderId="5" xfId="4" applyNumberFormat="1" applyFont="1" applyFill="1" applyBorder="1"/>
    <xf numFmtId="177" fontId="28" fillId="44" borderId="4" xfId="4" applyNumberFormat="1" applyFont="1" applyFill="1" applyBorder="1"/>
    <xf numFmtId="177" fontId="28" fillId="44" borderId="5" xfId="4" applyNumberFormat="1" applyFont="1" applyFill="1" applyBorder="1"/>
    <xf numFmtId="177" fontId="28" fillId="44" borderId="3" xfId="4" applyNumberFormat="1" applyFont="1" applyFill="1" applyBorder="1"/>
    <xf numFmtId="43" fontId="28" fillId="3" borderId="12" xfId="4" applyNumberFormat="1" applyFont="1" applyFill="1" applyBorder="1"/>
    <xf numFmtId="43" fontId="28" fillId="3" borderId="11" xfId="4" applyNumberFormat="1" applyFont="1" applyFill="1" applyBorder="1"/>
    <xf numFmtId="0" fontId="28" fillId="36" borderId="4" xfId="0" applyFont="1" applyFill="1" applyBorder="1" applyAlignment="1">
      <alignment horizontal="center" vertical="center" wrapText="1"/>
    </xf>
    <xf numFmtId="175" fontId="28" fillId="35" borderId="12" xfId="4" applyNumberFormat="1" applyFont="1" applyFill="1" applyBorder="1"/>
    <xf numFmtId="175" fontId="28" fillId="35" borderId="13" xfId="4" applyNumberFormat="1" applyFont="1" applyFill="1" applyBorder="1"/>
    <xf numFmtId="0" fontId="68" fillId="5" borderId="17" xfId="668" applyFill="1" applyBorder="1" applyAlignment="1">
      <alignment horizontal="left" vertical="center" wrapText="1" indent="1"/>
    </xf>
    <xf numFmtId="177" fontId="27" fillId="5" borderId="4" xfId="0" applyNumberFormat="1" applyFont="1" applyFill="1" applyBorder="1" applyAlignment="1">
      <alignment horizontal="center" vertical="center" wrapText="1"/>
    </xf>
    <xf numFmtId="179" fontId="27" fillId="5" borderId="4" xfId="4" applyNumberFormat="1" applyFont="1" applyFill="1" applyBorder="1" applyAlignment="1">
      <alignment horizontal="center" vertical="center" wrapText="1"/>
    </xf>
    <xf numFmtId="175" fontId="28" fillId="4" borderId="4" xfId="0" applyNumberFormat="1" applyFont="1" applyFill="1" applyBorder="1"/>
    <xf numFmtId="175" fontId="28" fillId="4" borderId="5" xfId="0" applyNumberFormat="1" applyFont="1" applyFill="1" applyBorder="1"/>
    <xf numFmtId="175" fontId="28" fillId="4" borderId="3" xfId="0" applyNumberFormat="1" applyFont="1" applyFill="1" applyBorder="1"/>
    <xf numFmtId="175" fontId="28" fillId="4" borderId="14" xfId="0" applyNumberFormat="1" applyFont="1" applyFill="1" applyBorder="1"/>
    <xf numFmtId="0" fontId="67" fillId="7" borderId="0" xfId="0" applyFont="1" applyFill="1" applyAlignment="1">
      <alignment horizontal="center"/>
    </xf>
    <xf numFmtId="183" fontId="27" fillId="5" borderId="14" xfId="0" applyNumberFormat="1" applyFont="1" applyFill="1" applyBorder="1" applyAlignment="1">
      <alignment horizontal="center" vertical="top" wrapText="1"/>
    </xf>
    <xf numFmtId="16" fontId="79" fillId="36" borderId="17" xfId="668" applyNumberFormat="1" applyFont="1" applyFill="1" applyBorder="1" applyAlignment="1">
      <alignment horizontal="center" vertical="center"/>
    </xf>
    <xf numFmtId="0" fontId="79" fillId="36" borderId="6" xfId="668" applyFont="1" applyFill="1" applyBorder="1" applyAlignment="1">
      <alignment horizontal="center" vertical="center"/>
    </xf>
    <xf numFmtId="0" fontId="79" fillId="36" borderId="7" xfId="668" applyFont="1" applyFill="1" applyBorder="1" applyAlignment="1">
      <alignment horizontal="center" vertical="center"/>
    </xf>
    <xf numFmtId="43" fontId="72" fillId="3" borderId="4" xfId="4" applyFont="1" applyFill="1" applyBorder="1"/>
    <xf numFmtId="43" fontId="72" fillId="3" borderId="5" xfId="4" applyFont="1" applyFill="1" applyBorder="1"/>
    <xf numFmtId="43" fontId="1" fillId="31" borderId="4" xfId="4" applyFont="1" applyFill="1" applyBorder="1"/>
    <xf numFmtId="43" fontId="1" fillId="31" borderId="5" xfId="4" applyFont="1" applyFill="1" applyBorder="1"/>
    <xf numFmtId="43" fontId="1" fillId="31" borderId="3" xfId="4" applyFont="1" applyFill="1" applyBorder="1"/>
    <xf numFmtId="182" fontId="28" fillId="7" borderId="14" xfId="4" applyNumberFormat="1" applyFont="1" applyFill="1" applyBorder="1"/>
    <xf numFmtId="177" fontId="28" fillId="6" borderId="14" xfId="4" applyNumberFormat="1" applyFont="1" applyFill="1" applyBorder="1" applyAlignment="1">
      <alignment horizontal="center" vertical="center" wrapText="1"/>
    </xf>
    <xf numFmtId="43" fontId="42" fillId="3" borderId="5" xfId="4" applyFont="1" applyFill="1" applyBorder="1"/>
    <xf numFmtId="43" fontId="42" fillId="3" borderId="5" xfId="4" applyFont="1" applyFill="1" applyBorder="1" applyAlignment="1">
      <alignment horizontal="center"/>
    </xf>
    <xf numFmtId="43" fontId="42" fillId="3" borderId="0" xfId="4" applyFont="1" applyFill="1" applyBorder="1"/>
    <xf numFmtId="43" fontId="28" fillId="3" borderId="9" xfId="4" applyFont="1" applyFill="1" applyBorder="1" applyAlignment="1">
      <alignment horizontal="center"/>
    </xf>
    <xf numFmtId="43" fontId="28" fillId="3" borderId="4" xfId="4" applyFont="1" applyFill="1" applyBorder="1" applyAlignment="1">
      <alignment horizontal="center"/>
    </xf>
    <xf numFmtId="43" fontId="28" fillId="3" borderId="5" xfId="4" applyFont="1" applyFill="1" applyBorder="1" applyAlignment="1">
      <alignment horizontal="center"/>
    </xf>
    <xf numFmtId="43" fontId="28" fillId="3" borderId="3" xfId="4" applyFont="1" applyFill="1" applyBorder="1" applyAlignment="1">
      <alignment horizontal="center"/>
    </xf>
    <xf numFmtId="43" fontId="28" fillId="3" borderId="4" xfId="4" applyFont="1" applyFill="1" applyBorder="1" applyAlignment="1">
      <alignment horizontal="center" vertical="top" wrapText="1"/>
    </xf>
    <xf numFmtId="43" fontId="28" fillId="3" borderId="5" xfId="4" applyFont="1" applyFill="1" applyBorder="1" applyAlignment="1">
      <alignment horizontal="center" vertical="top" wrapText="1"/>
    </xf>
    <xf numFmtId="43" fontId="28" fillId="3" borderId="3" xfId="4" applyFont="1" applyFill="1" applyBorder="1" applyAlignment="1">
      <alignment horizontal="center" vertical="top" wrapText="1"/>
    </xf>
    <xf numFmtId="0" fontId="28" fillId="3" borderId="4" xfId="28" applyFont="1" applyFill="1" applyBorder="1" applyAlignment="1">
      <alignment horizontal="center"/>
    </xf>
    <xf numFmtId="0" fontId="28" fillId="3" borderId="5" xfId="28" applyFont="1" applyFill="1" applyBorder="1" applyAlignment="1">
      <alignment horizontal="center"/>
    </xf>
    <xf numFmtId="43" fontId="28" fillId="36" borderId="5" xfId="4" applyFont="1" applyFill="1" applyBorder="1"/>
    <xf numFmtId="184" fontId="28" fillId="3" borderId="0" xfId="4" applyNumberFormat="1" applyFont="1" applyFill="1"/>
    <xf numFmtId="43" fontId="28" fillId="3" borderId="0" xfId="4" quotePrefix="1" applyFont="1" applyFill="1"/>
    <xf numFmtId="43" fontId="42" fillId="3" borderId="11" xfId="4" applyFont="1" applyFill="1" applyBorder="1"/>
    <xf numFmtId="175" fontId="28" fillId="0" borderId="5" xfId="4" applyNumberFormat="1" applyFont="1" applyFill="1" applyBorder="1"/>
    <xf numFmtId="175" fontId="28" fillId="44" borderId="14" xfId="4" applyNumberFormat="1" applyFont="1" applyFill="1" applyBorder="1"/>
    <xf numFmtId="175" fontId="28" fillId="44" borderId="6" xfId="4" applyNumberFormat="1" applyFont="1" applyFill="1" applyBorder="1"/>
    <xf numFmtId="0" fontId="28" fillId="3" borderId="4" xfId="0" applyFont="1" applyFill="1" applyBorder="1" applyAlignment="1">
      <alignment horizontal="left"/>
    </xf>
    <xf numFmtId="0" fontId="28" fillId="3" borderId="5" xfId="0" applyFont="1" applyFill="1" applyBorder="1" applyAlignment="1">
      <alignment horizontal="left"/>
    </xf>
    <xf numFmtId="0" fontId="28" fillId="3" borderId="3" xfId="0" applyFont="1" applyFill="1" applyBorder="1" applyAlignment="1">
      <alignment horizontal="left"/>
    </xf>
    <xf numFmtId="175" fontId="28" fillId="4" borderId="7" xfId="4" applyNumberFormat="1" applyFont="1" applyFill="1" applyBorder="1"/>
    <xf numFmtId="0" fontId="27" fillId="38" borderId="4" xfId="0" applyFont="1" applyFill="1" applyBorder="1" applyAlignment="1">
      <alignment horizontal="center" vertical="center" wrapText="1"/>
    </xf>
    <xf numFmtId="175" fontId="42" fillId="3" borderId="5" xfId="4" applyNumberFormat="1" applyFont="1" applyFill="1" applyBorder="1"/>
    <xf numFmtId="0" fontId="27" fillId="33" borderId="4" xfId="0" applyFont="1" applyFill="1" applyBorder="1" applyAlignment="1">
      <alignment horizontal="center" vertical="center" wrapText="1"/>
    </xf>
    <xf numFmtId="43" fontId="28" fillId="3" borderId="0" xfId="4" applyFont="1" applyFill="1" applyAlignment="1">
      <alignment vertical="top"/>
    </xf>
    <xf numFmtId="2" fontId="28" fillId="7" borderId="0" xfId="0" applyNumberFormat="1" applyFont="1" applyFill="1" applyBorder="1" applyAlignment="1">
      <alignment vertical="center"/>
    </xf>
    <xf numFmtId="43" fontId="28" fillId="36" borderId="14" xfId="4" applyFont="1" applyFill="1" applyBorder="1"/>
    <xf numFmtId="164" fontId="37" fillId="7" borderId="0" xfId="0" applyNumberFormat="1" applyFont="1" applyFill="1"/>
    <xf numFmtId="43" fontId="27" fillId="38" borderId="4" xfId="4" applyFont="1" applyFill="1" applyBorder="1" applyAlignment="1">
      <alignment horizontal="center" vertical="center" wrapText="1"/>
    </xf>
    <xf numFmtId="0" fontId="27" fillId="38" borderId="4" xfId="0" applyFont="1" applyFill="1" applyBorder="1" applyAlignment="1">
      <alignment horizontal="center" vertical="center" wrapText="1"/>
    </xf>
    <xf numFmtId="167" fontId="27" fillId="40" borderId="4" xfId="12" applyNumberFormat="1" applyFont="1" applyFill="1" applyBorder="1" applyAlignment="1">
      <alignment horizontal="center" vertical="center" wrapText="1"/>
    </xf>
    <xf numFmtId="167" fontId="27" fillId="38" borderId="4" xfId="12" applyNumberFormat="1" applyFont="1" applyFill="1" applyBorder="1" applyAlignment="1">
      <alignment horizontal="center" vertical="center" wrapText="1"/>
    </xf>
    <xf numFmtId="167" fontId="27" fillId="5" borderId="4" xfId="12" applyNumberFormat="1" applyFont="1" applyFill="1" applyBorder="1" applyAlignment="1">
      <alignment horizontal="center" vertical="center" wrapText="1"/>
    </xf>
    <xf numFmtId="167" fontId="27" fillId="39" borderId="4" xfId="12" applyNumberFormat="1" applyFont="1" applyFill="1" applyBorder="1" applyAlignment="1">
      <alignment horizontal="center" vertical="center" wrapText="1"/>
    </xf>
    <xf numFmtId="0" fontId="28" fillId="7" borderId="0" xfId="0" applyFont="1" applyFill="1" applyBorder="1" applyAlignment="1">
      <alignment wrapText="1"/>
    </xf>
    <xf numFmtId="3" fontId="67" fillId="7" borderId="14" xfId="0" applyNumberFormat="1" applyFont="1" applyFill="1" applyBorder="1" applyAlignment="1">
      <alignment horizontal="center" vertical="center" wrapText="1"/>
    </xf>
    <xf numFmtId="175" fontId="28" fillId="46" borderId="14" xfId="4" applyNumberFormat="1" applyFont="1" applyFill="1" applyBorder="1"/>
    <xf numFmtId="0" fontId="28" fillId="46" borderId="33" xfId="0" applyFont="1" applyFill="1" applyBorder="1" applyAlignment="1">
      <alignment horizontal="center"/>
    </xf>
    <xf numFmtId="0" fontId="28" fillId="46" borderId="14" xfId="0" applyFont="1" applyFill="1" applyBorder="1" applyAlignment="1">
      <alignment horizontal="center"/>
    </xf>
    <xf numFmtId="14" fontId="28" fillId="46" borderId="14" xfId="0" applyNumberFormat="1" applyFont="1" applyFill="1" applyBorder="1" applyAlignment="1">
      <alignment horizontal="center"/>
    </xf>
    <xf numFmtId="3" fontId="28" fillId="46" borderId="14" xfId="0" applyNumberFormat="1" applyFont="1" applyFill="1" applyBorder="1"/>
    <xf numFmtId="175" fontId="28" fillId="33" borderId="3" xfId="4" applyNumberFormat="1" applyFont="1" applyFill="1" applyBorder="1"/>
    <xf numFmtId="167" fontId="28" fillId="33" borderId="11" xfId="0" applyNumberFormat="1" applyFont="1" applyFill="1" applyBorder="1"/>
    <xf numFmtId="169" fontId="80" fillId="3" borderId="0" xfId="11" applyNumberFormat="1" applyFont="1" applyFill="1" applyAlignment="1">
      <alignment vertical="center"/>
    </xf>
    <xf numFmtId="182" fontId="28" fillId="46" borderId="14" xfId="4" applyNumberFormat="1" applyFont="1" applyFill="1" applyBorder="1" applyAlignment="1">
      <alignment horizontal="center" vertical="center" wrapText="1"/>
    </xf>
    <xf numFmtId="3" fontId="28" fillId="47" borderId="14" xfId="0" applyNumberFormat="1" applyFont="1" applyFill="1" applyBorder="1"/>
    <xf numFmtId="175" fontId="37" fillId="3" borderId="0" xfId="4" applyNumberFormat="1" applyFont="1" applyFill="1" applyBorder="1"/>
    <xf numFmtId="0" fontId="39" fillId="31" borderId="0" xfId="0" applyFont="1" applyFill="1"/>
    <xf numFmtId="0" fontId="37" fillId="31" borderId="0" xfId="0" applyFont="1" applyFill="1"/>
    <xf numFmtId="175" fontId="37" fillId="31" borderId="0" xfId="4" applyNumberFormat="1" applyFont="1" applyFill="1"/>
    <xf numFmtId="175" fontId="39" fillId="31" borderId="0" xfId="4" applyNumberFormat="1" applyFont="1" applyFill="1" applyBorder="1"/>
    <xf numFmtId="175" fontId="37" fillId="3" borderId="0" xfId="4" applyNumberFormat="1" applyFont="1" applyFill="1" applyBorder="1" applyAlignment="1">
      <alignment horizontal="center" wrapText="1"/>
    </xf>
    <xf numFmtId="175" fontId="37" fillId="3" borderId="0" xfId="4" applyNumberFormat="1" applyFont="1" applyFill="1" applyBorder="1" applyAlignment="1">
      <alignment wrapText="1"/>
    </xf>
    <xf numFmtId="175" fontId="37" fillId="3" borderId="16" xfId="4" applyNumberFormat="1" applyFont="1" applyFill="1" applyBorder="1" applyAlignment="1">
      <alignment horizontal="center" wrapText="1"/>
    </xf>
    <xf numFmtId="175" fontId="37" fillId="3" borderId="0" xfId="4" applyNumberFormat="1" applyFont="1" applyFill="1" applyAlignment="1">
      <alignment horizontal="center" wrapText="1"/>
    </xf>
    <xf numFmtId="175" fontId="37" fillId="4" borderId="0" xfId="4" applyNumberFormat="1" applyFont="1" applyFill="1" applyAlignment="1" applyProtection="1">
      <alignment wrapText="1"/>
      <protection locked="0"/>
    </xf>
    <xf numFmtId="175" fontId="37" fillId="4" borderId="0" xfId="4" applyNumberFormat="1" applyFont="1" applyFill="1" applyBorder="1" applyAlignment="1" applyProtection="1">
      <alignment wrapText="1"/>
      <protection locked="0"/>
    </xf>
    <xf numFmtId="2" fontId="28" fillId="46" borderId="4" xfId="0" applyNumberFormat="1" applyFont="1" applyFill="1" applyBorder="1" applyAlignment="1">
      <alignment vertical="center"/>
    </xf>
    <xf numFmtId="0" fontId="21" fillId="35" borderId="16" xfId="260" applyFont="1" applyFill="1" applyBorder="1" applyAlignment="1">
      <alignment horizontal="center" vertical="center" wrapText="1"/>
    </xf>
    <xf numFmtId="0" fontId="21" fillId="35" borderId="13" xfId="260" applyFont="1" applyFill="1" applyBorder="1" applyAlignment="1">
      <alignment horizontal="center" vertical="center" wrapText="1"/>
    </xf>
    <xf numFmtId="0" fontId="21" fillId="7" borderId="15" xfId="260" applyFont="1" applyFill="1" applyBorder="1" applyAlignment="1">
      <alignment horizontal="center" vertical="center" wrapText="1"/>
    </xf>
    <xf numFmtId="0" fontId="21" fillId="7" borderId="12" xfId="260" applyFont="1" applyFill="1" applyBorder="1" applyAlignment="1">
      <alignment horizontal="center" vertical="center" wrapText="1"/>
    </xf>
    <xf numFmtId="0" fontId="21" fillId="7" borderId="11" xfId="260" applyFont="1" applyFill="1" applyBorder="1" applyAlignment="1">
      <alignment horizontal="center" vertical="center" wrapText="1"/>
    </xf>
    <xf numFmtId="0" fontId="21" fillId="7" borderId="16" xfId="260" applyFont="1" applyFill="1" applyBorder="1" applyAlignment="1">
      <alignment horizontal="center" vertical="center" wrapText="1"/>
    </xf>
    <xf numFmtId="0" fontId="21" fillId="7" borderId="13" xfId="260" applyFont="1" applyFill="1" applyBorder="1" applyAlignment="1">
      <alignment horizontal="center" vertical="center" wrapText="1"/>
    </xf>
    <xf numFmtId="0" fontId="21" fillId="34" borderId="6" xfId="260" applyFont="1" applyFill="1" applyBorder="1" applyAlignment="1">
      <alignment horizontal="center" vertical="center" wrapText="1"/>
    </xf>
    <xf numFmtId="0" fontId="21" fillId="34" borderId="7" xfId="260" applyFont="1" applyFill="1" applyBorder="1" applyAlignment="1">
      <alignment horizontal="center" vertical="center" wrapText="1"/>
    </xf>
    <xf numFmtId="0" fontId="21" fillId="7" borderId="16" xfId="260" applyFont="1" applyFill="1" applyBorder="1" applyAlignment="1">
      <alignment horizontal="center" vertical="center"/>
    </xf>
    <xf numFmtId="0" fontId="21" fillId="7" borderId="13" xfId="260" applyFont="1" applyFill="1" applyBorder="1" applyAlignment="1">
      <alignment horizontal="center" vertical="center"/>
    </xf>
    <xf numFmtId="0" fontId="21" fillId="5" borderId="6" xfId="260" applyFont="1" applyFill="1" applyBorder="1" applyAlignment="1">
      <alignment horizontal="center" vertical="center" wrapText="1"/>
    </xf>
    <xf numFmtId="0" fontId="21" fillId="5" borderId="7" xfId="260" applyFont="1" applyFill="1" applyBorder="1" applyAlignment="1">
      <alignment horizontal="center" vertical="center" wrapText="1"/>
    </xf>
    <xf numFmtId="0" fontId="21" fillId="43" borderId="15" xfId="260" applyFont="1" applyFill="1" applyBorder="1" applyAlignment="1">
      <alignment horizontal="center" vertical="center" wrapText="1"/>
    </xf>
    <xf numFmtId="0" fontId="21" fillId="43" borderId="12" xfId="260" applyFont="1" applyFill="1" applyBorder="1" applyAlignment="1">
      <alignment horizontal="center" vertical="center" wrapText="1"/>
    </xf>
    <xf numFmtId="0" fontId="21" fillId="43" borderId="11" xfId="260" applyFont="1" applyFill="1" applyBorder="1" applyAlignment="1">
      <alignment horizontal="center" vertical="center" wrapText="1"/>
    </xf>
    <xf numFmtId="0" fontId="21" fillId="43" borderId="0" xfId="260" applyFont="1" applyFill="1" applyBorder="1" applyAlignment="1">
      <alignment horizontal="center" vertical="center" wrapText="1"/>
    </xf>
    <xf numFmtId="0" fontId="21" fillId="32" borderId="6" xfId="260" applyFont="1" applyFill="1" applyBorder="1" applyAlignment="1">
      <alignment horizontal="center" vertical="center" wrapText="1"/>
    </xf>
    <xf numFmtId="0" fontId="21" fillId="32" borderId="7" xfId="260" applyFont="1" applyFill="1" applyBorder="1" applyAlignment="1">
      <alignment horizontal="center" vertical="center" wrapText="1"/>
    </xf>
    <xf numFmtId="0" fontId="21" fillId="7" borderId="15" xfId="260" applyFont="1" applyFill="1" applyBorder="1" applyAlignment="1">
      <alignment horizontal="center" vertical="center"/>
    </xf>
    <xf numFmtId="0" fontId="21" fillId="7" borderId="12" xfId="260" applyFont="1" applyFill="1" applyBorder="1" applyAlignment="1">
      <alignment horizontal="center" vertical="center"/>
    </xf>
    <xf numFmtId="0" fontId="66" fillId="7" borderId="8" xfId="0" applyFont="1" applyFill="1" applyBorder="1" applyAlignment="1">
      <alignment horizontal="left" vertical="center" wrapText="1"/>
    </xf>
    <xf numFmtId="0" fontId="66" fillId="7" borderId="15" xfId="0" applyFont="1" applyFill="1" applyBorder="1" applyAlignment="1">
      <alignment horizontal="left" vertical="center" wrapText="1"/>
    </xf>
    <xf numFmtId="0" fontId="66" fillId="7" borderId="12" xfId="0" applyFont="1" applyFill="1" applyBorder="1" applyAlignment="1">
      <alignment horizontal="left" vertical="center" wrapText="1"/>
    </xf>
    <xf numFmtId="0" fontId="66" fillId="7" borderId="9" xfId="0" applyFont="1" applyFill="1" applyBorder="1" applyAlignment="1">
      <alignment horizontal="left" vertical="center" wrapText="1"/>
    </xf>
    <xf numFmtId="0" fontId="66" fillId="7" borderId="0" xfId="0" applyFont="1" applyFill="1" applyBorder="1" applyAlignment="1">
      <alignment horizontal="left" vertical="center" wrapText="1"/>
    </xf>
    <xf numFmtId="0" fontId="66" fillId="7" borderId="11" xfId="0" applyFont="1" applyFill="1" applyBorder="1" applyAlignment="1">
      <alignment horizontal="left" vertical="center" wrapText="1"/>
    </xf>
    <xf numFmtId="0" fontId="66" fillId="7" borderId="10" xfId="0" applyFont="1" applyFill="1" applyBorder="1" applyAlignment="1">
      <alignment horizontal="left" vertical="center" wrapText="1"/>
    </xf>
    <xf numFmtId="0" fontId="66" fillId="7" borderId="16" xfId="0" applyFont="1" applyFill="1" applyBorder="1" applyAlignment="1">
      <alignment horizontal="left" vertical="center" wrapText="1"/>
    </xf>
    <xf numFmtId="0" fontId="66" fillId="7" borderId="13" xfId="0" applyFont="1" applyFill="1" applyBorder="1" applyAlignment="1">
      <alignment horizontal="left" vertical="center" wrapText="1"/>
    </xf>
    <xf numFmtId="0" fontId="28" fillId="7" borderId="17" xfId="0" applyFont="1" applyFill="1" applyBorder="1" applyAlignment="1">
      <alignment horizontal="center"/>
    </xf>
    <xf numFmtId="0" fontId="28" fillId="7" borderId="7" xfId="0" applyFont="1" applyFill="1" applyBorder="1" applyAlignment="1">
      <alignment horizontal="center"/>
    </xf>
    <xf numFmtId="0" fontId="28" fillId="7" borderId="6" xfId="0" applyFont="1" applyFill="1" applyBorder="1" applyAlignment="1">
      <alignment horizontal="center"/>
    </xf>
    <xf numFmtId="0" fontId="67" fillId="7" borderId="4" xfId="0" applyFont="1" applyFill="1" applyBorder="1" applyAlignment="1">
      <alignment horizontal="center" vertical="center" wrapText="1"/>
    </xf>
    <xf numFmtId="0" fontId="67" fillId="7" borderId="5" xfId="0" applyFont="1" applyFill="1" applyBorder="1" applyAlignment="1">
      <alignment horizontal="center" vertical="center" wrapText="1"/>
    </xf>
    <xf numFmtId="0" fontId="28" fillId="7" borderId="0" xfId="0" applyFont="1" applyFill="1" applyAlignment="1">
      <alignment horizontal="center"/>
    </xf>
    <xf numFmtId="0" fontId="40" fillId="3" borderId="0" xfId="0" applyFont="1" applyFill="1" applyAlignment="1">
      <alignment horizontal="center"/>
    </xf>
    <xf numFmtId="15" fontId="35" fillId="8" borderId="0" xfId="0" applyNumberFormat="1" applyFont="1" applyFill="1" applyAlignment="1">
      <alignment horizontal="center"/>
    </xf>
    <xf numFmtId="0" fontId="67" fillId="3" borderId="0" xfId="0" applyFont="1" applyFill="1" applyAlignment="1">
      <alignment horizontal="left" vertical="top" wrapText="1"/>
    </xf>
    <xf numFmtId="179" fontId="27" fillId="38" borderId="4" xfId="4" applyNumberFormat="1" applyFont="1" applyFill="1" applyBorder="1" applyAlignment="1">
      <alignment horizontal="center" vertical="center" wrapText="1"/>
    </xf>
    <xf numFmtId="179" fontId="27" fillId="38" borderId="3" xfId="4" applyNumberFormat="1" applyFont="1" applyFill="1" applyBorder="1" applyAlignment="1">
      <alignment horizontal="center" vertical="center" wrapText="1"/>
    </xf>
    <xf numFmtId="43" fontId="27" fillId="38" borderId="8" xfId="4" applyFont="1" applyFill="1" applyBorder="1" applyAlignment="1">
      <alignment horizontal="center" vertical="center" wrapText="1"/>
    </xf>
    <xf numFmtId="43" fontId="27" fillId="38" borderId="10" xfId="4" applyFont="1" applyFill="1" applyBorder="1" applyAlignment="1">
      <alignment horizontal="center" vertical="center" wrapText="1"/>
    </xf>
    <xf numFmtId="175" fontId="27" fillId="38" borderId="4" xfId="4" applyNumberFormat="1" applyFont="1" applyFill="1" applyBorder="1" applyAlignment="1">
      <alignment horizontal="center" vertical="center" wrapText="1"/>
    </xf>
    <xf numFmtId="175" fontId="27" fillId="38" borderId="3" xfId="4" applyNumberFormat="1" applyFont="1" applyFill="1" applyBorder="1" applyAlignment="1">
      <alignment horizontal="center" vertical="center" wrapText="1"/>
    </xf>
    <xf numFmtId="43" fontId="27" fillId="38" borderId="4" xfId="4" applyFont="1" applyFill="1" applyBorder="1" applyAlignment="1">
      <alignment horizontal="center" vertical="center" wrapText="1"/>
    </xf>
    <xf numFmtId="43" fontId="27" fillId="38" borderId="5" xfId="4" applyFont="1" applyFill="1" applyBorder="1" applyAlignment="1">
      <alignment horizontal="center" vertical="center" wrapText="1"/>
    </xf>
    <xf numFmtId="43" fontId="27" fillId="38" borderId="3" xfId="4" applyFont="1" applyFill="1" applyBorder="1" applyAlignment="1">
      <alignment horizontal="center" vertical="center" wrapText="1"/>
    </xf>
    <xf numFmtId="43" fontId="28" fillId="32" borderId="4" xfId="4" applyFont="1" applyFill="1" applyBorder="1" applyAlignment="1">
      <alignment horizontal="center" vertical="center" wrapText="1"/>
    </xf>
    <xf numFmtId="43" fontId="28" fillId="32" borderId="3" xfId="4" applyFont="1" applyFill="1" applyBorder="1" applyAlignment="1">
      <alignment horizontal="center" vertical="center" wrapText="1"/>
    </xf>
    <xf numFmtId="175" fontId="27" fillId="5" borderId="4" xfId="4" applyNumberFormat="1" applyFont="1" applyFill="1" applyBorder="1" applyAlignment="1">
      <alignment horizontal="center" vertical="center" wrapText="1"/>
    </xf>
    <xf numFmtId="175" fontId="27" fillId="5" borderId="3" xfId="4" applyNumberFormat="1" applyFont="1" applyFill="1" applyBorder="1" applyAlignment="1">
      <alignment horizontal="center" vertical="center" wrapText="1"/>
    </xf>
    <xf numFmtId="43" fontId="27" fillId="5" borderId="17" xfId="4" applyFont="1" applyFill="1" applyBorder="1" applyAlignment="1">
      <alignment horizontal="center"/>
    </xf>
    <xf numFmtId="43" fontId="27" fillId="5" borderId="6" xfId="4" applyFont="1" applyFill="1" applyBorder="1" applyAlignment="1">
      <alignment horizontal="center"/>
    </xf>
    <xf numFmtId="43" fontId="27" fillId="5" borderId="7" xfId="4" applyFont="1" applyFill="1" applyBorder="1" applyAlignment="1">
      <alignment horizontal="center"/>
    </xf>
    <xf numFmtId="175" fontId="2" fillId="36" borderId="8" xfId="4" applyNumberFormat="1" applyFont="1" applyFill="1" applyBorder="1" applyAlignment="1">
      <alignment horizontal="center" vertical="center" wrapText="1"/>
    </xf>
    <xf numFmtId="175" fontId="2" fillId="36" borderId="12" xfId="4" applyNumberFormat="1" applyFont="1" applyFill="1" applyBorder="1" applyAlignment="1">
      <alignment horizontal="center" vertical="center" wrapText="1"/>
    </xf>
    <xf numFmtId="175" fontId="27" fillId="5" borderId="5" xfId="4" applyNumberFormat="1" applyFont="1" applyFill="1" applyBorder="1" applyAlignment="1">
      <alignment horizontal="center" vertical="center" wrapText="1"/>
    </xf>
    <xf numFmtId="3" fontId="27" fillId="38" borderId="4" xfId="0" applyNumberFormat="1" applyFont="1" applyFill="1" applyBorder="1" applyAlignment="1">
      <alignment horizontal="center" vertical="center" wrapText="1"/>
    </xf>
    <xf numFmtId="3" fontId="27" fillId="38" borderId="3" xfId="0" applyNumberFormat="1" applyFont="1" applyFill="1" applyBorder="1" applyAlignment="1">
      <alignment horizontal="center" vertical="center" wrapText="1"/>
    </xf>
    <xf numFmtId="0" fontId="27" fillId="38" borderId="4" xfId="0" applyFont="1" applyFill="1" applyBorder="1" applyAlignment="1">
      <alignment horizontal="center" vertical="center" wrapText="1"/>
    </xf>
    <xf numFmtId="0" fontId="27" fillId="38" borderId="3" xfId="0" applyFont="1" applyFill="1" applyBorder="1" applyAlignment="1">
      <alignment horizontal="center" vertical="center" wrapText="1"/>
    </xf>
    <xf numFmtId="0" fontId="27" fillId="38" borderId="4" xfId="0" applyNumberFormat="1" applyFont="1" applyFill="1" applyBorder="1" applyAlignment="1">
      <alignment horizontal="center" vertical="center" wrapText="1"/>
    </xf>
    <xf numFmtId="0" fontId="27" fillId="38" borderId="3" xfId="0" applyNumberFormat="1" applyFont="1" applyFill="1" applyBorder="1" applyAlignment="1">
      <alignment horizontal="center" vertical="center" wrapText="1"/>
    </xf>
    <xf numFmtId="0" fontId="27" fillId="39" borderId="17" xfId="0" applyFont="1" applyFill="1" applyBorder="1" applyAlignment="1">
      <alignment horizontal="center" vertical="center" wrapText="1"/>
    </xf>
    <xf numFmtId="0" fontId="27" fillId="39" borderId="15" xfId="0" applyFont="1" applyFill="1" applyBorder="1" applyAlignment="1">
      <alignment horizontal="center" vertical="center" wrapText="1"/>
    </xf>
    <xf numFmtId="0" fontId="27" fillId="39" borderId="4" xfId="0" applyFont="1" applyFill="1" applyBorder="1" applyAlignment="1">
      <alignment horizontal="center" vertical="center" wrapText="1"/>
    </xf>
    <xf numFmtId="0" fontId="27" fillId="39" borderId="3" xfId="0" applyFont="1" applyFill="1" applyBorder="1" applyAlignment="1">
      <alignment horizontal="center" vertical="center" wrapText="1"/>
    </xf>
    <xf numFmtId="0" fontId="27" fillId="39" borderId="12" xfId="0" applyFont="1" applyFill="1" applyBorder="1" applyAlignment="1">
      <alignment horizontal="center" vertical="center" wrapText="1"/>
    </xf>
    <xf numFmtId="0" fontId="27" fillId="39" borderId="13" xfId="0" applyFont="1" applyFill="1" applyBorder="1" applyAlignment="1">
      <alignment horizontal="center" vertical="center" wrapText="1"/>
    </xf>
    <xf numFmtId="0" fontId="27" fillId="39" borderId="8" xfId="0" applyFont="1" applyFill="1" applyBorder="1" applyAlignment="1">
      <alignment horizontal="center" vertical="center" wrapText="1"/>
    </xf>
    <xf numFmtId="0" fontId="27" fillId="39" borderId="10" xfId="0" applyFont="1" applyFill="1" applyBorder="1" applyAlignment="1">
      <alignment horizontal="center" vertical="center" wrapText="1"/>
    </xf>
    <xf numFmtId="0" fontId="27" fillId="39" borderId="5" xfId="0" applyFont="1" applyFill="1" applyBorder="1" applyAlignment="1">
      <alignment horizontal="center" vertical="center" wrapText="1"/>
    </xf>
    <xf numFmtId="4" fontId="28" fillId="3" borderId="17" xfId="0" applyNumberFormat="1" applyFont="1" applyFill="1" applyBorder="1" applyAlignment="1">
      <alignment horizontal="left" vertical="center"/>
    </xf>
    <xf numFmtId="4" fontId="28" fillId="3" borderId="7" xfId="0" applyNumberFormat="1" applyFont="1" applyFill="1" applyBorder="1" applyAlignment="1">
      <alignment horizontal="left" vertical="center"/>
    </xf>
    <xf numFmtId="4" fontId="28" fillId="3" borderId="8" xfId="0" applyNumberFormat="1" applyFont="1" applyFill="1" applyBorder="1" applyAlignment="1">
      <alignment horizontal="left" vertical="center"/>
    </xf>
    <xf numFmtId="4" fontId="28" fillId="3" borderId="12" xfId="0" applyNumberFormat="1" applyFont="1" applyFill="1" applyBorder="1" applyAlignment="1">
      <alignment horizontal="left" vertical="center"/>
    </xf>
    <xf numFmtId="4" fontId="28" fillId="3" borderId="9" xfId="0" applyNumberFormat="1" applyFont="1" applyFill="1" applyBorder="1" applyAlignment="1">
      <alignment horizontal="left" vertical="center"/>
    </xf>
    <xf numFmtId="4" fontId="28" fillId="3" borderId="11" xfId="0" applyNumberFormat="1" applyFont="1" applyFill="1" applyBorder="1" applyAlignment="1">
      <alignment horizontal="left" vertical="center"/>
    </xf>
    <xf numFmtId="0" fontId="28" fillId="35" borderId="17" xfId="0" applyFont="1" applyFill="1" applyBorder="1" applyAlignment="1">
      <alignment horizontal="center"/>
    </xf>
    <xf numFmtId="0" fontId="28" fillId="35" borderId="6" xfId="0" applyFont="1" applyFill="1" applyBorder="1" applyAlignment="1">
      <alignment horizontal="center"/>
    </xf>
    <xf numFmtId="0" fontId="28" fillId="35" borderId="7" xfId="0" applyFont="1" applyFill="1" applyBorder="1" applyAlignment="1">
      <alignment horizontal="center"/>
    </xf>
    <xf numFmtId="10" fontId="27" fillId="39" borderId="14" xfId="12" applyNumberFormat="1" applyFont="1" applyFill="1" applyBorder="1" applyAlignment="1">
      <alignment horizontal="center" vertical="center" wrapText="1"/>
    </xf>
    <xf numFmtId="10" fontId="27" fillId="39" borderId="4" xfId="12" applyNumberFormat="1" applyFont="1" applyFill="1" applyBorder="1" applyAlignment="1">
      <alignment horizontal="center" vertical="center" wrapText="1"/>
    </xf>
    <xf numFmtId="0" fontId="27" fillId="39" borderId="17" xfId="0" applyFont="1" applyFill="1" applyBorder="1" applyAlignment="1">
      <alignment horizontal="center" vertical="center"/>
    </xf>
    <xf numFmtId="0" fontId="27" fillId="39" borderId="6" xfId="0" applyFont="1" applyFill="1" applyBorder="1" applyAlignment="1">
      <alignment horizontal="center" vertical="center"/>
    </xf>
    <xf numFmtId="0" fontId="27" fillId="39" borderId="7" xfId="0" applyFont="1" applyFill="1" applyBorder="1" applyAlignment="1">
      <alignment horizontal="center" vertical="center"/>
    </xf>
    <xf numFmtId="0" fontId="27" fillId="5" borderId="14" xfId="0" applyFont="1" applyFill="1" applyBorder="1" applyAlignment="1">
      <alignment horizontal="center" vertical="center" wrapText="1"/>
    </xf>
    <xf numFmtId="0" fontId="28" fillId="3" borderId="17" xfId="0" applyFont="1" applyFill="1" applyBorder="1" applyAlignment="1">
      <alignment horizontal="left"/>
    </xf>
    <xf numFmtId="0" fontId="28" fillId="3" borderId="7" xfId="0" applyFont="1" applyFill="1" applyBorder="1" applyAlignment="1">
      <alignment horizontal="left"/>
    </xf>
    <xf numFmtId="0" fontId="28" fillId="3" borderId="8" xfId="0" applyFont="1" applyFill="1" applyBorder="1" applyAlignment="1">
      <alignment horizontal="left"/>
    </xf>
    <xf numFmtId="0" fontId="28" fillId="3" borderId="12" xfId="0" applyFont="1" applyFill="1" applyBorder="1" applyAlignment="1">
      <alignment horizontal="left"/>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17"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43" fontId="27" fillId="5" borderId="4" xfId="4" applyFont="1" applyFill="1" applyBorder="1" applyAlignment="1">
      <alignment horizontal="center" vertical="center" wrapText="1"/>
    </xf>
    <xf numFmtId="43" fontId="27" fillId="5" borderId="3" xfId="4" applyFont="1" applyFill="1" applyBorder="1" applyAlignment="1">
      <alignment horizontal="center" vertical="center" wrapText="1"/>
    </xf>
    <xf numFmtId="43" fontId="68" fillId="3" borderId="0" xfId="668" applyNumberFormat="1" applyFill="1" applyAlignment="1">
      <alignment horizontal="left" vertical="center"/>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10" xfId="0" applyFont="1" applyFill="1" applyBorder="1" applyAlignment="1">
      <alignment horizontal="center" vertical="center" wrapText="1"/>
    </xf>
    <xf numFmtId="43" fontId="28" fillId="45" borderId="17" xfId="4" applyNumberFormat="1" applyFont="1" applyFill="1" applyBorder="1" applyAlignment="1">
      <alignment horizontal="center"/>
    </xf>
    <xf numFmtId="43" fontId="28" fillId="45" borderId="6" xfId="4" applyNumberFormat="1" applyFont="1" applyFill="1" applyBorder="1" applyAlignment="1">
      <alignment horizontal="center"/>
    </xf>
    <xf numFmtId="43" fontId="28" fillId="45" borderId="7" xfId="4" applyNumberFormat="1" applyFont="1" applyFill="1" applyBorder="1" applyAlignment="1">
      <alignment horizontal="center"/>
    </xf>
    <xf numFmtId="0" fontId="27" fillId="5" borderId="11" xfId="0" applyFont="1" applyFill="1" applyBorder="1" applyAlignment="1">
      <alignment horizontal="center" vertical="center" wrapText="1"/>
    </xf>
    <xf numFmtId="0" fontId="27" fillId="40" borderId="4" xfId="15" applyFont="1" applyFill="1" applyBorder="1" applyAlignment="1">
      <alignment horizontal="center" vertical="center" wrapText="1"/>
    </xf>
    <xf numFmtId="0" fontId="27" fillId="40" borderId="5" xfId="15" applyFont="1" applyFill="1" applyBorder="1" applyAlignment="1">
      <alignment horizontal="center" vertical="center" wrapText="1"/>
    </xf>
    <xf numFmtId="0" fontId="27" fillId="40" borderId="3" xfId="15" applyFont="1" applyFill="1" applyBorder="1" applyAlignment="1">
      <alignment horizontal="center" vertical="center" wrapText="1"/>
    </xf>
    <xf numFmtId="0" fontId="27" fillId="40" borderId="8" xfId="15" applyFont="1" applyFill="1" applyBorder="1" applyAlignment="1">
      <alignment horizontal="center" vertical="center" wrapText="1"/>
    </xf>
    <xf numFmtId="0" fontId="27" fillId="40" borderId="10" xfId="15" applyFont="1" applyFill="1" applyBorder="1" applyAlignment="1">
      <alignment horizontal="center" vertical="center" wrapText="1"/>
    </xf>
    <xf numFmtId="167" fontId="27" fillId="40" borderId="15" xfId="12" applyNumberFormat="1" applyFont="1" applyFill="1" applyBorder="1" applyAlignment="1">
      <alignment horizontal="center" vertical="center" wrapText="1"/>
    </xf>
    <xf numFmtId="167" fontId="27" fillId="40" borderId="12" xfId="12" applyNumberFormat="1" applyFont="1" applyFill="1" applyBorder="1" applyAlignment="1">
      <alignment horizontal="center" vertical="center" wrapText="1"/>
    </xf>
    <xf numFmtId="0" fontId="27" fillId="38" borderId="8" xfId="0" applyFont="1" applyFill="1" applyBorder="1" applyAlignment="1">
      <alignment horizontal="center" vertical="center" wrapText="1"/>
    </xf>
    <xf numFmtId="0" fontId="27" fillId="38" borderId="10" xfId="0" applyFont="1" applyFill="1" applyBorder="1" applyAlignment="1">
      <alignment horizontal="center" vertical="center" wrapText="1"/>
    </xf>
    <xf numFmtId="167" fontId="27" fillId="39" borderId="8" xfId="12" applyNumberFormat="1" applyFont="1" applyFill="1" applyBorder="1" applyAlignment="1">
      <alignment horizontal="center" vertical="center" wrapText="1"/>
    </xf>
    <xf numFmtId="167" fontId="27" fillId="39" borderId="15" xfId="12" applyNumberFormat="1" applyFont="1" applyFill="1" applyBorder="1" applyAlignment="1">
      <alignment horizontal="center" vertical="center" wrapText="1"/>
    </xf>
    <xf numFmtId="167" fontId="27" fillId="39" borderId="12" xfId="12" applyNumberFormat="1" applyFont="1" applyFill="1" applyBorder="1" applyAlignment="1">
      <alignment horizontal="center" vertical="center" wrapText="1"/>
    </xf>
    <xf numFmtId="167" fontId="27" fillId="5" borderId="15" xfId="12" applyNumberFormat="1" applyFont="1" applyFill="1" applyBorder="1" applyAlignment="1">
      <alignment horizontal="center" vertical="center" wrapText="1"/>
    </xf>
    <xf numFmtId="167" fontId="27" fillId="5" borderId="12" xfId="12" applyNumberFormat="1" applyFont="1" applyFill="1" applyBorder="1" applyAlignment="1">
      <alignment horizontal="center" vertical="center" wrapText="1"/>
    </xf>
  </cellXfs>
  <cellStyles count="669">
    <cellStyle name="20 % - Accent1 2" xfId="349" xr:uid="{00000000-0005-0000-0000-000000000000}"/>
    <cellStyle name="20 % - Accent2 2" xfId="350" xr:uid="{00000000-0005-0000-0000-000001000000}"/>
    <cellStyle name="20 % - Accent3 2" xfId="351" xr:uid="{00000000-0005-0000-0000-000002000000}"/>
    <cellStyle name="20 % - Accent4 2" xfId="352" xr:uid="{00000000-0005-0000-0000-000003000000}"/>
    <cellStyle name="20 % - Accent5 2" xfId="353" xr:uid="{00000000-0005-0000-0000-000004000000}"/>
    <cellStyle name="20 % - Accent6 2" xfId="354" xr:uid="{00000000-0005-0000-0000-000005000000}"/>
    <cellStyle name="40 % - Accent1 2" xfId="355" xr:uid="{00000000-0005-0000-0000-000006000000}"/>
    <cellStyle name="40 % - Accent2 2" xfId="356" xr:uid="{00000000-0005-0000-0000-000007000000}"/>
    <cellStyle name="40 % - Accent3 2" xfId="357" xr:uid="{00000000-0005-0000-0000-000008000000}"/>
    <cellStyle name="40 % - Accent4 2" xfId="358" xr:uid="{00000000-0005-0000-0000-000009000000}"/>
    <cellStyle name="40 % - Accent5 2" xfId="359" xr:uid="{00000000-0005-0000-0000-00000A000000}"/>
    <cellStyle name="40 % - Accent6 2" xfId="360" xr:uid="{00000000-0005-0000-0000-00000B000000}"/>
    <cellStyle name="60 % - Accent1 2" xfId="361" xr:uid="{00000000-0005-0000-0000-00000C000000}"/>
    <cellStyle name="60 % - Accent2 2" xfId="362" xr:uid="{00000000-0005-0000-0000-00000D000000}"/>
    <cellStyle name="60 % - Accent3 2" xfId="363" xr:uid="{00000000-0005-0000-0000-00000E000000}"/>
    <cellStyle name="60 % - Accent4 2" xfId="364" xr:uid="{00000000-0005-0000-0000-00000F000000}"/>
    <cellStyle name="60 % - Accent5 2" xfId="365" xr:uid="{00000000-0005-0000-0000-000010000000}"/>
    <cellStyle name="60 % - Accent6 2" xfId="366" xr:uid="{00000000-0005-0000-0000-000011000000}"/>
    <cellStyle name="Accent1 2" xfId="367" xr:uid="{00000000-0005-0000-0000-000012000000}"/>
    <cellStyle name="Accent2 2" xfId="368" xr:uid="{00000000-0005-0000-0000-000013000000}"/>
    <cellStyle name="Accent3 2" xfId="369" xr:uid="{00000000-0005-0000-0000-000014000000}"/>
    <cellStyle name="Accent4 2" xfId="370" xr:uid="{00000000-0005-0000-0000-000015000000}"/>
    <cellStyle name="Accent5 2" xfId="371" xr:uid="{00000000-0005-0000-0000-000016000000}"/>
    <cellStyle name="Accent6 2" xfId="372" xr:uid="{00000000-0005-0000-0000-000017000000}"/>
    <cellStyle name="Avertissement 2" xfId="373" xr:uid="{00000000-0005-0000-0000-000018000000}"/>
    <cellStyle name="Calcul 2" xfId="374" xr:uid="{00000000-0005-0000-0000-000019000000}"/>
    <cellStyle name="Cellule liée 2" xfId="375" xr:uid="{00000000-0005-0000-0000-00001A000000}"/>
    <cellStyle name="cexColumnHeadings" xfId="1" xr:uid="{00000000-0005-0000-0000-00001B000000}"/>
    <cellStyle name="cexColumnHeadings 2" xfId="393" xr:uid="{00000000-0005-0000-0000-00001C000000}"/>
    <cellStyle name="cexReportTitle" xfId="2" xr:uid="{00000000-0005-0000-0000-00001D000000}"/>
    <cellStyle name="cexTableEntry" xfId="3" xr:uid="{00000000-0005-0000-0000-00001E000000}"/>
    <cellStyle name="cexTableEntry 2" xfId="394" xr:uid="{00000000-0005-0000-0000-00001F000000}"/>
    <cellStyle name="Entrée 2" xfId="376" xr:uid="{00000000-0005-0000-0000-000020000000}"/>
    <cellStyle name="Insatisfaisant 2" xfId="377" xr:uid="{00000000-0005-0000-0000-000021000000}"/>
    <cellStyle name="Lien hypertexte" xfId="668" builtinId="8"/>
    <cellStyle name="Milliers" xfId="4" builtinId="3"/>
    <cellStyle name="Milliers 2" xfId="5" xr:uid="{00000000-0005-0000-0000-000023000000}"/>
    <cellStyle name="Milliers 3" xfId="6" xr:uid="{00000000-0005-0000-0000-000024000000}"/>
    <cellStyle name="Milliers 3 10" xfId="139" xr:uid="{00000000-0005-0000-0000-000025000000}"/>
    <cellStyle name="Milliers 3 10 2" xfId="395" xr:uid="{00000000-0005-0000-0000-000026000000}"/>
    <cellStyle name="Milliers 3 10 3" xfId="615" xr:uid="{00000000-0005-0000-0000-000027000000}"/>
    <cellStyle name="Milliers 3 11" xfId="156" xr:uid="{00000000-0005-0000-0000-000028000000}"/>
    <cellStyle name="Milliers 3 11 2" xfId="424" xr:uid="{00000000-0005-0000-0000-000029000000}"/>
    <cellStyle name="Milliers 3 11 3" xfId="644" xr:uid="{00000000-0005-0000-0000-00002A000000}"/>
    <cellStyle name="Milliers 3 12" xfId="173" xr:uid="{00000000-0005-0000-0000-00002B000000}"/>
    <cellStyle name="Milliers 3 13" xfId="448" xr:uid="{00000000-0005-0000-0000-00002C000000}"/>
    <cellStyle name="Milliers 3 2" xfId="16" xr:uid="{00000000-0005-0000-0000-00002D000000}"/>
    <cellStyle name="Milliers 3 2 10" xfId="158" xr:uid="{00000000-0005-0000-0000-00002E000000}"/>
    <cellStyle name="Milliers 3 2 10 2" xfId="426" xr:uid="{00000000-0005-0000-0000-00002F000000}"/>
    <cellStyle name="Milliers 3 2 10 3" xfId="646" xr:uid="{00000000-0005-0000-0000-000030000000}"/>
    <cellStyle name="Milliers 3 2 11" xfId="175" xr:uid="{00000000-0005-0000-0000-000031000000}"/>
    <cellStyle name="Milliers 3 2 12" xfId="450" xr:uid="{00000000-0005-0000-0000-000032000000}"/>
    <cellStyle name="Milliers 3 2 2" xfId="19" xr:uid="{00000000-0005-0000-0000-000033000000}"/>
    <cellStyle name="Milliers 3 2 2 10" xfId="452" xr:uid="{00000000-0005-0000-0000-000034000000}"/>
    <cellStyle name="Milliers 3 2 2 2" xfId="35" xr:uid="{00000000-0005-0000-0000-000035000000}"/>
    <cellStyle name="Milliers 3 2 2 2 2" xfId="59" xr:uid="{00000000-0005-0000-0000-000036000000}"/>
    <cellStyle name="Milliers 3 2 2 2 2 2" xfId="310" xr:uid="{00000000-0005-0000-0000-000037000000}"/>
    <cellStyle name="Milliers 3 2 2 2 2 2 2" xfId="576" xr:uid="{00000000-0005-0000-0000-000038000000}"/>
    <cellStyle name="Milliers 3 2 2 2 2 3" xfId="219" xr:uid="{00000000-0005-0000-0000-000039000000}"/>
    <cellStyle name="Milliers 3 2 2 2 2 4" xfId="493" xr:uid="{00000000-0005-0000-0000-00003A000000}"/>
    <cellStyle name="Milliers 3 2 2 2 3" xfId="88" xr:uid="{00000000-0005-0000-0000-00003B000000}"/>
    <cellStyle name="Milliers 3 2 2 2 3 2" xfId="339" xr:uid="{00000000-0005-0000-0000-00003C000000}"/>
    <cellStyle name="Milliers 3 2 2 2 3 2 2" xfId="605" xr:uid="{00000000-0005-0000-0000-00003D000000}"/>
    <cellStyle name="Milliers 3 2 2 2 3 3" xfId="248" xr:uid="{00000000-0005-0000-0000-00003E000000}"/>
    <cellStyle name="Milliers 3 2 2 2 3 4" xfId="522" xr:uid="{00000000-0005-0000-0000-00003F000000}"/>
    <cellStyle name="Milliers 3 2 2 2 4" xfId="111" xr:uid="{00000000-0005-0000-0000-000040000000}"/>
    <cellStyle name="Milliers 3 2 2 2 4 2" xfId="283" xr:uid="{00000000-0005-0000-0000-000041000000}"/>
    <cellStyle name="Milliers 3 2 2 2 4 3" xfId="549" xr:uid="{00000000-0005-0000-0000-000042000000}"/>
    <cellStyle name="Milliers 3 2 2 2 5" xfId="416" xr:uid="{00000000-0005-0000-0000-000043000000}"/>
    <cellStyle name="Milliers 3 2 2 2 5 2" xfId="636" xr:uid="{00000000-0005-0000-0000-000044000000}"/>
    <cellStyle name="Milliers 3 2 2 2 6" xfId="442" xr:uid="{00000000-0005-0000-0000-000045000000}"/>
    <cellStyle name="Milliers 3 2 2 2 6 2" xfId="662" xr:uid="{00000000-0005-0000-0000-000046000000}"/>
    <cellStyle name="Milliers 3 2 2 2 7" xfId="191" xr:uid="{00000000-0005-0000-0000-000047000000}"/>
    <cellStyle name="Milliers 3 2 2 2 8" xfId="466" xr:uid="{00000000-0005-0000-0000-000048000000}"/>
    <cellStyle name="Milliers 3 2 2 3" xfId="45" xr:uid="{00000000-0005-0000-0000-000049000000}"/>
    <cellStyle name="Milliers 3 2 2 3 2" xfId="293" xr:uid="{00000000-0005-0000-0000-00004A000000}"/>
    <cellStyle name="Milliers 3 2 2 3 2 2" xfId="559" xr:uid="{00000000-0005-0000-0000-00004B000000}"/>
    <cellStyle name="Milliers 3 2 2 3 3" xfId="201" xr:uid="{00000000-0005-0000-0000-00004C000000}"/>
    <cellStyle name="Milliers 3 2 2 3 4" xfId="476" xr:uid="{00000000-0005-0000-0000-00004D000000}"/>
    <cellStyle name="Milliers 3 2 2 4" xfId="71" xr:uid="{00000000-0005-0000-0000-00004E000000}"/>
    <cellStyle name="Milliers 3 2 2 4 2" xfId="322" xr:uid="{00000000-0005-0000-0000-00004F000000}"/>
    <cellStyle name="Milliers 3 2 2 4 2 2" xfId="588" xr:uid="{00000000-0005-0000-0000-000050000000}"/>
    <cellStyle name="Milliers 3 2 2 4 3" xfId="231" xr:uid="{00000000-0005-0000-0000-000051000000}"/>
    <cellStyle name="Milliers 3 2 2 4 4" xfId="505" xr:uid="{00000000-0005-0000-0000-000052000000}"/>
    <cellStyle name="Milliers 3 2 2 5" xfId="97" xr:uid="{00000000-0005-0000-0000-000053000000}"/>
    <cellStyle name="Milliers 3 2 2 5 2" xfId="268" xr:uid="{00000000-0005-0000-0000-000054000000}"/>
    <cellStyle name="Milliers 3 2 2 5 3" xfId="535" xr:uid="{00000000-0005-0000-0000-000055000000}"/>
    <cellStyle name="Milliers 3 2 2 6" xfId="124" xr:uid="{00000000-0005-0000-0000-000056000000}"/>
    <cellStyle name="Milliers 3 2 2 6 2" xfId="399" xr:uid="{00000000-0005-0000-0000-000057000000}"/>
    <cellStyle name="Milliers 3 2 2 6 3" xfId="619" xr:uid="{00000000-0005-0000-0000-000058000000}"/>
    <cellStyle name="Milliers 3 2 2 7" xfId="143" xr:uid="{00000000-0005-0000-0000-000059000000}"/>
    <cellStyle name="Milliers 3 2 2 7 2" xfId="428" xr:uid="{00000000-0005-0000-0000-00005A000000}"/>
    <cellStyle name="Milliers 3 2 2 7 3" xfId="648" xr:uid="{00000000-0005-0000-0000-00005B000000}"/>
    <cellStyle name="Milliers 3 2 2 8" xfId="160" xr:uid="{00000000-0005-0000-0000-00005C000000}"/>
    <cellStyle name="Milliers 3 2 2 9" xfId="177" xr:uid="{00000000-0005-0000-0000-00005D000000}"/>
    <cellStyle name="Milliers 3 2 3" xfId="20" xr:uid="{00000000-0005-0000-0000-00005E000000}"/>
    <cellStyle name="Milliers 3 2 3 10" xfId="453" xr:uid="{00000000-0005-0000-0000-00005F000000}"/>
    <cellStyle name="Milliers 3 2 3 2" xfId="39" xr:uid="{00000000-0005-0000-0000-000060000000}"/>
    <cellStyle name="Milliers 3 2 3 2 2" xfId="63" xr:uid="{00000000-0005-0000-0000-000061000000}"/>
    <cellStyle name="Milliers 3 2 3 2 2 2" xfId="311" xr:uid="{00000000-0005-0000-0000-000062000000}"/>
    <cellStyle name="Milliers 3 2 3 2 2 2 2" xfId="577" xr:uid="{00000000-0005-0000-0000-000063000000}"/>
    <cellStyle name="Milliers 3 2 3 2 2 3" xfId="220" xr:uid="{00000000-0005-0000-0000-000064000000}"/>
    <cellStyle name="Milliers 3 2 3 2 2 4" xfId="494" xr:uid="{00000000-0005-0000-0000-000065000000}"/>
    <cellStyle name="Milliers 3 2 3 2 3" xfId="91" xr:uid="{00000000-0005-0000-0000-000066000000}"/>
    <cellStyle name="Milliers 3 2 3 2 3 2" xfId="340" xr:uid="{00000000-0005-0000-0000-000067000000}"/>
    <cellStyle name="Milliers 3 2 3 2 3 2 2" xfId="606" xr:uid="{00000000-0005-0000-0000-000068000000}"/>
    <cellStyle name="Milliers 3 2 3 2 3 3" xfId="249" xr:uid="{00000000-0005-0000-0000-000069000000}"/>
    <cellStyle name="Milliers 3 2 3 2 3 4" xfId="523" xr:uid="{00000000-0005-0000-0000-00006A000000}"/>
    <cellStyle name="Milliers 3 2 3 2 4" xfId="115" xr:uid="{00000000-0005-0000-0000-00006B000000}"/>
    <cellStyle name="Milliers 3 2 3 2 4 2" xfId="287" xr:uid="{00000000-0005-0000-0000-00006C000000}"/>
    <cellStyle name="Milliers 3 2 3 2 4 3" xfId="553" xr:uid="{00000000-0005-0000-0000-00006D000000}"/>
    <cellStyle name="Milliers 3 2 3 2 5" xfId="417" xr:uid="{00000000-0005-0000-0000-00006E000000}"/>
    <cellStyle name="Milliers 3 2 3 2 5 2" xfId="637" xr:uid="{00000000-0005-0000-0000-00006F000000}"/>
    <cellStyle name="Milliers 3 2 3 2 6" xfId="446" xr:uid="{00000000-0005-0000-0000-000070000000}"/>
    <cellStyle name="Milliers 3 2 3 2 6 2" xfId="666" xr:uid="{00000000-0005-0000-0000-000071000000}"/>
    <cellStyle name="Milliers 3 2 3 2 7" xfId="195" xr:uid="{00000000-0005-0000-0000-000072000000}"/>
    <cellStyle name="Milliers 3 2 3 2 8" xfId="470" xr:uid="{00000000-0005-0000-0000-000073000000}"/>
    <cellStyle name="Milliers 3 2 3 3" xfId="46" xr:uid="{00000000-0005-0000-0000-000074000000}"/>
    <cellStyle name="Milliers 3 2 3 3 2" xfId="294" xr:uid="{00000000-0005-0000-0000-000075000000}"/>
    <cellStyle name="Milliers 3 2 3 3 2 2" xfId="560" xr:uid="{00000000-0005-0000-0000-000076000000}"/>
    <cellStyle name="Milliers 3 2 3 3 3" xfId="202" xr:uid="{00000000-0005-0000-0000-000077000000}"/>
    <cellStyle name="Milliers 3 2 3 3 4" xfId="477" xr:uid="{00000000-0005-0000-0000-000078000000}"/>
    <cellStyle name="Milliers 3 2 3 4" xfId="72" xr:uid="{00000000-0005-0000-0000-000079000000}"/>
    <cellStyle name="Milliers 3 2 3 4 2" xfId="323" xr:uid="{00000000-0005-0000-0000-00007A000000}"/>
    <cellStyle name="Milliers 3 2 3 4 2 2" xfId="589" xr:uid="{00000000-0005-0000-0000-00007B000000}"/>
    <cellStyle name="Milliers 3 2 3 4 3" xfId="232" xr:uid="{00000000-0005-0000-0000-00007C000000}"/>
    <cellStyle name="Milliers 3 2 3 4 4" xfId="506" xr:uid="{00000000-0005-0000-0000-00007D000000}"/>
    <cellStyle name="Milliers 3 2 3 5" xfId="98" xr:uid="{00000000-0005-0000-0000-00007E000000}"/>
    <cellStyle name="Milliers 3 2 3 5 2" xfId="269" xr:uid="{00000000-0005-0000-0000-00007F000000}"/>
    <cellStyle name="Milliers 3 2 3 5 3" xfId="536" xr:uid="{00000000-0005-0000-0000-000080000000}"/>
    <cellStyle name="Milliers 3 2 3 6" xfId="125" xr:uid="{00000000-0005-0000-0000-000081000000}"/>
    <cellStyle name="Milliers 3 2 3 6 2" xfId="400" xr:uid="{00000000-0005-0000-0000-000082000000}"/>
    <cellStyle name="Milliers 3 2 3 6 3" xfId="620" xr:uid="{00000000-0005-0000-0000-000083000000}"/>
    <cellStyle name="Milliers 3 2 3 7" xfId="144" xr:uid="{00000000-0005-0000-0000-000084000000}"/>
    <cellStyle name="Milliers 3 2 3 7 2" xfId="429" xr:uid="{00000000-0005-0000-0000-000085000000}"/>
    <cellStyle name="Milliers 3 2 3 7 3" xfId="649" xr:uid="{00000000-0005-0000-0000-000086000000}"/>
    <cellStyle name="Milliers 3 2 3 8" xfId="161" xr:uid="{00000000-0005-0000-0000-000087000000}"/>
    <cellStyle name="Milliers 3 2 3 9" xfId="178" xr:uid="{00000000-0005-0000-0000-000088000000}"/>
    <cellStyle name="Milliers 3 2 4" xfId="31" xr:uid="{00000000-0005-0000-0000-000089000000}"/>
    <cellStyle name="Milliers 3 2 4 2" xfId="55" xr:uid="{00000000-0005-0000-0000-00008A000000}"/>
    <cellStyle name="Milliers 3 2 4 2 2" xfId="304" xr:uid="{00000000-0005-0000-0000-00008B000000}"/>
    <cellStyle name="Milliers 3 2 4 2 2 2" xfId="570" xr:uid="{00000000-0005-0000-0000-00008C000000}"/>
    <cellStyle name="Milliers 3 2 4 2 3" xfId="213" xr:uid="{00000000-0005-0000-0000-00008D000000}"/>
    <cellStyle name="Milliers 3 2 4 2 4" xfId="487" xr:uid="{00000000-0005-0000-0000-00008E000000}"/>
    <cellStyle name="Milliers 3 2 4 3" xfId="86" xr:uid="{00000000-0005-0000-0000-00008F000000}"/>
    <cellStyle name="Milliers 3 2 4 3 2" xfId="333" xr:uid="{00000000-0005-0000-0000-000090000000}"/>
    <cellStyle name="Milliers 3 2 4 3 2 2" xfId="599" xr:uid="{00000000-0005-0000-0000-000091000000}"/>
    <cellStyle name="Milliers 3 2 4 3 3" xfId="242" xr:uid="{00000000-0005-0000-0000-000092000000}"/>
    <cellStyle name="Milliers 3 2 4 3 4" xfId="516" xr:uid="{00000000-0005-0000-0000-000093000000}"/>
    <cellStyle name="Milliers 3 2 4 4" xfId="107" xr:uid="{00000000-0005-0000-0000-000094000000}"/>
    <cellStyle name="Milliers 3 2 4 4 2" xfId="279" xr:uid="{00000000-0005-0000-0000-000095000000}"/>
    <cellStyle name="Milliers 3 2 4 4 3" xfId="545" xr:uid="{00000000-0005-0000-0000-000096000000}"/>
    <cellStyle name="Milliers 3 2 4 5" xfId="135" xr:uid="{00000000-0005-0000-0000-000097000000}"/>
    <cellStyle name="Milliers 3 2 4 5 2" xfId="410" xr:uid="{00000000-0005-0000-0000-000098000000}"/>
    <cellStyle name="Milliers 3 2 4 5 3" xfId="630" xr:uid="{00000000-0005-0000-0000-000099000000}"/>
    <cellStyle name="Milliers 3 2 4 6" xfId="154" xr:uid="{00000000-0005-0000-0000-00009A000000}"/>
    <cellStyle name="Milliers 3 2 4 6 2" xfId="438" xr:uid="{00000000-0005-0000-0000-00009B000000}"/>
    <cellStyle name="Milliers 3 2 4 6 3" xfId="658" xr:uid="{00000000-0005-0000-0000-00009C000000}"/>
    <cellStyle name="Milliers 3 2 4 7" xfId="171" xr:uid="{00000000-0005-0000-0000-00009D000000}"/>
    <cellStyle name="Milliers 3 2 4 8" xfId="187" xr:uid="{00000000-0005-0000-0000-00009E000000}"/>
    <cellStyle name="Milliers 3 2 4 9" xfId="462" xr:uid="{00000000-0005-0000-0000-00009F000000}"/>
    <cellStyle name="Milliers 3 2 5" xfId="43" xr:uid="{00000000-0005-0000-0000-0000A0000000}"/>
    <cellStyle name="Milliers 3 2 5 2" xfId="246" xr:uid="{00000000-0005-0000-0000-0000A1000000}"/>
    <cellStyle name="Milliers 3 2 5 2 2" xfId="337" xr:uid="{00000000-0005-0000-0000-0000A2000000}"/>
    <cellStyle name="Milliers 3 2 5 2 2 2" xfId="603" xr:uid="{00000000-0005-0000-0000-0000A3000000}"/>
    <cellStyle name="Milliers 3 2 5 2 3" xfId="520" xr:uid="{00000000-0005-0000-0000-0000A4000000}"/>
    <cellStyle name="Milliers 3 2 5 3" xfId="308" xr:uid="{00000000-0005-0000-0000-0000A5000000}"/>
    <cellStyle name="Milliers 3 2 5 3 2" xfId="574" xr:uid="{00000000-0005-0000-0000-0000A6000000}"/>
    <cellStyle name="Milliers 3 2 5 4" xfId="414" xr:uid="{00000000-0005-0000-0000-0000A7000000}"/>
    <cellStyle name="Milliers 3 2 5 4 2" xfId="634" xr:uid="{00000000-0005-0000-0000-0000A8000000}"/>
    <cellStyle name="Milliers 3 2 5 5" xfId="217" xr:uid="{00000000-0005-0000-0000-0000A9000000}"/>
    <cellStyle name="Milliers 3 2 5 6" xfId="491" xr:uid="{00000000-0005-0000-0000-0000AA000000}"/>
    <cellStyle name="Milliers 3 2 6" xfId="69" xr:uid="{00000000-0005-0000-0000-0000AB000000}"/>
    <cellStyle name="Milliers 3 2 6 2" xfId="291" xr:uid="{00000000-0005-0000-0000-0000AC000000}"/>
    <cellStyle name="Milliers 3 2 6 2 2" xfId="557" xr:uid="{00000000-0005-0000-0000-0000AD000000}"/>
    <cellStyle name="Milliers 3 2 6 3" xfId="199" xr:uid="{00000000-0005-0000-0000-0000AE000000}"/>
    <cellStyle name="Milliers 3 2 6 4" xfId="474" xr:uid="{00000000-0005-0000-0000-0000AF000000}"/>
    <cellStyle name="Milliers 3 2 7" xfId="95" xr:uid="{00000000-0005-0000-0000-0000B0000000}"/>
    <cellStyle name="Milliers 3 2 7 2" xfId="320" xr:uid="{00000000-0005-0000-0000-0000B1000000}"/>
    <cellStyle name="Milliers 3 2 7 2 2" xfId="586" xr:uid="{00000000-0005-0000-0000-0000B2000000}"/>
    <cellStyle name="Milliers 3 2 7 3" xfId="229" xr:uid="{00000000-0005-0000-0000-0000B3000000}"/>
    <cellStyle name="Milliers 3 2 7 4" xfId="503" xr:uid="{00000000-0005-0000-0000-0000B4000000}"/>
    <cellStyle name="Milliers 3 2 8" xfId="122" xr:uid="{00000000-0005-0000-0000-0000B5000000}"/>
    <cellStyle name="Milliers 3 2 8 2" xfId="266" xr:uid="{00000000-0005-0000-0000-0000B6000000}"/>
    <cellStyle name="Milliers 3 2 8 3" xfId="533" xr:uid="{00000000-0005-0000-0000-0000B7000000}"/>
    <cellStyle name="Milliers 3 2 9" xfId="141" xr:uid="{00000000-0005-0000-0000-0000B8000000}"/>
    <cellStyle name="Milliers 3 2 9 2" xfId="397" xr:uid="{00000000-0005-0000-0000-0000B9000000}"/>
    <cellStyle name="Milliers 3 2 9 3" xfId="617" xr:uid="{00000000-0005-0000-0000-0000BA000000}"/>
    <cellStyle name="Milliers 3 3" xfId="21" xr:uid="{00000000-0005-0000-0000-0000BB000000}"/>
    <cellStyle name="Milliers 3 3 10" xfId="454" xr:uid="{00000000-0005-0000-0000-0000BC000000}"/>
    <cellStyle name="Milliers 3 3 2" xfId="33" xr:uid="{00000000-0005-0000-0000-0000BD000000}"/>
    <cellStyle name="Milliers 3 3 2 2" xfId="57" xr:uid="{00000000-0005-0000-0000-0000BE000000}"/>
    <cellStyle name="Milliers 3 3 2 2 2" xfId="312" xr:uid="{00000000-0005-0000-0000-0000BF000000}"/>
    <cellStyle name="Milliers 3 3 2 2 2 2" xfId="578" xr:uid="{00000000-0005-0000-0000-0000C0000000}"/>
    <cellStyle name="Milliers 3 3 2 2 3" xfId="221" xr:uid="{00000000-0005-0000-0000-0000C1000000}"/>
    <cellStyle name="Milliers 3 3 2 2 4" xfId="495" xr:uid="{00000000-0005-0000-0000-0000C2000000}"/>
    <cellStyle name="Milliers 3 3 2 3" xfId="67" xr:uid="{00000000-0005-0000-0000-0000C3000000}"/>
    <cellStyle name="Milliers 3 3 2 3 2" xfId="341" xr:uid="{00000000-0005-0000-0000-0000C4000000}"/>
    <cellStyle name="Milliers 3 3 2 3 2 2" xfId="607" xr:uid="{00000000-0005-0000-0000-0000C5000000}"/>
    <cellStyle name="Milliers 3 3 2 3 3" xfId="250" xr:uid="{00000000-0005-0000-0000-0000C6000000}"/>
    <cellStyle name="Milliers 3 3 2 3 4" xfId="524" xr:uid="{00000000-0005-0000-0000-0000C7000000}"/>
    <cellStyle name="Milliers 3 3 2 4" xfId="109" xr:uid="{00000000-0005-0000-0000-0000C8000000}"/>
    <cellStyle name="Milliers 3 3 2 4 2" xfId="281" xr:uid="{00000000-0005-0000-0000-0000C9000000}"/>
    <cellStyle name="Milliers 3 3 2 4 3" xfId="547" xr:uid="{00000000-0005-0000-0000-0000CA000000}"/>
    <cellStyle name="Milliers 3 3 2 5" xfId="418" xr:uid="{00000000-0005-0000-0000-0000CB000000}"/>
    <cellStyle name="Milliers 3 3 2 5 2" xfId="638" xr:uid="{00000000-0005-0000-0000-0000CC000000}"/>
    <cellStyle name="Milliers 3 3 2 6" xfId="440" xr:uid="{00000000-0005-0000-0000-0000CD000000}"/>
    <cellStyle name="Milliers 3 3 2 6 2" xfId="660" xr:uid="{00000000-0005-0000-0000-0000CE000000}"/>
    <cellStyle name="Milliers 3 3 2 7" xfId="189" xr:uid="{00000000-0005-0000-0000-0000CF000000}"/>
    <cellStyle name="Milliers 3 3 2 8" xfId="464" xr:uid="{00000000-0005-0000-0000-0000D0000000}"/>
    <cellStyle name="Milliers 3 3 3" xfId="47" xr:uid="{00000000-0005-0000-0000-0000D1000000}"/>
    <cellStyle name="Milliers 3 3 3 2" xfId="295" xr:uid="{00000000-0005-0000-0000-0000D2000000}"/>
    <cellStyle name="Milliers 3 3 3 2 2" xfId="561" xr:uid="{00000000-0005-0000-0000-0000D3000000}"/>
    <cellStyle name="Milliers 3 3 3 3" xfId="203" xr:uid="{00000000-0005-0000-0000-0000D4000000}"/>
    <cellStyle name="Milliers 3 3 3 4" xfId="478" xr:uid="{00000000-0005-0000-0000-0000D5000000}"/>
    <cellStyle name="Milliers 3 3 4" xfId="73" xr:uid="{00000000-0005-0000-0000-0000D6000000}"/>
    <cellStyle name="Milliers 3 3 4 2" xfId="324" xr:uid="{00000000-0005-0000-0000-0000D7000000}"/>
    <cellStyle name="Milliers 3 3 4 2 2" xfId="590" xr:uid="{00000000-0005-0000-0000-0000D8000000}"/>
    <cellStyle name="Milliers 3 3 4 3" xfId="233" xr:uid="{00000000-0005-0000-0000-0000D9000000}"/>
    <cellStyle name="Milliers 3 3 4 4" xfId="507" xr:uid="{00000000-0005-0000-0000-0000DA000000}"/>
    <cellStyle name="Milliers 3 3 5" xfId="99" xr:uid="{00000000-0005-0000-0000-0000DB000000}"/>
    <cellStyle name="Milliers 3 3 5 2" xfId="270" xr:uid="{00000000-0005-0000-0000-0000DC000000}"/>
    <cellStyle name="Milliers 3 3 5 3" xfId="537" xr:uid="{00000000-0005-0000-0000-0000DD000000}"/>
    <cellStyle name="Milliers 3 3 6" xfId="126" xr:uid="{00000000-0005-0000-0000-0000DE000000}"/>
    <cellStyle name="Milliers 3 3 6 2" xfId="401" xr:uid="{00000000-0005-0000-0000-0000DF000000}"/>
    <cellStyle name="Milliers 3 3 6 3" xfId="621" xr:uid="{00000000-0005-0000-0000-0000E0000000}"/>
    <cellStyle name="Milliers 3 3 7" xfId="145" xr:uid="{00000000-0005-0000-0000-0000E1000000}"/>
    <cellStyle name="Milliers 3 3 7 2" xfId="430" xr:uid="{00000000-0005-0000-0000-0000E2000000}"/>
    <cellStyle name="Milliers 3 3 7 3" xfId="650" xr:uid="{00000000-0005-0000-0000-0000E3000000}"/>
    <cellStyle name="Milliers 3 3 8" xfId="162" xr:uid="{00000000-0005-0000-0000-0000E4000000}"/>
    <cellStyle name="Milliers 3 3 9" xfId="179" xr:uid="{00000000-0005-0000-0000-0000E5000000}"/>
    <cellStyle name="Milliers 3 4" xfId="22" xr:uid="{00000000-0005-0000-0000-0000E6000000}"/>
    <cellStyle name="Milliers 3 4 10" xfId="455" xr:uid="{00000000-0005-0000-0000-0000E7000000}"/>
    <cellStyle name="Milliers 3 4 2" xfId="37" xr:uid="{00000000-0005-0000-0000-0000E8000000}"/>
    <cellStyle name="Milliers 3 4 2 2" xfId="61" xr:uid="{00000000-0005-0000-0000-0000E9000000}"/>
    <cellStyle name="Milliers 3 4 2 2 2" xfId="313" xr:uid="{00000000-0005-0000-0000-0000EA000000}"/>
    <cellStyle name="Milliers 3 4 2 2 2 2" xfId="579" xr:uid="{00000000-0005-0000-0000-0000EB000000}"/>
    <cellStyle name="Milliers 3 4 2 2 3" xfId="222" xr:uid="{00000000-0005-0000-0000-0000EC000000}"/>
    <cellStyle name="Milliers 3 4 2 2 4" xfId="496" xr:uid="{00000000-0005-0000-0000-0000ED000000}"/>
    <cellStyle name="Milliers 3 4 2 3" xfId="89" xr:uid="{00000000-0005-0000-0000-0000EE000000}"/>
    <cellStyle name="Milliers 3 4 2 3 2" xfId="342" xr:uid="{00000000-0005-0000-0000-0000EF000000}"/>
    <cellStyle name="Milliers 3 4 2 3 2 2" xfId="608" xr:uid="{00000000-0005-0000-0000-0000F0000000}"/>
    <cellStyle name="Milliers 3 4 2 3 3" xfId="251" xr:uid="{00000000-0005-0000-0000-0000F1000000}"/>
    <cellStyle name="Milliers 3 4 2 3 4" xfId="525" xr:uid="{00000000-0005-0000-0000-0000F2000000}"/>
    <cellStyle name="Milliers 3 4 2 4" xfId="113" xr:uid="{00000000-0005-0000-0000-0000F3000000}"/>
    <cellStyle name="Milliers 3 4 2 4 2" xfId="285" xr:uid="{00000000-0005-0000-0000-0000F4000000}"/>
    <cellStyle name="Milliers 3 4 2 4 3" xfId="551" xr:uid="{00000000-0005-0000-0000-0000F5000000}"/>
    <cellStyle name="Milliers 3 4 2 5" xfId="419" xr:uid="{00000000-0005-0000-0000-0000F6000000}"/>
    <cellStyle name="Milliers 3 4 2 5 2" xfId="639" xr:uid="{00000000-0005-0000-0000-0000F7000000}"/>
    <cellStyle name="Milliers 3 4 2 6" xfId="444" xr:uid="{00000000-0005-0000-0000-0000F8000000}"/>
    <cellStyle name="Milliers 3 4 2 6 2" xfId="664" xr:uid="{00000000-0005-0000-0000-0000F9000000}"/>
    <cellStyle name="Milliers 3 4 2 7" xfId="193" xr:uid="{00000000-0005-0000-0000-0000FA000000}"/>
    <cellStyle name="Milliers 3 4 2 8" xfId="468" xr:uid="{00000000-0005-0000-0000-0000FB000000}"/>
    <cellStyle name="Milliers 3 4 3" xfId="48" xr:uid="{00000000-0005-0000-0000-0000FC000000}"/>
    <cellStyle name="Milliers 3 4 3 2" xfId="296" xr:uid="{00000000-0005-0000-0000-0000FD000000}"/>
    <cellStyle name="Milliers 3 4 3 2 2" xfId="562" xr:uid="{00000000-0005-0000-0000-0000FE000000}"/>
    <cellStyle name="Milliers 3 4 3 3" xfId="204" xr:uid="{00000000-0005-0000-0000-0000FF000000}"/>
    <cellStyle name="Milliers 3 4 3 4" xfId="479" xr:uid="{00000000-0005-0000-0000-000000010000}"/>
    <cellStyle name="Milliers 3 4 4" xfId="74" xr:uid="{00000000-0005-0000-0000-000001010000}"/>
    <cellStyle name="Milliers 3 4 4 2" xfId="325" xr:uid="{00000000-0005-0000-0000-000002010000}"/>
    <cellStyle name="Milliers 3 4 4 2 2" xfId="591" xr:uid="{00000000-0005-0000-0000-000003010000}"/>
    <cellStyle name="Milliers 3 4 4 3" xfId="234" xr:uid="{00000000-0005-0000-0000-000004010000}"/>
    <cellStyle name="Milliers 3 4 4 4" xfId="508" xr:uid="{00000000-0005-0000-0000-000005010000}"/>
    <cellStyle name="Milliers 3 4 5" xfId="100" xr:uid="{00000000-0005-0000-0000-000006010000}"/>
    <cellStyle name="Milliers 3 4 5 2" xfId="271" xr:uid="{00000000-0005-0000-0000-000007010000}"/>
    <cellStyle name="Milliers 3 4 5 3" xfId="538" xr:uid="{00000000-0005-0000-0000-000008010000}"/>
    <cellStyle name="Milliers 3 4 6" xfId="127" xr:uid="{00000000-0005-0000-0000-000009010000}"/>
    <cellStyle name="Milliers 3 4 6 2" xfId="402" xr:uid="{00000000-0005-0000-0000-00000A010000}"/>
    <cellStyle name="Milliers 3 4 6 3" xfId="622" xr:uid="{00000000-0005-0000-0000-00000B010000}"/>
    <cellStyle name="Milliers 3 4 7" xfId="146" xr:uid="{00000000-0005-0000-0000-00000C010000}"/>
    <cellStyle name="Milliers 3 4 7 2" xfId="431" xr:uid="{00000000-0005-0000-0000-00000D010000}"/>
    <cellStyle name="Milliers 3 4 7 3" xfId="651" xr:uid="{00000000-0005-0000-0000-00000E010000}"/>
    <cellStyle name="Milliers 3 4 8" xfId="163" xr:uid="{00000000-0005-0000-0000-00000F010000}"/>
    <cellStyle name="Milliers 3 4 9" xfId="180" xr:uid="{00000000-0005-0000-0000-000010010000}"/>
    <cellStyle name="Milliers 3 5" xfId="29" xr:uid="{00000000-0005-0000-0000-000011010000}"/>
    <cellStyle name="Milliers 3 5 2" xfId="53" xr:uid="{00000000-0005-0000-0000-000012010000}"/>
    <cellStyle name="Milliers 3 5 2 2" xfId="302" xr:uid="{00000000-0005-0000-0000-000013010000}"/>
    <cellStyle name="Milliers 3 5 2 2 2" xfId="568" xr:uid="{00000000-0005-0000-0000-000014010000}"/>
    <cellStyle name="Milliers 3 5 2 3" xfId="211" xr:uid="{00000000-0005-0000-0000-000015010000}"/>
    <cellStyle name="Milliers 3 5 2 4" xfId="485" xr:uid="{00000000-0005-0000-0000-000016010000}"/>
    <cellStyle name="Milliers 3 5 3" xfId="84" xr:uid="{00000000-0005-0000-0000-000017010000}"/>
    <cellStyle name="Milliers 3 5 3 2" xfId="331" xr:uid="{00000000-0005-0000-0000-000018010000}"/>
    <cellStyle name="Milliers 3 5 3 2 2" xfId="597" xr:uid="{00000000-0005-0000-0000-000019010000}"/>
    <cellStyle name="Milliers 3 5 3 3" xfId="240" xr:uid="{00000000-0005-0000-0000-00001A010000}"/>
    <cellStyle name="Milliers 3 5 3 4" xfId="514" xr:uid="{00000000-0005-0000-0000-00001B010000}"/>
    <cellStyle name="Milliers 3 5 4" xfId="105" xr:uid="{00000000-0005-0000-0000-00001C010000}"/>
    <cellStyle name="Milliers 3 5 4 2" xfId="277" xr:uid="{00000000-0005-0000-0000-00001D010000}"/>
    <cellStyle name="Milliers 3 5 4 3" xfId="543" xr:uid="{00000000-0005-0000-0000-00001E010000}"/>
    <cellStyle name="Milliers 3 5 5" xfId="133" xr:uid="{00000000-0005-0000-0000-00001F010000}"/>
    <cellStyle name="Milliers 3 5 5 2" xfId="408" xr:uid="{00000000-0005-0000-0000-000020010000}"/>
    <cellStyle name="Milliers 3 5 5 3" xfId="628" xr:uid="{00000000-0005-0000-0000-000021010000}"/>
    <cellStyle name="Milliers 3 5 6" xfId="152" xr:uid="{00000000-0005-0000-0000-000022010000}"/>
    <cellStyle name="Milliers 3 5 6 2" xfId="436" xr:uid="{00000000-0005-0000-0000-000023010000}"/>
    <cellStyle name="Milliers 3 5 6 3" xfId="656" xr:uid="{00000000-0005-0000-0000-000024010000}"/>
    <cellStyle name="Milliers 3 5 7" xfId="169" xr:uid="{00000000-0005-0000-0000-000025010000}"/>
    <cellStyle name="Milliers 3 5 8" xfId="185" xr:uid="{00000000-0005-0000-0000-000026010000}"/>
    <cellStyle name="Milliers 3 5 9" xfId="460" xr:uid="{00000000-0005-0000-0000-000027010000}"/>
    <cellStyle name="Milliers 3 6" xfId="41" xr:uid="{00000000-0005-0000-0000-000028010000}"/>
    <cellStyle name="Milliers 3 6 2" xfId="244" xr:uid="{00000000-0005-0000-0000-000029010000}"/>
    <cellStyle name="Milliers 3 6 2 2" xfId="335" xr:uid="{00000000-0005-0000-0000-00002A010000}"/>
    <cellStyle name="Milliers 3 6 2 2 2" xfId="601" xr:uid="{00000000-0005-0000-0000-00002B010000}"/>
    <cellStyle name="Milliers 3 6 2 3" xfId="518" xr:uid="{00000000-0005-0000-0000-00002C010000}"/>
    <cellStyle name="Milliers 3 6 3" xfId="306" xr:uid="{00000000-0005-0000-0000-00002D010000}"/>
    <cellStyle name="Milliers 3 6 3 2" xfId="572" xr:uid="{00000000-0005-0000-0000-00002E010000}"/>
    <cellStyle name="Milliers 3 6 4" xfId="412" xr:uid="{00000000-0005-0000-0000-00002F010000}"/>
    <cellStyle name="Milliers 3 6 4 2" xfId="632" xr:uid="{00000000-0005-0000-0000-000030010000}"/>
    <cellStyle name="Milliers 3 6 5" xfId="215" xr:uid="{00000000-0005-0000-0000-000031010000}"/>
    <cellStyle name="Milliers 3 6 6" xfId="489" xr:uid="{00000000-0005-0000-0000-000032010000}"/>
    <cellStyle name="Milliers 3 7" xfId="66" xr:uid="{00000000-0005-0000-0000-000033010000}"/>
    <cellStyle name="Milliers 3 7 2" xfId="289" xr:uid="{00000000-0005-0000-0000-000034010000}"/>
    <cellStyle name="Milliers 3 7 2 2" xfId="555" xr:uid="{00000000-0005-0000-0000-000035010000}"/>
    <cellStyle name="Milliers 3 7 3" xfId="197" xr:uid="{00000000-0005-0000-0000-000036010000}"/>
    <cellStyle name="Milliers 3 7 4" xfId="472" xr:uid="{00000000-0005-0000-0000-000037010000}"/>
    <cellStyle name="Milliers 3 8" xfId="93" xr:uid="{00000000-0005-0000-0000-000038010000}"/>
    <cellStyle name="Milliers 3 8 2" xfId="318" xr:uid="{00000000-0005-0000-0000-000039010000}"/>
    <cellStyle name="Milliers 3 8 2 2" xfId="584" xr:uid="{00000000-0005-0000-0000-00003A010000}"/>
    <cellStyle name="Milliers 3 8 3" xfId="227" xr:uid="{00000000-0005-0000-0000-00003B010000}"/>
    <cellStyle name="Milliers 3 8 4" xfId="501" xr:uid="{00000000-0005-0000-0000-00003C010000}"/>
    <cellStyle name="Milliers 3 9" xfId="120" xr:uid="{00000000-0005-0000-0000-00003D010000}"/>
    <cellStyle name="Milliers 3 9 2" xfId="263" xr:uid="{00000000-0005-0000-0000-00003E010000}"/>
    <cellStyle name="Milliers 3 9 3" xfId="531" xr:uid="{00000000-0005-0000-0000-00003F010000}"/>
    <cellStyle name="Milliers 4" xfId="14" xr:uid="{00000000-0005-0000-0000-000040010000}"/>
    <cellStyle name="Milliers 4 2" xfId="23" xr:uid="{00000000-0005-0000-0000-000041010000}"/>
    <cellStyle name="Milliers 5" xfId="81" xr:uid="{00000000-0005-0000-0000-000042010000}"/>
    <cellStyle name="Milliers 5 2" xfId="132" xr:uid="{00000000-0005-0000-0000-000043010000}"/>
    <cellStyle name="Milliers 5 2 2" xfId="330" xr:uid="{00000000-0005-0000-0000-000044010000}"/>
    <cellStyle name="Milliers 5 2 2 2" xfId="596" xr:uid="{00000000-0005-0000-0000-000045010000}"/>
    <cellStyle name="Milliers 5 2 3" xfId="239" xr:uid="{00000000-0005-0000-0000-000046010000}"/>
    <cellStyle name="Milliers 5 2 4" xfId="513" xr:uid="{00000000-0005-0000-0000-000047010000}"/>
    <cellStyle name="Milliers 5 3" xfId="151" xr:uid="{00000000-0005-0000-0000-000048010000}"/>
    <cellStyle name="Milliers 5 3 2" xfId="301" xr:uid="{00000000-0005-0000-0000-000049010000}"/>
    <cellStyle name="Milliers 5 3 3" xfId="567" xr:uid="{00000000-0005-0000-0000-00004A010000}"/>
    <cellStyle name="Milliers 5 4" xfId="168" xr:uid="{00000000-0005-0000-0000-00004B010000}"/>
    <cellStyle name="Milliers 5 4 2" xfId="407" xr:uid="{00000000-0005-0000-0000-00004C010000}"/>
    <cellStyle name="Milliers 5 4 3" xfId="627" xr:uid="{00000000-0005-0000-0000-00004D010000}"/>
    <cellStyle name="Milliers 5 5" xfId="209" xr:uid="{00000000-0005-0000-0000-00004E010000}"/>
    <cellStyle name="Milliers 5 6" xfId="484" xr:uid="{00000000-0005-0000-0000-00004F010000}"/>
    <cellStyle name="Milliers 6" xfId="118" xr:uid="{00000000-0005-0000-0000-000050010000}"/>
    <cellStyle name="Milliers 6 2" xfId="262" xr:uid="{00000000-0005-0000-0000-000051010000}"/>
    <cellStyle name="Milliers 7" xfId="272" xr:uid="{00000000-0005-0000-0000-000052010000}"/>
    <cellStyle name="Milliers 8" xfId="378" xr:uid="{00000000-0005-0000-0000-000053010000}"/>
    <cellStyle name="Milliers 9" xfId="392" xr:uid="{00000000-0005-0000-0000-000054010000}"/>
    <cellStyle name="Milliers 9 2" xfId="614" xr:uid="{00000000-0005-0000-0000-000055010000}"/>
    <cellStyle name="Neutre 2" xfId="379" xr:uid="{00000000-0005-0000-0000-000056010000}"/>
    <cellStyle name="Normal" xfId="0" builtinId="0"/>
    <cellStyle name="Normal 10" xfId="260" xr:uid="{00000000-0005-0000-0000-000058010000}"/>
    <cellStyle name="Normal 11" xfId="348" xr:uid="{00000000-0005-0000-0000-000059010000}"/>
    <cellStyle name="Normal 12" xfId="391" xr:uid="{00000000-0005-0000-0000-00005A010000}"/>
    <cellStyle name="Normal 12 2" xfId="613" xr:uid="{00000000-0005-0000-0000-00005B010000}"/>
    <cellStyle name="Normal 2" xfId="7" xr:uid="{00000000-0005-0000-0000-00005C010000}"/>
    <cellStyle name="Normal 2 2" xfId="8" xr:uid="{00000000-0005-0000-0000-00005D010000}"/>
    <cellStyle name="Normal 2 3" xfId="9" xr:uid="{00000000-0005-0000-0000-00005E010000}"/>
    <cellStyle name="Normal 2 3 2" xfId="380" xr:uid="{00000000-0005-0000-0000-00005F010000}"/>
    <cellStyle name="Normal 3" xfId="10" xr:uid="{00000000-0005-0000-0000-000060010000}"/>
    <cellStyle name="Normal 3 10" xfId="140" xr:uid="{00000000-0005-0000-0000-000061010000}"/>
    <cellStyle name="Normal 3 10 2" xfId="264" xr:uid="{00000000-0005-0000-0000-000062010000}"/>
    <cellStyle name="Normal 3 10 3" xfId="532" xr:uid="{00000000-0005-0000-0000-000063010000}"/>
    <cellStyle name="Normal 3 11" xfId="157" xr:uid="{00000000-0005-0000-0000-000064010000}"/>
    <cellStyle name="Normal 3 11 2" xfId="258" xr:uid="{00000000-0005-0000-0000-000065010000}"/>
    <cellStyle name="Normal 3 11 3" xfId="530" xr:uid="{00000000-0005-0000-0000-000066010000}"/>
    <cellStyle name="Normal 3 12" xfId="396" xr:uid="{00000000-0005-0000-0000-000067010000}"/>
    <cellStyle name="Normal 3 12 2" xfId="616" xr:uid="{00000000-0005-0000-0000-000068010000}"/>
    <cellStyle name="Normal 3 13" xfId="425" xr:uid="{00000000-0005-0000-0000-000069010000}"/>
    <cellStyle name="Normal 3 13 2" xfId="645" xr:uid="{00000000-0005-0000-0000-00006A010000}"/>
    <cellStyle name="Normal 3 14" xfId="174" xr:uid="{00000000-0005-0000-0000-00006B010000}"/>
    <cellStyle name="Normal 3 15" xfId="449" xr:uid="{00000000-0005-0000-0000-00006C010000}"/>
    <cellStyle name="Normal 3 2" xfId="17" xr:uid="{00000000-0005-0000-0000-00006D010000}"/>
    <cellStyle name="Normal 3 2 10" xfId="159" xr:uid="{00000000-0005-0000-0000-00006E010000}"/>
    <cellStyle name="Normal 3 2 10 2" xfId="427" xr:uid="{00000000-0005-0000-0000-00006F010000}"/>
    <cellStyle name="Normal 3 2 10 3" xfId="647" xr:uid="{00000000-0005-0000-0000-000070010000}"/>
    <cellStyle name="Normal 3 2 11" xfId="176" xr:uid="{00000000-0005-0000-0000-000071010000}"/>
    <cellStyle name="Normal 3 2 12" xfId="451" xr:uid="{00000000-0005-0000-0000-000072010000}"/>
    <cellStyle name="Normal 3 2 2" xfId="24" xr:uid="{00000000-0005-0000-0000-000073010000}"/>
    <cellStyle name="Normal 3 2 2 10" xfId="456" xr:uid="{00000000-0005-0000-0000-000074010000}"/>
    <cellStyle name="Normal 3 2 2 2" xfId="36" xr:uid="{00000000-0005-0000-0000-000075010000}"/>
    <cellStyle name="Normal 3 2 2 2 2" xfId="60" xr:uid="{00000000-0005-0000-0000-000076010000}"/>
    <cellStyle name="Normal 3 2 2 2 2 2" xfId="314" xr:uid="{00000000-0005-0000-0000-000077010000}"/>
    <cellStyle name="Normal 3 2 2 2 2 2 2" xfId="580" xr:uid="{00000000-0005-0000-0000-000078010000}"/>
    <cellStyle name="Normal 3 2 2 2 2 3" xfId="223" xr:uid="{00000000-0005-0000-0000-000079010000}"/>
    <cellStyle name="Normal 3 2 2 2 2 4" xfId="497" xr:uid="{00000000-0005-0000-0000-00007A010000}"/>
    <cellStyle name="Normal 3 2 2 2 3" xfId="80" xr:uid="{00000000-0005-0000-0000-00007B010000}"/>
    <cellStyle name="Normal 3 2 2 2 3 2" xfId="343" xr:uid="{00000000-0005-0000-0000-00007C010000}"/>
    <cellStyle name="Normal 3 2 2 2 3 2 2" xfId="609" xr:uid="{00000000-0005-0000-0000-00007D010000}"/>
    <cellStyle name="Normal 3 2 2 2 3 3" xfId="252" xr:uid="{00000000-0005-0000-0000-00007E010000}"/>
    <cellStyle name="Normal 3 2 2 2 3 4" xfId="526" xr:uid="{00000000-0005-0000-0000-00007F010000}"/>
    <cellStyle name="Normal 3 2 2 2 4" xfId="112" xr:uid="{00000000-0005-0000-0000-000080010000}"/>
    <cellStyle name="Normal 3 2 2 2 4 2" xfId="284" xr:uid="{00000000-0005-0000-0000-000081010000}"/>
    <cellStyle name="Normal 3 2 2 2 4 3" xfId="550" xr:uid="{00000000-0005-0000-0000-000082010000}"/>
    <cellStyle name="Normal 3 2 2 2 5" xfId="420" xr:uid="{00000000-0005-0000-0000-000083010000}"/>
    <cellStyle name="Normal 3 2 2 2 5 2" xfId="640" xr:uid="{00000000-0005-0000-0000-000084010000}"/>
    <cellStyle name="Normal 3 2 2 2 6" xfId="443" xr:uid="{00000000-0005-0000-0000-000085010000}"/>
    <cellStyle name="Normal 3 2 2 2 6 2" xfId="663" xr:uid="{00000000-0005-0000-0000-000086010000}"/>
    <cellStyle name="Normal 3 2 2 2 7" xfId="192" xr:uid="{00000000-0005-0000-0000-000087010000}"/>
    <cellStyle name="Normal 3 2 2 2 8" xfId="467" xr:uid="{00000000-0005-0000-0000-000088010000}"/>
    <cellStyle name="Normal 3 2 2 3" xfId="49" xr:uid="{00000000-0005-0000-0000-000089010000}"/>
    <cellStyle name="Normal 3 2 2 3 2" xfId="297" xr:uid="{00000000-0005-0000-0000-00008A010000}"/>
    <cellStyle name="Normal 3 2 2 3 2 2" xfId="563" xr:uid="{00000000-0005-0000-0000-00008B010000}"/>
    <cellStyle name="Normal 3 2 2 3 3" xfId="205" xr:uid="{00000000-0005-0000-0000-00008C010000}"/>
    <cellStyle name="Normal 3 2 2 3 4" xfId="480" xr:uid="{00000000-0005-0000-0000-00008D010000}"/>
    <cellStyle name="Normal 3 2 2 4" xfId="76" xr:uid="{00000000-0005-0000-0000-00008E010000}"/>
    <cellStyle name="Normal 3 2 2 4 2" xfId="326" xr:uid="{00000000-0005-0000-0000-00008F010000}"/>
    <cellStyle name="Normal 3 2 2 4 2 2" xfId="592" xr:uid="{00000000-0005-0000-0000-000090010000}"/>
    <cellStyle name="Normal 3 2 2 4 3" xfId="235" xr:uid="{00000000-0005-0000-0000-000091010000}"/>
    <cellStyle name="Normal 3 2 2 4 4" xfId="509" xr:uid="{00000000-0005-0000-0000-000092010000}"/>
    <cellStyle name="Normal 3 2 2 5" xfId="101" xr:uid="{00000000-0005-0000-0000-000093010000}"/>
    <cellStyle name="Normal 3 2 2 5 2" xfId="273" xr:uid="{00000000-0005-0000-0000-000094010000}"/>
    <cellStyle name="Normal 3 2 2 5 3" xfId="539" xr:uid="{00000000-0005-0000-0000-000095010000}"/>
    <cellStyle name="Normal 3 2 2 6" xfId="128" xr:uid="{00000000-0005-0000-0000-000096010000}"/>
    <cellStyle name="Normal 3 2 2 6 2" xfId="403" xr:uid="{00000000-0005-0000-0000-000097010000}"/>
    <cellStyle name="Normal 3 2 2 6 3" xfId="623" xr:uid="{00000000-0005-0000-0000-000098010000}"/>
    <cellStyle name="Normal 3 2 2 7" xfId="147" xr:uid="{00000000-0005-0000-0000-000099010000}"/>
    <cellStyle name="Normal 3 2 2 7 2" xfId="432" xr:uid="{00000000-0005-0000-0000-00009A010000}"/>
    <cellStyle name="Normal 3 2 2 7 3" xfId="652" xr:uid="{00000000-0005-0000-0000-00009B010000}"/>
    <cellStyle name="Normal 3 2 2 8" xfId="164" xr:uid="{00000000-0005-0000-0000-00009C010000}"/>
    <cellStyle name="Normal 3 2 2 9" xfId="181" xr:uid="{00000000-0005-0000-0000-00009D010000}"/>
    <cellStyle name="Normal 3 2 3" xfId="25" xr:uid="{00000000-0005-0000-0000-00009E010000}"/>
    <cellStyle name="Normal 3 2 3 10" xfId="457" xr:uid="{00000000-0005-0000-0000-00009F010000}"/>
    <cellStyle name="Normal 3 2 3 2" xfId="40" xr:uid="{00000000-0005-0000-0000-0000A0010000}"/>
    <cellStyle name="Normal 3 2 3 2 2" xfId="64" xr:uid="{00000000-0005-0000-0000-0000A1010000}"/>
    <cellStyle name="Normal 3 2 3 2 2 2" xfId="315" xr:uid="{00000000-0005-0000-0000-0000A2010000}"/>
    <cellStyle name="Normal 3 2 3 2 2 2 2" xfId="581" xr:uid="{00000000-0005-0000-0000-0000A3010000}"/>
    <cellStyle name="Normal 3 2 3 2 2 3" xfId="224" xr:uid="{00000000-0005-0000-0000-0000A4010000}"/>
    <cellStyle name="Normal 3 2 3 2 2 4" xfId="498" xr:uid="{00000000-0005-0000-0000-0000A5010000}"/>
    <cellStyle name="Normal 3 2 3 2 3" xfId="92" xr:uid="{00000000-0005-0000-0000-0000A6010000}"/>
    <cellStyle name="Normal 3 2 3 2 3 2" xfId="344" xr:uid="{00000000-0005-0000-0000-0000A7010000}"/>
    <cellStyle name="Normal 3 2 3 2 3 2 2" xfId="610" xr:uid="{00000000-0005-0000-0000-0000A8010000}"/>
    <cellStyle name="Normal 3 2 3 2 3 3" xfId="253" xr:uid="{00000000-0005-0000-0000-0000A9010000}"/>
    <cellStyle name="Normal 3 2 3 2 3 4" xfId="527" xr:uid="{00000000-0005-0000-0000-0000AA010000}"/>
    <cellStyle name="Normal 3 2 3 2 4" xfId="116" xr:uid="{00000000-0005-0000-0000-0000AB010000}"/>
    <cellStyle name="Normal 3 2 3 2 4 2" xfId="288" xr:uid="{00000000-0005-0000-0000-0000AC010000}"/>
    <cellStyle name="Normal 3 2 3 2 4 3" xfId="554" xr:uid="{00000000-0005-0000-0000-0000AD010000}"/>
    <cellStyle name="Normal 3 2 3 2 5" xfId="421" xr:uid="{00000000-0005-0000-0000-0000AE010000}"/>
    <cellStyle name="Normal 3 2 3 2 5 2" xfId="641" xr:uid="{00000000-0005-0000-0000-0000AF010000}"/>
    <cellStyle name="Normal 3 2 3 2 6" xfId="447" xr:uid="{00000000-0005-0000-0000-0000B0010000}"/>
    <cellStyle name="Normal 3 2 3 2 6 2" xfId="667" xr:uid="{00000000-0005-0000-0000-0000B1010000}"/>
    <cellStyle name="Normal 3 2 3 2 7" xfId="196" xr:uid="{00000000-0005-0000-0000-0000B2010000}"/>
    <cellStyle name="Normal 3 2 3 2 8" xfId="471" xr:uid="{00000000-0005-0000-0000-0000B3010000}"/>
    <cellStyle name="Normal 3 2 3 3" xfId="50" xr:uid="{00000000-0005-0000-0000-0000B4010000}"/>
    <cellStyle name="Normal 3 2 3 3 2" xfId="298" xr:uid="{00000000-0005-0000-0000-0000B5010000}"/>
    <cellStyle name="Normal 3 2 3 3 2 2" xfId="564" xr:uid="{00000000-0005-0000-0000-0000B6010000}"/>
    <cellStyle name="Normal 3 2 3 3 3" xfId="206" xr:uid="{00000000-0005-0000-0000-0000B7010000}"/>
    <cellStyle name="Normal 3 2 3 3 4" xfId="481" xr:uid="{00000000-0005-0000-0000-0000B8010000}"/>
    <cellStyle name="Normal 3 2 3 4" xfId="77" xr:uid="{00000000-0005-0000-0000-0000B9010000}"/>
    <cellStyle name="Normal 3 2 3 4 2" xfId="327" xr:uid="{00000000-0005-0000-0000-0000BA010000}"/>
    <cellStyle name="Normal 3 2 3 4 2 2" xfId="593" xr:uid="{00000000-0005-0000-0000-0000BB010000}"/>
    <cellStyle name="Normal 3 2 3 4 3" xfId="236" xr:uid="{00000000-0005-0000-0000-0000BC010000}"/>
    <cellStyle name="Normal 3 2 3 4 4" xfId="510" xr:uid="{00000000-0005-0000-0000-0000BD010000}"/>
    <cellStyle name="Normal 3 2 3 5" xfId="102" xr:uid="{00000000-0005-0000-0000-0000BE010000}"/>
    <cellStyle name="Normal 3 2 3 5 2" xfId="274" xr:uid="{00000000-0005-0000-0000-0000BF010000}"/>
    <cellStyle name="Normal 3 2 3 5 3" xfId="540" xr:uid="{00000000-0005-0000-0000-0000C0010000}"/>
    <cellStyle name="Normal 3 2 3 6" xfId="129" xr:uid="{00000000-0005-0000-0000-0000C1010000}"/>
    <cellStyle name="Normal 3 2 3 6 2" xfId="404" xr:uid="{00000000-0005-0000-0000-0000C2010000}"/>
    <cellStyle name="Normal 3 2 3 6 3" xfId="624" xr:uid="{00000000-0005-0000-0000-0000C3010000}"/>
    <cellStyle name="Normal 3 2 3 7" xfId="148" xr:uid="{00000000-0005-0000-0000-0000C4010000}"/>
    <cellStyle name="Normal 3 2 3 7 2" xfId="433" xr:uid="{00000000-0005-0000-0000-0000C5010000}"/>
    <cellStyle name="Normal 3 2 3 7 3" xfId="653" xr:uid="{00000000-0005-0000-0000-0000C6010000}"/>
    <cellStyle name="Normal 3 2 3 8" xfId="165" xr:uid="{00000000-0005-0000-0000-0000C7010000}"/>
    <cellStyle name="Normal 3 2 3 9" xfId="182" xr:uid="{00000000-0005-0000-0000-0000C8010000}"/>
    <cellStyle name="Normal 3 2 4" xfId="32" xr:uid="{00000000-0005-0000-0000-0000C9010000}"/>
    <cellStyle name="Normal 3 2 4 2" xfId="56" xr:uid="{00000000-0005-0000-0000-0000CA010000}"/>
    <cellStyle name="Normal 3 2 4 2 2" xfId="305" xr:uid="{00000000-0005-0000-0000-0000CB010000}"/>
    <cellStyle name="Normal 3 2 4 2 2 2" xfId="571" xr:uid="{00000000-0005-0000-0000-0000CC010000}"/>
    <cellStyle name="Normal 3 2 4 2 3" xfId="214" xr:uid="{00000000-0005-0000-0000-0000CD010000}"/>
    <cellStyle name="Normal 3 2 4 2 4" xfId="488" xr:uid="{00000000-0005-0000-0000-0000CE010000}"/>
    <cellStyle name="Normal 3 2 4 3" xfId="87" xr:uid="{00000000-0005-0000-0000-0000CF010000}"/>
    <cellStyle name="Normal 3 2 4 3 2" xfId="334" xr:uid="{00000000-0005-0000-0000-0000D0010000}"/>
    <cellStyle name="Normal 3 2 4 3 2 2" xfId="600" xr:uid="{00000000-0005-0000-0000-0000D1010000}"/>
    <cellStyle name="Normal 3 2 4 3 3" xfId="243" xr:uid="{00000000-0005-0000-0000-0000D2010000}"/>
    <cellStyle name="Normal 3 2 4 3 4" xfId="517" xr:uid="{00000000-0005-0000-0000-0000D3010000}"/>
    <cellStyle name="Normal 3 2 4 4" xfId="108" xr:uid="{00000000-0005-0000-0000-0000D4010000}"/>
    <cellStyle name="Normal 3 2 4 4 2" xfId="280" xr:uid="{00000000-0005-0000-0000-0000D5010000}"/>
    <cellStyle name="Normal 3 2 4 4 3" xfId="546" xr:uid="{00000000-0005-0000-0000-0000D6010000}"/>
    <cellStyle name="Normal 3 2 4 5" xfId="136" xr:uid="{00000000-0005-0000-0000-0000D7010000}"/>
    <cellStyle name="Normal 3 2 4 5 2" xfId="411" xr:uid="{00000000-0005-0000-0000-0000D8010000}"/>
    <cellStyle name="Normal 3 2 4 5 3" xfId="631" xr:uid="{00000000-0005-0000-0000-0000D9010000}"/>
    <cellStyle name="Normal 3 2 4 6" xfId="155" xr:uid="{00000000-0005-0000-0000-0000DA010000}"/>
    <cellStyle name="Normal 3 2 4 6 2" xfId="439" xr:uid="{00000000-0005-0000-0000-0000DB010000}"/>
    <cellStyle name="Normal 3 2 4 6 3" xfId="659" xr:uid="{00000000-0005-0000-0000-0000DC010000}"/>
    <cellStyle name="Normal 3 2 4 7" xfId="172" xr:uid="{00000000-0005-0000-0000-0000DD010000}"/>
    <cellStyle name="Normal 3 2 4 8" xfId="188" xr:uid="{00000000-0005-0000-0000-0000DE010000}"/>
    <cellStyle name="Normal 3 2 4 9" xfId="463" xr:uid="{00000000-0005-0000-0000-0000DF010000}"/>
    <cellStyle name="Normal 3 2 5" xfId="44" xr:uid="{00000000-0005-0000-0000-0000E0010000}"/>
    <cellStyle name="Normal 3 2 5 2" xfId="247" xr:uid="{00000000-0005-0000-0000-0000E1010000}"/>
    <cellStyle name="Normal 3 2 5 2 2" xfId="338" xr:uid="{00000000-0005-0000-0000-0000E2010000}"/>
    <cellStyle name="Normal 3 2 5 2 2 2" xfId="604" xr:uid="{00000000-0005-0000-0000-0000E3010000}"/>
    <cellStyle name="Normal 3 2 5 2 3" xfId="521" xr:uid="{00000000-0005-0000-0000-0000E4010000}"/>
    <cellStyle name="Normal 3 2 5 3" xfId="309" xr:uid="{00000000-0005-0000-0000-0000E5010000}"/>
    <cellStyle name="Normal 3 2 5 3 2" xfId="575" xr:uid="{00000000-0005-0000-0000-0000E6010000}"/>
    <cellStyle name="Normal 3 2 5 4" xfId="415" xr:uid="{00000000-0005-0000-0000-0000E7010000}"/>
    <cellStyle name="Normal 3 2 5 4 2" xfId="635" xr:uid="{00000000-0005-0000-0000-0000E8010000}"/>
    <cellStyle name="Normal 3 2 5 5" xfId="218" xr:uid="{00000000-0005-0000-0000-0000E9010000}"/>
    <cellStyle name="Normal 3 2 5 6" xfId="492" xr:uid="{00000000-0005-0000-0000-0000EA010000}"/>
    <cellStyle name="Normal 3 2 6" xfId="70" xr:uid="{00000000-0005-0000-0000-0000EB010000}"/>
    <cellStyle name="Normal 3 2 6 2" xfId="292" xr:uid="{00000000-0005-0000-0000-0000EC010000}"/>
    <cellStyle name="Normal 3 2 6 2 2" xfId="558" xr:uid="{00000000-0005-0000-0000-0000ED010000}"/>
    <cellStyle name="Normal 3 2 6 3" xfId="200" xr:uid="{00000000-0005-0000-0000-0000EE010000}"/>
    <cellStyle name="Normal 3 2 6 4" xfId="475" xr:uid="{00000000-0005-0000-0000-0000EF010000}"/>
    <cellStyle name="Normal 3 2 7" xfId="96" xr:uid="{00000000-0005-0000-0000-0000F0010000}"/>
    <cellStyle name="Normal 3 2 7 2" xfId="321" xr:uid="{00000000-0005-0000-0000-0000F1010000}"/>
    <cellStyle name="Normal 3 2 7 2 2" xfId="587" xr:uid="{00000000-0005-0000-0000-0000F2010000}"/>
    <cellStyle name="Normal 3 2 7 3" xfId="230" xr:uid="{00000000-0005-0000-0000-0000F3010000}"/>
    <cellStyle name="Normal 3 2 7 4" xfId="504" xr:uid="{00000000-0005-0000-0000-0000F4010000}"/>
    <cellStyle name="Normal 3 2 8" xfId="123" xr:uid="{00000000-0005-0000-0000-0000F5010000}"/>
    <cellStyle name="Normal 3 2 8 2" xfId="267" xr:uid="{00000000-0005-0000-0000-0000F6010000}"/>
    <cellStyle name="Normal 3 2 8 3" xfId="534" xr:uid="{00000000-0005-0000-0000-0000F7010000}"/>
    <cellStyle name="Normal 3 2 9" xfId="142" xr:uid="{00000000-0005-0000-0000-0000F8010000}"/>
    <cellStyle name="Normal 3 2 9 2" xfId="398" xr:uid="{00000000-0005-0000-0000-0000F9010000}"/>
    <cellStyle name="Normal 3 2 9 3" xfId="618" xr:uid="{00000000-0005-0000-0000-0000FA010000}"/>
    <cellStyle name="Normal 3 3" xfId="26" xr:uid="{00000000-0005-0000-0000-0000FB010000}"/>
    <cellStyle name="Normal 3 3 10" xfId="458" xr:uid="{00000000-0005-0000-0000-0000FC010000}"/>
    <cellStyle name="Normal 3 3 2" xfId="34" xr:uid="{00000000-0005-0000-0000-0000FD010000}"/>
    <cellStyle name="Normal 3 3 2 2" xfId="58" xr:uid="{00000000-0005-0000-0000-0000FE010000}"/>
    <cellStyle name="Normal 3 3 2 2 2" xfId="316" xr:uid="{00000000-0005-0000-0000-0000FF010000}"/>
    <cellStyle name="Normal 3 3 2 2 2 2" xfId="582" xr:uid="{00000000-0005-0000-0000-000000020000}"/>
    <cellStyle name="Normal 3 3 2 2 3" xfId="225" xr:uid="{00000000-0005-0000-0000-000001020000}"/>
    <cellStyle name="Normal 3 3 2 2 4" xfId="499" xr:uid="{00000000-0005-0000-0000-000002020000}"/>
    <cellStyle name="Normal 3 3 2 3" xfId="75" xr:uid="{00000000-0005-0000-0000-000003020000}"/>
    <cellStyle name="Normal 3 3 2 3 2" xfId="345" xr:uid="{00000000-0005-0000-0000-000004020000}"/>
    <cellStyle name="Normal 3 3 2 3 2 2" xfId="611" xr:uid="{00000000-0005-0000-0000-000005020000}"/>
    <cellStyle name="Normal 3 3 2 3 3" xfId="254" xr:uid="{00000000-0005-0000-0000-000006020000}"/>
    <cellStyle name="Normal 3 3 2 3 4" xfId="528" xr:uid="{00000000-0005-0000-0000-000007020000}"/>
    <cellStyle name="Normal 3 3 2 4" xfId="110" xr:uid="{00000000-0005-0000-0000-000008020000}"/>
    <cellStyle name="Normal 3 3 2 4 2" xfId="282" xr:uid="{00000000-0005-0000-0000-000009020000}"/>
    <cellStyle name="Normal 3 3 2 4 3" xfId="548" xr:uid="{00000000-0005-0000-0000-00000A020000}"/>
    <cellStyle name="Normal 3 3 2 5" xfId="422" xr:uid="{00000000-0005-0000-0000-00000B020000}"/>
    <cellStyle name="Normal 3 3 2 5 2" xfId="642" xr:uid="{00000000-0005-0000-0000-00000C020000}"/>
    <cellStyle name="Normal 3 3 2 6" xfId="441" xr:uid="{00000000-0005-0000-0000-00000D020000}"/>
    <cellStyle name="Normal 3 3 2 6 2" xfId="661" xr:uid="{00000000-0005-0000-0000-00000E020000}"/>
    <cellStyle name="Normal 3 3 2 7" xfId="190" xr:uid="{00000000-0005-0000-0000-00000F020000}"/>
    <cellStyle name="Normal 3 3 2 8" xfId="465" xr:uid="{00000000-0005-0000-0000-000010020000}"/>
    <cellStyle name="Normal 3 3 3" xfId="51" xr:uid="{00000000-0005-0000-0000-000011020000}"/>
    <cellStyle name="Normal 3 3 3 2" xfId="299" xr:uid="{00000000-0005-0000-0000-000012020000}"/>
    <cellStyle name="Normal 3 3 3 2 2" xfId="565" xr:uid="{00000000-0005-0000-0000-000013020000}"/>
    <cellStyle name="Normal 3 3 3 3" xfId="207" xr:uid="{00000000-0005-0000-0000-000014020000}"/>
    <cellStyle name="Normal 3 3 3 4" xfId="482" xr:uid="{00000000-0005-0000-0000-000015020000}"/>
    <cellStyle name="Normal 3 3 4" xfId="78" xr:uid="{00000000-0005-0000-0000-000016020000}"/>
    <cellStyle name="Normal 3 3 4 2" xfId="328" xr:uid="{00000000-0005-0000-0000-000017020000}"/>
    <cellStyle name="Normal 3 3 4 2 2" xfId="594" xr:uid="{00000000-0005-0000-0000-000018020000}"/>
    <cellStyle name="Normal 3 3 4 3" xfId="237" xr:uid="{00000000-0005-0000-0000-000019020000}"/>
    <cellStyle name="Normal 3 3 4 4" xfId="511" xr:uid="{00000000-0005-0000-0000-00001A020000}"/>
    <cellStyle name="Normal 3 3 5" xfId="103" xr:uid="{00000000-0005-0000-0000-00001B020000}"/>
    <cellStyle name="Normal 3 3 5 2" xfId="275" xr:uid="{00000000-0005-0000-0000-00001C020000}"/>
    <cellStyle name="Normal 3 3 5 3" xfId="541" xr:uid="{00000000-0005-0000-0000-00001D020000}"/>
    <cellStyle name="Normal 3 3 6" xfId="130" xr:uid="{00000000-0005-0000-0000-00001E020000}"/>
    <cellStyle name="Normal 3 3 6 2" xfId="405" xr:uid="{00000000-0005-0000-0000-00001F020000}"/>
    <cellStyle name="Normal 3 3 6 3" xfId="625" xr:uid="{00000000-0005-0000-0000-000020020000}"/>
    <cellStyle name="Normal 3 3 7" xfId="149" xr:uid="{00000000-0005-0000-0000-000021020000}"/>
    <cellStyle name="Normal 3 3 7 2" xfId="434" xr:uid="{00000000-0005-0000-0000-000022020000}"/>
    <cellStyle name="Normal 3 3 7 3" xfId="654" xr:uid="{00000000-0005-0000-0000-000023020000}"/>
    <cellStyle name="Normal 3 3 8" xfId="166" xr:uid="{00000000-0005-0000-0000-000024020000}"/>
    <cellStyle name="Normal 3 3 9" xfId="183" xr:uid="{00000000-0005-0000-0000-000025020000}"/>
    <cellStyle name="Normal 3 4" xfId="27" xr:uid="{00000000-0005-0000-0000-000026020000}"/>
    <cellStyle name="Normal 3 4 10" xfId="459" xr:uid="{00000000-0005-0000-0000-000027020000}"/>
    <cellStyle name="Normal 3 4 2" xfId="38" xr:uid="{00000000-0005-0000-0000-000028020000}"/>
    <cellStyle name="Normal 3 4 2 2" xfId="62" xr:uid="{00000000-0005-0000-0000-000029020000}"/>
    <cellStyle name="Normal 3 4 2 2 2" xfId="317" xr:uid="{00000000-0005-0000-0000-00002A020000}"/>
    <cellStyle name="Normal 3 4 2 2 2 2" xfId="583" xr:uid="{00000000-0005-0000-0000-00002B020000}"/>
    <cellStyle name="Normal 3 4 2 2 3" xfId="226" xr:uid="{00000000-0005-0000-0000-00002C020000}"/>
    <cellStyle name="Normal 3 4 2 2 4" xfId="500" xr:uid="{00000000-0005-0000-0000-00002D020000}"/>
    <cellStyle name="Normal 3 4 2 3" xfId="90" xr:uid="{00000000-0005-0000-0000-00002E020000}"/>
    <cellStyle name="Normal 3 4 2 3 2" xfId="346" xr:uid="{00000000-0005-0000-0000-00002F020000}"/>
    <cellStyle name="Normal 3 4 2 3 2 2" xfId="612" xr:uid="{00000000-0005-0000-0000-000030020000}"/>
    <cellStyle name="Normal 3 4 2 3 3" xfId="255" xr:uid="{00000000-0005-0000-0000-000031020000}"/>
    <cellStyle name="Normal 3 4 2 3 4" xfId="529" xr:uid="{00000000-0005-0000-0000-000032020000}"/>
    <cellStyle name="Normal 3 4 2 4" xfId="114" xr:uid="{00000000-0005-0000-0000-000033020000}"/>
    <cellStyle name="Normal 3 4 2 4 2" xfId="286" xr:uid="{00000000-0005-0000-0000-000034020000}"/>
    <cellStyle name="Normal 3 4 2 4 3" xfId="552" xr:uid="{00000000-0005-0000-0000-000035020000}"/>
    <cellStyle name="Normal 3 4 2 5" xfId="423" xr:uid="{00000000-0005-0000-0000-000036020000}"/>
    <cellStyle name="Normal 3 4 2 5 2" xfId="643" xr:uid="{00000000-0005-0000-0000-000037020000}"/>
    <cellStyle name="Normal 3 4 2 6" xfId="445" xr:uid="{00000000-0005-0000-0000-000038020000}"/>
    <cellStyle name="Normal 3 4 2 6 2" xfId="665" xr:uid="{00000000-0005-0000-0000-000039020000}"/>
    <cellStyle name="Normal 3 4 2 7" xfId="194" xr:uid="{00000000-0005-0000-0000-00003A020000}"/>
    <cellStyle name="Normal 3 4 2 8" xfId="469" xr:uid="{00000000-0005-0000-0000-00003B020000}"/>
    <cellStyle name="Normal 3 4 3" xfId="52" xr:uid="{00000000-0005-0000-0000-00003C020000}"/>
    <cellStyle name="Normal 3 4 3 2" xfId="300" xr:uid="{00000000-0005-0000-0000-00003D020000}"/>
    <cellStyle name="Normal 3 4 3 2 2" xfId="566" xr:uid="{00000000-0005-0000-0000-00003E020000}"/>
    <cellStyle name="Normal 3 4 3 3" xfId="208" xr:uid="{00000000-0005-0000-0000-00003F020000}"/>
    <cellStyle name="Normal 3 4 3 4" xfId="483" xr:uid="{00000000-0005-0000-0000-000040020000}"/>
    <cellStyle name="Normal 3 4 4" xfId="79" xr:uid="{00000000-0005-0000-0000-000041020000}"/>
    <cellStyle name="Normal 3 4 4 2" xfId="329" xr:uid="{00000000-0005-0000-0000-000042020000}"/>
    <cellStyle name="Normal 3 4 4 2 2" xfId="595" xr:uid="{00000000-0005-0000-0000-000043020000}"/>
    <cellStyle name="Normal 3 4 4 3" xfId="238" xr:uid="{00000000-0005-0000-0000-000044020000}"/>
    <cellStyle name="Normal 3 4 4 4" xfId="512" xr:uid="{00000000-0005-0000-0000-000045020000}"/>
    <cellStyle name="Normal 3 4 5" xfId="104" xr:uid="{00000000-0005-0000-0000-000046020000}"/>
    <cellStyle name="Normal 3 4 5 2" xfId="276" xr:uid="{00000000-0005-0000-0000-000047020000}"/>
    <cellStyle name="Normal 3 4 5 3" xfId="542" xr:uid="{00000000-0005-0000-0000-000048020000}"/>
    <cellStyle name="Normal 3 4 6" xfId="131" xr:uid="{00000000-0005-0000-0000-000049020000}"/>
    <cellStyle name="Normal 3 4 6 2" xfId="406" xr:uid="{00000000-0005-0000-0000-00004A020000}"/>
    <cellStyle name="Normal 3 4 6 3" xfId="626" xr:uid="{00000000-0005-0000-0000-00004B020000}"/>
    <cellStyle name="Normal 3 4 7" xfId="150" xr:uid="{00000000-0005-0000-0000-00004C020000}"/>
    <cellStyle name="Normal 3 4 7 2" xfId="435" xr:uid="{00000000-0005-0000-0000-00004D020000}"/>
    <cellStyle name="Normal 3 4 7 3" xfId="655" xr:uid="{00000000-0005-0000-0000-00004E020000}"/>
    <cellStyle name="Normal 3 4 8" xfId="167" xr:uid="{00000000-0005-0000-0000-00004F020000}"/>
    <cellStyle name="Normal 3 4 9" xfId="184" xr:uid="{00000000-0005-0000-0000-000050020000}"/>
    <cellStyle name="Normal 3 5" xfId="30" xr:uid="{00000000-0005-0000-0000-000051020000}"/>
    <cellStyle name="Normal 3 5 2" xfId="54" xr:uid="{00000000-0005-0000-0000-000052020000}"/>
    <cellStyle name="Normal 3 5 2 2" xfId="210" xr:uid="{00000000-0005-0000-0000-000053020000}"/>
    <cellStyle name="Normal 3 5 3" xfId="82" xr:uid="{00000000-0005-0000-0000-000054020000}"/>
    <cellStyle name="Normal 3 5 3 2" xfId="278" xr:uid="{00000000-0005-0000-0000-000055020000}"/>
    <cellStyle name="Normal 3 5 3 3" xfId="544" xr:uid="{00000000-0005-0000-0000-000056020000}"/>
    <cellStyle name="Normal 3 5 4" xfId="65" xr:uid="{00000000-0005-0000-0000-000057020000}"/>
    <cellStyle name="Normal 3 5 4 2" xfId="437" xr:uid="{00000000-0005-0000-0000-000058020000}"/>
    <cellStyle name="Normal 3 5 4 3" xfId="657" xr:uid="{00000000-0005-0000-0000-000059020000}"/>
    <cellStyle name="Normal 3 5 5" xfId="106" xr:uid="{00000000-0005-0000-0000-00005A020000}"/>
    <cellStyle name="Normal 3 5 6" xfId="186" xr:uid="{00000000-0005-0000-0000-00005B020000}"/>
    <cellStyle name="Normal 3 5 7" xfId="461" xr:uid="{00000000-0005-0000-0000-00005C020000}"/>
    <cellStyle name="Normal 3 6" xfId="42" xr:uid="{00000000-0005-0000-0000-00005D020000}"/>
    <cellStyle name="Normal 3 6 2" xfId="85" xr:uid="{00000000-0005-0000-0000-00005E020000}"/>
    <cellStyle name="Normal 3 6 2 2" xfId="332" xr:uid="{00000000-0005-0000-0000-00005F020000}"/>
    <cellStyle name="Normal 3 6 2 2 2" xfId="598" xr:uid="{00000000-0005-0000-0000-000060020000}"/>
    <cellStyle name="Normal 3 6 2 3" xfId="241" xr:uid="{00000000-0005-0000-0000-000061020000}"/>
    <cellStyle name="Normal 3 6 2 4" xfId="515" xr:uid="{00000000-0005-0000-0000-000062020000}"/>
    <cellStyle name="Normal 3 6 3" xfId="134" xr:uid="{00000000-0005-0000-0000-000063020000}"/>
    <cellStyle name="Normal 3 6 3 2" xfId="303" xr:uid="{00000000-0005-0000-0000-000064020000}"/>
    <cellStyle name="Normal 3 6 3 3" xfId="569" xr:uid="{00000000-0005-0000-0000-000065020000}"/>
    <cellStyle name="Normal 3 6 4" xfId="153" xr:uid="{00000000-0005-0000-0000-000066020000}"/>
    <cellStyle name="Normal 3 6 4 2" xfId="409" xr:uid="{00000000-0005-0000-0000-000067020000}"/>
    <cellStyle name="Normal 3 6 4 3" xfId="629" xr:uid="{00000000-0005-0000-0000-000068020000}"/>
    <cellStyle name="Normal 3 6 5" xfId="170" xr:uid="{00000000-0005-0000-0000-000069020000}"/>
    <cellStyle name="Normal 3 6 6" xfId="212" xr:uid="{00000000-0005-0000-0000-00006A020000}"/>
    <cellStyle name="Normal 3 6 7" xfId="486" xr:uid="{00000000-0005-0000-0000-00006B020000}"/>
    <cellStyle name="Normal 3 7" xfId="68" xr:uid="{00000000-0005-0000-0000-00006C020000}"/>
    <cellStyle name="Normal 3 7 2" xfId="245" xr:uid="{00000000-0005-0000-0000-00006D020000}"/>
    <cellStyle name="Normal 3 7 2 2" xfId="336" xr:uid="{00000000-0005-0000-0000-00006E020000}"/>
    <cellStyle name="Normal 3 7 2 2 2" xfId="602" xr:uid="{00000000-0005-0000-0000-00006F020000}"/>
    <cellStyle name="Normal 3 7 2 3" xfId="519" xr:uid="{00000000-0005-0000-0000-000070020000}"/>
    <cellStyle name="Normal 3 7 3" xfId="307" xr:uid="{00000000-0005-0000-0000-000071020000}"/>
    <cellStyle name="Normal 3 7 3 2" xfId="573" xr:uid="{00000000-0005-0000-0000-000072020000}"/>
    <cellStyle name="Normal 3 7 4" xfId="413" xr:uid="{00000000-0005-0000-0000-000073020000}"/>
    <cellStyle name="Normal 3 7 4 2" xfId="633" xr:uid="{00000000-0005-0000-0000-000074020000}"/>
    <cellStyle name="Normal 3 7 5" xfId="216" xr:uid="{00000000-0005-0000-0000-000075020000}"/>
    <cellStyle name="Normal 3 7 6" xfId="490" xr:uid="{00000000-0005-0000-0000-000076020000}"/>
    <cellStyle name="Normal 3 8" xfId="94" xr:uid="{00000000-0005-0000-0000-000077020000}"/>
    <cellStyle name="Normal 3 8 2" xfId="290" xr:uid="{00000000-0005-0000-0000-000078020000}"/>
    <cellStyle name="Normal 3 8 2 2" xfId="556" xr:uid="{00000000-0005-0000-0000-000079020000}"/>
    <cellStyle name="Normal 3 8 3" xfId="198" xr:uid="{00000000-0005-0000-0000-00007A020000}"/>
    <cellStyle name="Normal 3 8 4" xfId="473" xr:uid="{00000000-0005-0000-0000-00007B020000}"/>
    <cellStyle name="Normal 3 9" xfId="121" xr:uid="{00000000-0005-0000-0000-00007C020000}"/>
    <cellStyle name="Normal 3 9 2" xfId="319" xr:uid="{00000000-0005-0000-0000-00007D020000}"/>
    <cellStyle name="Normal 3 9 2 2" xfId="585" xr:uid="{00000000-0005-0000-0000-00007E020000}"/>
    <cellStyle name="Normal 3 9 3" xfId="228" xr:uid="{00000000-0005-0000-0000-00007F020000}"/>
    <cellStyle name="Normal 3 9 4" xfId="502" xr:uid="{00000000-0005-0000-0000-000080020000}"/>
    <cellStyle name="Normal 4" xfId="15" xr:uid="{00000000-0005-0000-0000-000081020000}"/>
    <cellStyle name="Normal 4 2" xfId="28" xr:uid="{00000000-0005-0000-0000-000082020000}"/>
    <cellStyle name="Normal 5" xfId="18" xr:uid="{00000000-0005-0000-0000-000083020000}"/>
    <cellStyle name="Normal 6" xfId="83" xr:uid="{00000000-0005-0000-0000-000084020000}"/>
    <cellStyle name="Normal 7" xfId="117" xr:uid="{00000000-0005-0000-0000-000085020000}"/>
    <cellStyle name="Normal 7 2" xfId="256" xr:uid="{00000000-0005-0000-0000-000086020000}"/>
    <cellStyle name="Normal 8" xfId="119" xr:uid="{00000000-0005-0000-0000-000087020000}"/>
    <cellStyle name="Normal 8 2" xfId="347" xr:uid="{00000000-0005-0000-0000-000088020000}"/>
    <cellStyle name="Normal 8 3" xfId="257" xr:uid="{00000000-0005-0000-0000-000089020000}"/>
    <cellStyle name="Normal 9" xfId="137" xr:uid="{00000000-0005-0000-0000-00008A020000}"/>
    <cellStyle name="Normal 9 2" xfId="261" xr:uid="{00000000-0005-0000-0000-00008B020000}"/>
    <cellStyle name="Normal_3crit_2002-03.xls" xfId="11" xr:uid="{00000000-0005-0000-0000-00008C020000}"/>
    <cellStyle name="Pourcentage" xfId="12" builtinId="5"/>
    <cellStyle name="Pourcentage 2" xfId="13" xr:uid="{00000000-0005-0000-0000-000091020000}"/>
    <cellStyle name="Pourcentage 3" xfId="138" xr:uid="{00000000-0005-0000-0000-000092020000}"/>
    <cellStyle name="Pourcentage 3 2" xfId="265" xr:uid="{00000000-0005-0000-0000-000093020000}"/>
    <cellStyle name="Pourcentage 4" xfId="259" xr:uid="{00000000-0005-0000-0000-000094020000}"/>
    <cellStyle name="Satisfaisant 2" xfId="381" xr:uid="{00000000-0005-0000-0000-000095020000}"/>
    <cellStyle name="Sortie 2" xfId="382" xr:uid="{00000000-0005-0000-0000-000096020000}"/>
    <cellStyle name="Texte explicatif 2" xfId="383" xr:uid="{00000000-0005-0000-0000-000097020000}"/>
    <cellStyle name="Titre 2" xfId="384" xr:uid="{00000000-0005-0000-0000-000098020000}"/>
    <cellStyle name="Titre 1 2" xfId="385" xr:uid="{00000000-0005-0000-0000-000099020000}"/>
    <cellStyle name="Titre 2 2" xfId="386" xr:uid="{00000000-0005-0000-0000-00009A020000}"/>
    <cellStyle name="Titre 3 2" xfId="387" xr:uid="{00000000-0005-0000-0000-00009B020000}"/>
    <cellStyle name="Titre 4 2" xfId="388" xr:uid="{00000000-0005-0000-0000-00009C020000}"/>
    <cellStyle name="Total 2" xfId="389" xr:uid="{00000000-0005-0000-0000-00009D020000}"/>
    <cellStyle name="Vérification 2" xfId="390" xr:uid="{00000000-0005-0000-0000-00009E020000}"/>
  </cellStyles>
  <dxfs count="12">
    <dxf>
      <fill>
        <patternFill>
          <bgColor rgb="FF00B050"/>
        </patternFill>
      </fill>
    </dxf>
    <dxf>
      <fill>
        <patternFill>
          <bgColor rgb="FF00B050"/>
        </patternFill>
      </fill>
    </dxf>
    <dxf>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rgb="FF00B050"/>
        </patternFill>
      </fill>
    </dxf>
  </dxfs>
  <tableStyles count="0" defaultTableStyle="TableStyleMedium9" defaultPivotStyle="PivotStyleLight16"/>
  <colors>
    <mruColors>
      <color rgb="FFFFFFCC"/>
      <color rgb="FFBF5201"/>
      <color rgb="FF00DE64"/>
      <color rgb="FF05FF76"/>
      <color rgb="FF23CF33"/>
      <color rgb="FFD97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7AA1-60A5-488A-A872-466268BDE675}">
  <dimension ref="A1:C19"/>
  <sheetViews>
    <sheetView zoomScaleNormal="100" workbookViewId="0">
      <selection activeCell="C3" sqref="C3:E3"/>
    </sheetView>
  </sheetViews>
  <sheetFormatPr baseColWidth="10" defaultColWidth="11" defaultRowHeight="12.75" x14ac:dyDescent="0.2"/>
  <cols>
    <col min="1" max="1" width="38" style="421" customWidth="1"/>
    <col min="2" max="2" width="43.625" style="273" customWidth="1"/>
    <col min="3" max="3" width="43.625" style="272" customWidth="1"/>
    <col min="4" max="16384" width="11" style="272"/>
  </cols>
  <sheetData>
    <row r="1" spans="1:3" ht="26.45" customHeight="1" x14ac:dyDescent="0.2">
      <c r="A1" s="452" t="s">
        <v>397</v>
      </c>
    </row>
    <row r="2" spans="1:3" ht="24" customHeight="1" x14ac:dyDescent="0.2">
      <c r="A2" s="422" t="s">
        <v>552</v>
      </c>
      <c r="B2" s="590" t="s">
        <v>412</v>
      </c>
      <c r="C2" s="591"/>
    </row>
    <row r="3" spans="1:3" ht="24" customHeight="1" x14ac:dyDescent="0.2">
      <c r="A3" s="423" t="s">
        <v>524</v>
      </c>
      <c r="B3" s="592" t="s">
        <v>443</v>
      </c>
      <c r="C3" s="592"/>
    </row>
    <row r="4" spans="1:3" ht="24" customHeight="1" x14ac:dyDescent="0.2">
      <c r="A4" s="423" t="s">
        <v>400</v>
      </c>
      <c r="B4" s="592" t="s">
        <v>489</v>
      </c>
      <c r="C4" s="592"/>
    </row>
    <row r="5" spans="1:3" ht="24" customHeight="1" x14ac:dyDescent="0.2">
      <c r="A5" s="424" t="s">
        <v>411</v>
      </c>
      <c r="B5" s="593" t="s">
        <v>444</v>
      </c>
      <c r="C5" s="594"/>
    </row>
    <row r="6" spans="1:3" ht="7.5" customHeight="1" x14ac:dyDescent="0.2"/>
    <row r="7" spans="1:3" ht="45" customHeight="1" x14ac:dyDescent="0.2">
      <c r="A7" s="499" t="s">
        <v>426</v>
      </c>
      <c r="B7" s="595" t="s">
        <v>543</v>
      </c>
      <c r="C7" s="596"/>
    </row>
    <row r="8" spans="1:3" ht="24" customHeight="1" x14ac:dyDescent="0.2">
      <c r="A8" s="425" t="s">
        <v>542</v>
      </c>
      <c r="B8" s="588" t="s">
        <v>544</v>
      </c>
      <c r="C8" s="589"/>
    </row>
    <row r="9" spans="1:3" ht="7.5" customHeight="1" x14ac:dyDescent="0.2"/>
    <row r="10" spans="1:3" ht="45" customHeight="1" x14ac:dyDescent="0.2">
      <c r="A10" s="509" t="s">
        <v>551</v>
      </c>
      <c r="B10" s="599" t="s">
        <v>545</v>
      </c>
      <c r="C10" s="600"/>
    </row>
    <row r="11" spans="1:3" ht="30" customHeight="1" x14ac:dyDescent="0.2">
      <c r="A11" s="488" t="s">
        <v>257</v>
      </c>
      <c r="B11" s="601" t="s">
        <v>398</v>
      </c>
      <c r="C11" s="602"/>
    </row>
    <row r="12" spans="1:3" ht="30" customHeight="1" x14ac:dyDescent="0.2">
      <c r="A12" s="489" t="s">
        <v>547</v>
      </c>
      <c r="B12" s="603" t="s">
        <v>442</v>
      </c>
      <c r="C12" s="603"/>
    </row>
    <row r="13" spans="1:3" ht="30" customHeight="1" x14ac:dyDescent="0.2">
      <c r="A13" s="489" t="s">
        <v>546</v>
      </c>
      <c r="B13" s="604" t="s">
        <v>399</v>
      </c>
      <c r="C13" s="603"/>
    </row>
    <row r="14" spans="1:3" ht="24" customHeight="1" x14ac:dyDescent="0.2">
      <c r="A14" s="518" t="s">
        <v>401</v>
      </c>
      <c r="B14" s="519" t="s">
        <v>402</v>
      </c>
      <c r="C14" s="520" t="s">
        <v>403</v>
      </c>
    </row>
    <row r="15" spans="1:3" ht="7.5" customHeight="1" x14ac:dyDescent="0.2"/>
    <row r="16" spans="1:3" ht="24" customHeight="1" x14ac:dyDescent="0.2">
      <c r="A16" s="426" t="s">
        <v>410</v>
      </c>
      <c r="B16" s="605" t="s">
        <v>548</v>
      </c>
      <c r="C16" s="606"/>
    </row>
    <row r="17" spans="1:3" ht="7.5" customHeight="1" x14ac:dyDescent="0.2">
      <c r="B17" s="274"/>
    </row>
    <row r="18" spans="1:3" ht="24" customHeight="1" x14ac:dyDescent="0.2">
      <c r="A18" s="422" t="s">
        <v>428</v>
      </c>
      <c r="B18" s="607" t="s">
        <v>549</v>
      </c>
      <c r="C18" s="608"/>
    </row>
    <row r="19" spans="1:3" ht="24" customHeight="1" x14ac:dyDescent="0.2">
      <c r="A19" s="424" t="s">
        <v>404</v>
      </c>
      <c r="B19" s="597" t="s">
        <v>553</v>
      </c>
      <c r="C19" s="598"/>
    </row>
  </sheetData>
  <mergeCells count="13">
    <mergeCell ref="B19:C19"/>
    <mergeCell ref="B10:C10"/>
    <mergeCell ref="B11:C11"/>
    <mergeCell ref="B12:C12"/>
    <mergeCell ref="B13:C13"/>
    <mergeCell ref="B16:C16"/>
    <mergeCell ref="B18:C18"/>
    <mergeCell ref="B8:C8"/>
    <mergeCell ref="B2:C2"/>
    <mergeCell ref="B3:C3"/>
    <mergeCell ref="B4:C4"/>
    <mergeCell ref="B5:C5"/>
    <mergeCell ref="B7:C7"/>
  </mergeCells>
  <hyperlinks>
    <hyperlink ref="A2" location="Paramètres!A1" display="Paramétrage du système" xr:uid="{BBC8A613-61B5-4A5C-8539-BACDC2EB90C1}"/>
    <hyperlink ref="A3" location="Recherche!A1" display="Résumé par commune" xr:uid="{914287E3-17F7-433D-B4A0-0185864640C0}"/>
    <hyperlink ref="A4" location="Données!A1" display="Données saisies" xr:uid="{13B56647-1FE3-41F8-B3FD-A2001CD5863F}"/>
    <hyperlink ref="A5" location="VPI!A1" display="Valeur du point d'impôt péréquatif (VPI)" xr:uid="{EF64F556-BDED-4A47-92A9-01649819B5F2}"/>
    <hyperlink ref="A8" location="Ecrêtage!A1" display="Détail écrêtage" xr:uid="{30313161-3EA3-413C-A1FF-1AA5DF37EBA6}"/>
    <hyperlink ref="A11" location="Population!A1" display="Population" xr:uid="{EB7AF72B-EF98-4405-8D9C-5649DEA917C0}"/>
    <hyperlink ref="A12" location="Solidarité!A1" display="Solidarité" xr:uid="{B4DEC7AC-11F5-433C-AAFF-E84C5E8125E3}"/>
    <hyperlink ref="A13" location="DT!A1" display="Dépenses thématiques (DT)" xr:uid="{BC6E28BE-1F7A-44E2-B13B-DF9AFD02365B}"/>
    <hyperlink ref="A14" location="Effort!A1" display="Plafond de l'effort" xr:uid="{E66483E2-EF22-4C79-995E-014AC22AF508}"/>
    <hyperlink ref="B14" location="Aide!A1" display="Plafond de l'aide" xr:uid="{7F6E5FE6-8556-4E3B-AA4A-1A5388348FAA}"/>
    <hyperlink ref="A16" location="'Facture policière'!A1" display="Facture policière" xr:uid="{27A18F56-0333-42B2-B4AC-6E784EE84614}"/>
    <hyperlink ref="A18" location="Synthèse!A1" display="Synthèse" xr:uid="{7FC7A801-78C4-4FE0-81C4-0E3F6B07D24F}"/>
    <hyperlink ref="A19" location="'Décompte vs acomptes'!A1" display="Acomptes vs Décompte" xr:uid="{FD8DF11C-672C-4310-A721-79361D41A756}"/>
    <hyperlink ref="C14" location="Taux!A1" display="Plafond du taux" xr:uid="{BC18F71E-E60D-4300-B8D3-91E894DB1FEB}"/>
    <hyperlink ref="A7" location="PCS!A1" display="Participation à la cohésion sociale (PCS)" xr:uid="{E3489D3D-B727-448F-9585-ADA813A95D36}"/>
    <hyperlink ref="A10" location="'Péréquation directe'!A1" display="Péréquation directe" xr:uid="{5FA54ED3-C648-4139-9448-FE897237670D}"/>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tint="0.59999389629810485"/>
  </sheetPr>
  <dimension ref="A1:L537"/>
  <sheetViews>
    <sheetView zoomScaleNormal="100" workbookViewId="0">
      <pane ySplit="2" topLeftCell="A12" activePane="bottomLeft" state="frozen"/>
      <selection activeCell="C3" sqref="C3:E3"/>
      <selection pane="bottomLeft" activeCell="C3" sqref="C3:E3"/>
    </sheetView>
  </sheetViews>
  <sheetFormatPr baseColWidth="10" defaultColWidth="10.75" defaultRowHeight="15" x14ac:dyDescent="0.25"/>
  <cols>
    <col min="1" max="1" width="66.625" style="88" customWidth="1"/>
    <col min="2" max="2" width="12.5" style="88" bestFit="1" customWidth="1"/>
    <col min="3" max="3" width="13.875" style="88" customWidth="1"/>
    <col min="4" max="4" width="12.125" style="88" customWidth="1"/>
    <col min="5" max="8" width="13.125" style="88" customWidth="1"/>
    <col min="9" max="10" width="12.125" style="88" bestFit="1" customWidth="1"/>
    <col min="11" max="11" width="12" style="88" bestFit="1" customWidth="1"/>
    <col min="12" max="16384" width="10.75" style="88"/>
  </cols>
  <sheetData>
    <row r="1" spans="1:11" ht="26.25" x14ac:dyDescent="0.4">
      <c r="A1" s="275" t="s">
        <v>407</v>
      </c>
      <c r="B1" s="312" t="s">
        <v>405</v>
      </c>
      <c r="C1" s="299" t="s">
        <v>397</v>
      </c>
      <c r="D1" s="312" t="s">
        <v>406</v>
      </c>
      <c r="E1" s="297"/>
    </row>
    <row r="3" spans="1:11" ht="21" customHeight="1" x14ac:dyDescent="0.35">
      <c r="A3" s="103" t="s">
        <v>409</v>
      </c>
      <c r="D3" s="220"/>
      <c r="E3" s="220"/>
      <c r="F3" s="220"/>
      <c r="G3" s="220"/>
      <c r="H3" s="220"/>
      <c r="I3" s="220"/>
      <c r="J3" s="220"/>
    </row>
    <row r="4" spans="1:11" s="220" customFormat="1" ht="14.45" customHeight="1" x14ac:dyDescent="0.25">
      <c r="A4" s="220" t="s">
        <v>445</v>
      </c>
      <c r="B4" s="567" t="s">
        <v>564</v>
      </c>
      <c r="D4" s="609" t="s">
        <v>562</v>
      </c>
      <c r="E4" s="610"/>
      <c r="F4" s="610"/>
      <c r="G4" s="610"/>
      <c r="H4" s="611"/>
      <c r="I4" s="383"/>
      <c r="J4" s="383"/>
      <c r="K4" s="383"/>
    </row>
    <row r="5" spans="1:11" x14ac:dyDescent="0.25">
      <c r="A5" s="88" t="s">
        <v>482</v>
      </c>
      <c r="B5" s="568">
        <v>2022</v>
      </c>
      <c r="C5" s="220"/>
      <c r="D5" s="612"/>
      <c r="E5" s="613"/>
      <c r="F5" s="613"/>
      <c r="G5" s="613"/>
      <c r="H5" s="614"/>
      <c r="I5" s="383"/>
      <c r="J5" s="383"/>
      <c r="K5" s="383"/>
    </row>
    <row r="6" spans="1:11" x14ac:dyDescent="0.25">
      <c r="A6" s="88" t="s">
        <v>481</v>
      </c>
      <c r="B6" s="569">
        <v>43464</v>
      </c>
      <c r="D6" s="612"/>
      <c r="E6" s="613"/>
      <c r="F6" s="613"/>
      <c r="G6" s="613"/>
      <c r="H6" s="614"/>
      <c r="I6" s="383"/>
      <c r="J6" s="383"/>
      <c r="K6" s="383"/>
    </row>
    <row r="7" spans="1:11" s="220" customFormat="1" x14ac:dyDescent="0.25">
      <c r="A7" s="220" t="s">
        <v>480</v>
      </c>
      <c r="B7" s="569" t="s">
        <v>565</v>
      </c>
      <c r="D7" s="612"/>
      <c r="E7" s="613"/>
      <c r="F7" s="613"/>
      <c r="G7" s="613"/>
      <c r="H7" s="614"/>
      <c r="I7" s="383"/>
      <c r="J7" s="383"/>
      <c r="K7" s="383"/>
    </row>
    <row r="8" spans="1:11" s="220" customFormat="1" x14ac:dyDescent="0.25">
      <c r="A8" s="220" t="s">
        <v>479</v>
      </c>
      <c r="B8" s="568">
        <v>2022</v>
      </c>
      <c r="D8" s="612"/>
      <c r="E8" s="613"/>
      <c r="F8" s="613"/>
      <c r="G8" s="613"/>
      <c r="H8" s="614"/>
      <c r="I8" s="383"/>
      <c r="J8" s="383"/>
      <c r="K8" s="383"/>
    </row>
    <row r="9" spans="1:11" s="220" customFormat="1" x14ac:dyDescent="0.25">
      <c r="D9" s="612"/>
      <c r="E9" s="613"/>
      <c r="F9" s="613"/>
      <c r="G9" s="613"/>
      <c r="H9" s="614"/>
      <c r="I9" s="383"/>
      <c r="J9" s="383"/>
      <c r="K9" s="383"/>
    </row>
    <row r="10" spans="1:11" ht="21" x14ac:dyDescent="0.35">
      <c r="A10" s="114" t="s">
        <v>426</v>
      </c>
      <c r="B10" s="221"/>
      <c r="C10" s="220"/>
      <c r="D10" s="612"/>
      <c r="E10" s="613"/>
      <c r="F10" s="613"/>
      <c r="G10" s="613"/>
      <c r="H10" s="614"/>
      <c r="I10" s="383"/>
      <c r="J10" s="383"/>
      <c r="K10" s="383"/>
    </row>
    <row r="11" spans="1:11" s="220" customFormat="1" ht="30" x14ac:dyDescent="0.25">
      <c r="A11" s="564" t="s">
        <v>561</v>
      </c>
      <c r="B11" s="570">
        <v>773083130</v>
      </c>
      <c r="D11" s="612"/>
      <c r="E11" s="613"/>
      <c r="F11" s="613"/>
      <c r="G11" s="613"/>
      <c r="H11" s="614"/>
      <c r="I11" s="383"/>
      <c r="J11" s="383"/>
      <c r="K11" s="383"/>
    </row>
    <row r="12" spans="1:11" s="220" customFormat="1" ht="15" customHeight="1" x14ac:dyDescent="0.25">
      <c r="A12" s="420" t="s">
        <v>560</v>
      </c>
      <c r="B12" s="575">
        <v>15000000</v>
      </c>
      <c r="C12" s="621" t="s">
        <v>569</v>
      </c>
      <c r="D12" s="612"/>
      <c r="E12" s="613"/>
      <c r="F12" s="613"/>
      <c r="G12" s="613"/>
      <c r="H12" s="614"/>
      <c r="I12" s="383"/>
      <c r="J12" s="383"/>
      <c r="K12" s="383"/>
    </row>
    <row r="13" spans="1:11" s="220" customFormat="1" x14ac:dyDescent="0.25">
      <c r="A13" s="420" t="s">
        <v>558</v>
      </c>
      <c r="B13" s="570">
        <v>45000000</v>
      </c>
      <c r="C13" s="622"/>
      <c r="D13" s="612"/>
      <c r="E13" s="613"/>
      <c r="F13" s="613"/>
      <c r="G13" s="613"/>
      <c r="H13" s="614"/>
      <c r="I13" s="383"/>
      <c r="J13" s="383"/>
      <c r="K13" s="383"/>
    </row>
    <row r="14" spans="1:11" s="220" customFormat="1" x14ac:dyDescent="0.25">
      <c r="A14" s="420" t="s">
        <v>566</v>
      </c>
      <c r="B14" s="570">
        <f>60000000-B13-B12</f>
        <v>0</v>
      </c>
      <c r="C14" s="565">
        <f>SUM(B12:B15)</f>
        <v>85000000</v>
      </c>
      <c r="D14" s="612"/>
      <c r="E14" s="613"/>
      <c r="F14" s="613"/>
      <c r="G14" s="613"/>
      <c r="H14" s="614"/>
      <c r="I14" s="383"/>
      <c r="J14" s="383"/>
      <c r="K14" s="383"/>
    </row>
    <row r="15" spans="1:11" s="220" customFormat="1" x14ac:dyDescent="0.25">
      <c r="A15" s="420" t="s">
        <v>490</v>
      </c>
      <c r="B15" s="570">
        <v>25000000</v>
      </c>
      <c r="C15" s="391"/>
      <c r="D15" s="612"/>
      <c r="E15" s="613"/>
      <c r="F15" s="613"/>
      <c r="G15" s="613"/>
      <c r="H15" s="614"/>
      <c r="I15" s="383"/>
      <c r="J15" s="383"/>
      <c r="K15" s="383"/>
    </row>
    <row r="16" spans="1:11" s="220" customFormat="1" x14ac:dyDescent="0.25">
      <c r="A16" s="221" t="s">
        <v>559</v>
      </c>
      <c r="B16" s="63">
        <f>+B11+B13+B14+B15</f>
        <v>843083130</v>
      </c>
      <c r="C16" s="391"/>
      <c r="D16" s="612"/>
      <c r="E16" s="613"/>
      <c r="F16" s="613"/>
      <c r="G16" s="613"/>
      <c r="H16" s="614"/>
      <c r="I16" s="383"/>
      <c r="J16" s="383"/>
      <c r="K16" s="383"/>
    </row>
    <row r="17" spans="1:12" x14ac:dyDescent="0.25">
      <c r="D17" s="612"/>
      <c r="E17" s="613"/>
      <c r="F17" s="613"/>
      <c r="G17" s="613"/>
      <c r="H17" s="614"/>
      <c r="I17" s="383"/>
      <c r="J17" s="383"/>
      <c r="K17" s="383"/>
    </row>
    <row r="18" spans="1:12" ht="21" x14ac:dyDescent="0.35">
      <c r="A18" s="103" t="s">
        <v>451</v>
      </c>
      <c r="C18" s="89"/>
      <c r="D18" s="612"/>
      <c r="E18" s="613"/>
      <c r="F18" s="613"/>
      <c r="G18" s="613"/>
      <c r="H18" s="614"/>
      <c r="I18" s="383"/>
      <c r="J18" s="383"/>
      <c r="K18" s="383"/>
    </row>
    <row r="19" spans="1:12" x14ac:dyDescent="0.25">
      <c r="A19" s="88" t="s">
        <v>452</v>
      </c>
      <c r="B19" s="104">
        <v>0.5</v>
      </c>
      <c r="C19" s="94"/>
      <c r="D19" s="612"/>
      <c r="E19" s="613"/>
      <c r="F19" s="613"/>
      <c r="G19" s="613"/>
      <c r="H19" s="614"/>
      <c r="I19" s="383"/>
      <c r="J19" s="383"/>
      <c r="K19" s="383"/>
    </row>
    <row r="20" spans="1:12" x14ac:dyDescent="0.25">
      <c r="A20" s="88" t="s">
        <v>421</v>
      </c>
      <c r="B20" s="104">
        <v>0.3</v>
      </c>
      <c r="C20" s="95"/>
      <c r="D20" s="615"/>
      <c r="E20" s="616"/>
      <c r="F20" s="616"/>
      <c r="G20" s="616"/>
      <c r="H20" s="617"/>
      <c r="I20" s="383"/>
      <c r="J20" s="383"/>
      <c r="K20" s="383"/>
    </row>
    <row r="21" spans="1:12" x14ac:dyDescent="0.25">
      <c r="D21" s="383"/>
      <c r="E21" s="383"/>
      <c r="F21" s="383"/>
      <c r="G21" s="383"/>
      <c r="H21" s="383"/>
      <c r="I21" s="383"/>
      <c r="J21" s="383"/>
      <c r="K21" s="383"/>
    </row>
    <row r="22" spans="1:12" ht="21" x14ac:dyDescent="0.35">
      <c r="A22" s="103" t="s">
        <v>454</v>
      </c>
      <c r="H22" s="220"/>
      <c r="I22" s="220"/>
      <c r="J22" s="220"/>
      <c r="K22" s="220"/>
    </row>
    <row r="23" spans="1:12" x14ac:dyDescent="0.25">
      <c r="B23" s="96" t="s">
        <v>249</v>
      </c>
      <c r="C23" s="96" t="s">
        <v>250</v>
      </c>
      <c r="D23" s="96" t="s">
        <v>336</v>
      </c>
      <c r="E23" s="96" t="s">
        <v>378</v>
      </c>
      <c r="F23" s="96" t="s">
        <v>379</v>
      </c>
      <c r="H23" s="220"/>
      <c r="I23" s="220"/>
      <c r="J23" s="220"/>
      <c r="K23" s="220"/>
    </row>
    <row r="24" spans="1:12" x14ac:dyDescent="0.25">
      <c r="A24" s="88" t="s">
        <v>453</v>
      </c>
      <c r="B24" s="105">
        <v>0.2</v>
      </c>
      <c r="C24" s="105">
        <v>0.3</v>
      </c>
      <c r="D24" s="105">
        <v>0.4</v>
      </c>
      <c r="E24" s="105">
        <v>0.5</v>
      </c>
      <c r="F24" s="105">
        <v>0.6</v>
      </c>
      <c r="G24" s="202"/>
      <c r="H24" s="220"/>
      <c r="I24" s="220"/>
      <c r="J24" s="220"/>
      <c r="K24" s="220"/>
    </row>
    <row r="25" spans="1:12" x14ac:dyDescent="0.25">
      <c r="A25" s="88" t="s">
        <v>361</v>
      </c>
      <c r="B25" s="105">
        <v>1</v>
      </c>
      <c r="C25" s="105">
        <v>1.2</v>
      </c>
      <c r="D25" s="105">
        <v>1.5</v>
      </c>
      <c r="E25" s="158">
        <v>2</v>
      </c>
      <c r="F25" s="222">
        <v>3</v>
      </c>
      <c r="G25" s="202"/>
      <c r="H25" s="220"/>
      <c r="I25" s="220"/>
      <c r="J25" s="220"/>
      <c r="K25" s="220"/>
    </row>
    <row r="26" spans="1:12" x14ac:dyDescent="0.25">
      <c r="F26" s="89"/>
      <c r="I26" s="89"/>
      <c r="J26" s="89"/>
      <c r="K26" s="89"/>
      <c r="L26" s="89"/>
    </row>
    <row r="27" spans="1:12" ht="21" x14ac:dyDescent="0.35">
      <c r="A27" s="103" t="s">
        <v>455</v>
      </c>
      <c r="B27" s="89"/>
      <c r="C27" s="89"/>
      <c r="D27" s="89"/>
      <c r="E27" s="97"/>
      <c r="F27" s="90"/>
      <c r="I27" s="89"/>
      <c r="J27" s="221"/>
      <c r="K27" s="221"/>
      <c r="L27" s="91"/>
    </row>
    <row r="28" spans="1:12" x14ac:dyDescent="0.25">
      <c r="A28" s="107" t="s">
        <v>456</v>
      </c>
      <c r="B28" s="109">
        <v>0</v>
      </c>
      <c r="C28" s="109">
        <v>1000</v>
      </c>
      <c r="D28" s="109">
        <v>3000</v>
      </c>
      <c r="E28" s="109">
        <v>5000</v>
      </c>
      <c r="F28" s="109">
        <v>9000</v>
      </c>
      <c r="G28" s="109">
        <v>12000</v>
      </c>
      <c r="H28" s="109">
        <v>15000</v>
      </c>
      <c r="I28" s="98"/>
      <c r="J28" s="221"/>
      <c r="K28" s="221"/>
      <c r="L28" s="89"/>
    </row>
    <row r="29" spans="1:12" ht="15" customHeight="1" x14ac:dyDescent="0.25">
      <c r="A29" s="107"/>
      <c r="B29" s="109">
        <v>1000</v>
      </c>
      <c r="C29" s="109">
        <v>3000</v>
      </c>
      <c r="D29" s="109">
        <v>5000</v>
      </c>
      <c r="E29" s="109">
        <v>9000</v>
      </c>
      <c r="F29" s="109">
        <v>12000</v>
      </c>
      <c r="G29" s="109">
        <v>15000</v>
      </c>
      <c r="H29" s="109"/>
      <c r="I29" s="98"/>
      <c r="J29" s="221"/>
      <c r="K29" s="221"/>
      <c r="L29" s="89"/>
    </row>
    <row r="30" spans="1:12" x14ac:dyDescent="0.25">
      <c r="A30" s="108" t="s">
        <v>362</v>
      </c>
      <c r="B30" s="143">
        <v>125</v>
      </c>
      <c r="C30" s="143">
        <v>350</v>
      </c>
      <c r="D30" s="143">
        <v>500</v>
      </c>
      <c r="E30" s="143">
        <v>600</v>
      </c>
      <c r="F30" s="143">
        <v>850</v>
      </c>
      <c r="G30" s="143">
        <v>1000</v>
      </c>
      <c r="H30" s="143">
        <v>1050</v>
      </c>
      <c r="I30" s="99"/>
      <c r="J30" s="221"/>
      <c r="K30" s="221"/>
      <c r="L30" s="89"/>
    </row>
    <row r="31" spans="1:12" x14ac:dyDescent="0.25">
      <c r="A31" s="89" t="s">
        <v>354</v>
      </c>
      <c r="B31" s="156">
        <v>99.4</v>
      </c>
      <c r="C31" s="106"/>
      <c r="D31" s="106"/>
      <c r="E31" s="106"/>
      <c r="F31" s="106"/>
      <c r="G31" s="106"/>
      <c r="H31" s="106"/>
      <c r="I31" s="89"/>
      <c r="J31" s="221"/>
      <c r="K31" s="221"/>
      <c r="L31" s="89"/>
    </row>
    <row r="32" spans="1:12" s="363" customFormat="1" x14ac:dyDescent="0.2">
      <c r="A32" s="361" t="str">
        <f>CONCATENATE("Indice IPC au 30 juin ",B5)</f>
        <v>Indice IPC au 30 juin 2022</v>
      </c>
      <c r="B32" s="587">
        <v>102.6</v>
      </c>
      <c r="C32" s="555"/>
      <c r="D32" s="362"/>
      <c r="E32" s="362"/>
      <c r="F32" s="362"/>
      <c r="G32" s="362"/>
      <c r="H32" s="362"/>
      <c r="I32" s="362"/>
      <c r="J32" s="362"/>
      <c r="K32" s="362"/>
      <c r="L32" s="362"/>
    </row>
    <row r="33" spans="1:12" x14ac:dyDescent="0.25">
      <c r="A33" s="89" t="s">
        <v>355</v>
      </c>
      <c r="B33" s="157">
        <f>+B30/$B$31*$B$32</f>
        <v>129.02414486921526</v>
      </c>
      <c r="C33" s="101">
        <f t="shared" ref="C33:H33" si="0">+C30/$B$31*$B$32</f>
        <v>361.26760563380276</v>
      </c>
      <c r="D33" s="101">
        <f t="shared" si="0"/>
        <v>516.09657947686105</v>
      </c>
      <c r="E33" s="101">
        <f t="shared" si="0"/>
        <v>619.31589537223329</v>
      </c>
      <c r="F33" s="101">
        <f t="shared" si="0"/>
        <v>877.36418511066393</v>
      </c>
      <c r="G33" s="101">
        <f t="shared" si="0"/>
        <v>1032.1931589537221</v>
      </c>
      <c r="H33" s="101">
        <f t="shared" si="0"/>
        <v>1083.8028169014083</v>
      </c>
      <c r="I33" s="89"/>
      <c r="J33" s="89"/>
      <c r="K33" s="89"/>
      <c r="L33" s="89"/>
    </row>
    <row r="35" spans="1:12" ht="21" x14ac:dyDescent="0.35">
      <c r="A35" s="103" t="s">
        <v>457</v>
      </c>
    </row>
    <row r="36" spans="1:12" x14ac:dyDescent="0.25">
      <c r="A36" s="220" t="s">
        <v>458</v>
      </c>
      <c r="B36" s="110">
        <v>0.27</v>
      </c>
    </row>
    <row r="37" spans="1:12" s="220" customFormat="1" x14ac:dyDescent="0.25"/>
    <row r="38" spans="1:12" ht="21" x14ac:dyDescent="0.35">
      <c r="A38" s="103" t="s">
        <v>461</v>
      </c>
      <c r="G38" s="92"/>
      <c r="H38" s="93"/>
      <c r="L38" s="92"/>
    </row>
    <row r="39" spans="1:12" x14ac:dyDescent="0.25">
      <c r="A39" s="102"/>
      <c r="B39" s="112" t="s">
        <v>311</v>
      </c>
      <c r="C39" s="112" t="s">
        <v>518</v>
      </c>
      <c r="E39" s="100" t="s">
        <v>466</v>
      </c>
      <c r="F39" s="100"/>
      <c r="G39" s="180">
        <v>4.5</v>
      </c>
      <c r="H39" s="167">
        <v>0.75</v>
      </c>
      <c r="I39" s="618" t="s">
        <v>464</v>
      </c>
      <c r="J39" s="619"/>
      <c r="K39" s="63">
        <f>DT!G306+DT!L306</f>
        <v>0</v>
      </c>
    </row>
    <row r="40" spans="1:12" x14ac:dyDescent="0.25">
      <c r="A40" s="220" t="s">
        <v>463</v>
      </c>
      <c r="B40" s="111">
        <v>8</v>
      </c>
      <c r="C40" s="96">
        <f>+H40</f>
        <v>0.75</v>
      </c>
      <c r="E40" s="100" t="s">
        <v>363</v>
      </c>
      <c r="F40" s="100"/>
      <c r="G40" s="113">
        <f>G39*H46</f>
        <v>181219144.96818218</v>
      </c>
      <c r="H40" s="155">
        <f>(IF(G40&gt;K40,H39,H39/K40*G40))</f>
        <v>0.75</v>
      </c>
      <c r="I40" s="618" t="s">
        <v>465</v>
      </c>
      <c r="J40" s="619"/>
      <c r="K40" s="63">
        <f>K39*H39</f>
        <v>0</v>
      </c>
    </row>
    <row r="41" spans="1:12" x14ac:dyDescent="0.25">
      <c r="A41" s="88" t="s">
        <v>462</v>
      </c>
      <c r="B41" s="111">
        <v>1</v>
      </c>
      <c r="C41" s="96">
        <f>+H40</f>
        <v>0.75</v>
      </c>
      <c r="K41" s="210"/>
    </row>
    <row r="43" spans="1:12" ht="21" x14ac:dyDescent="0.35">
      <c r="A43" s="103" t="s">
        <v>470</v>
      </c>
      <c r="H43" s="200"/>
    </row>
    <row r="44" spans="1:12" x14ac:dyDescent="0.25">
      <c r="A44" s="88" t="s">
        <v>468</v>
      </c>
      <c r="B44" s="527">
        <v>48</v>
      </c>
      <c r="C44" s="390" t="s">
        <v>469</v>
      </c>
    </row>
    <row r="45" spans="1:12" x14ac:dyDescent="0.25">
      <c r="A45" s="88" t="s">
        <v>467</v>
      </c>
      <c r="B45" s="527">
        <v>8</v>
      </c>
      <c r="C45" s="212"/>
      <c r="E45" s="178"/>
      <c r="I45" s="618" t="str">
        <f>CONCATENATE("PCS selon ",B7)</f>
        <v>PCS selon Comptes 2022</v>
      </c>
      <c r="J45" s="619"/>
      <c r="K45" s="63">
        <f>+B11</f>
        <v>773083130</v>
      </c>
    </row>
    <row r="46" spans="1:12" x14ac:dyDescent="0.25">
      <c r="A46" s="88" t="s">
        <v>474</v>
      </c>
      <c r="B46" s="574">
        <v>93.882000000000005</v>
      </c>
      <c r="E46" s="618" t="str">
        <f>CONCATENATE("Valeur du point ",B4)</f>
        <v>Valeur du point Décompte 2022</v>
      </c>
      <c r="F46" s="620"/>
      <c r="G46" s="619"/>
      <c r="H46" s="63">
        <f>VPI!R306</f>
        <v>40270921.104040481</v>
      </c>
      <c r="I46" s="618" t="s">
        <v>476</v>
      </c>
      <c r="J46" s="619"/>
      <c r="K46" s="566">
        <v>795342044</v>
      </c>
    </row>
    <row r="47" spans="1:12" x14ac:dyDescent="0.25">
      <c r="A47" s="88" t="s">
        <v>377</v>
      </c>
      <c r="B47" s="526">
        <f>B46+K47</f>
        <v>93.882000000000005</v>
      </c>
      <c r="E47" s="618" t="s">
        <v>475</v>
      </c>
      <c r="F47" s="620"/>
      <c r="G47" s="619"/>
      <c r="H47" s="566">
        <v>39865815</v>
      </c>
      <c r="I47" s="618" t="s">
        <v>473</v>
      </c>
      <c r="J47" s="619"/>
      <c r="K47" s="100">
        <f>IF((K45/K46)&gt;(H46/H47),(K45-K46)/H46,0)</f>
        <v>0</v>
      </c>
    </row>
    <row r="48" spans="1:12" x14ac:dyDescent="0.25">
      <c r="A48" s="220"/>
      <c r="E48" s="623"/>
      <c r="F48" s="623"/>
      <c r="G48" s="623"/>
    </row>
    <row r="49" spans="1:12" ht="21" x14ac:dyDescent="0.35">
      <c r="A49" s="103" t="s">
        <v>460</v>
      </c>
      <c r="B49" s="365" t="s">
        <v>472</v>
      </c>
      <c r="C49" s="516" t="s">
        <v>488</v>
      </c>
      <c r="D49" s="365" t="s">
        <v>471</v>
      </c>
    </row>
    <row r="50" spans="1:12" x14ac:dyDescent="0.25">
      <c r="A50" s="88" t="s">
        <v>555</v>
      </c>
      <c r="B50" s="566">
        <v>9894424.2643510215</v>
      </c>
      <c r="C50" s="389">
        <f>D50-B50</f>
        <v>0</v>
      </c>
      <c r="D50" s="63">
        <f>'Péréquation directe'!H312</f>
        <v>9894424.264351014</v>
      </c>
      <c r="L50" s="92"/>
    </row>
    <row r="51" spans="1:12" x14ac:dyDescent="0.25">
      <c r="A51" s="88" t="s">
        <v>459</v>
      </c>
      <c r="B51" s="138">
        <v>450000</v>
      </c>
      <c r="C51" s="414" t="s">
        <v>500</v>
      </c>
      <c r="D51" s="92"/>
      <c r="L51" s="92"/>
    </row>
    <row r="52" spans="1:12" s="220" customFormat="1" x14ac:dyDescent="0.25">
      <c r="B52" s="366"/>
    </row>
    <row r="53" spans="1:12" ht="21" x14ac:dyDescent="0.35">
      <c r="A53" s="114" t="s">
        <v>410</v>
      </c>
      <c r="B53" s="89"/>
      <c r="C53" s="89"/>
      <c r="D53" s="142"/>
      <c r="F53" s="142"/>
      <c r="G53" s="209"/>
      <c r="H53" s="116"/>
    </row>
    <row r="54" spans="1:12" s="220" customFormat="1" x14ac:dyDescent="0.25">
      <c r="A54" s="221" t="s">
        <v>477</v>
      </c>
      <c r="B54" s="63">
        <v>62118300</v>
      </c>
      <c r="C54" s="221"/>
      <c r="D54" s="142"/>
      <c r="F54" s="142"/>
      <c r="G54" s="209"/>
      <c r="H54" s="116"/>
    </row>
    <row r="55" spans="1:12" s="220" customFormat="1" x14ac:dyDescent="0.25">
      <c r="A55" s="221" t="s">
        <v>478</v>
      </c>
      <c r="B55" s="367">
        <v>1.4999999999999999E-2</v>
      </c>
      <c r="C55" s="221"/>
      <c r="D55" s="142"/>
      <c r="F55" s="142"/>
      <c r="G55" s="209"/>
      <c r="H55" s="116"/>
    </row>
    <row r="56" spans="1:12" x14ac:dyDescent="0.25">
      <c r="A56" s="89" t="str">
        <f>CONCATENATE("Montant de la facture ",B8)</f>
        <v>Montant de la facture 2022</v>
      </c>
      <c r="B56" s="63">
        <f>ROUND((B54*(1+B55)^(B8-2013)),0)</f>
        <v>71025442</v>
      </c>
      <c r="C56" s="89"/>
      <c r="D56" s="142"/>
      <c r="E56" s="89"/>
      <c r="F56" s="142"/>
      <c r="G56" s="209"/>
      <c r="H56" s="116"/>
    </row>
    <row r="57" spans="1:12" x14ac:dyDescent="0.25">
      <c r="A57" s="89"/>
      <c r="B57" s="368"/>
      <c r="C57" s="89"/>
      <c r="D57" s="142"/>
      <c r="E57" s="89"/>
      <c r="F57" s="142"/>
      <c r="G57" s="209"/>
      <c r="H57" s="116"/>
    </row>
    <row r="58" spans="1:12" x14ac:dyDescent="0.25">
      <c r="F58" s="142"/>
      <c r="G58" s="209"/>
      <c r="H58" s="116"/>
      <c r="I58" s="220"/>
      <c r="J58" s="220"/>
      <c r="K58" s="220"/>
    </row>
    <row r="59" spans="1:12" x14ac:dyDescent="0.25">
      <c r="F59" s="142"/>
    </row>
    <row r="60" spans="1:12" x14ac:dyDescent="0.25">
      <c r="A60" s="221"/>
      <c r="B60" s="221"/>
      <c r="F60" s="142"/>
    </row>
    <row r="61" spans="1:12" ht="21" x14ac:dyDescent="0.35">
      <c r="A61" s="114" t="s">
        <v>366</v>
      </c>
      <c r="F61" s="142"/>
    </row>
    <row r="62" spans="1:12" x14ac:dyDescent="0.25">
      <c r="A62" s="88" t="s">
        <v>333</v>
      </c>
      <c r="B62" s="88">
        <v>5621</v>
      </c>
      <c r="F62" s="142"/>
    </row>
    <row r="63" spans="1:12" x14ac:dyDescent="0.25">
      <c r="A63" s="88" t="s">
        <v>276</v>
      </c>
      <c r="B63" s="88">
        <v>5742</v>
      </c>
      <c r="F63" s="142"/>
    </row>
    <row r="64" spans="1:12" x14ac:dyDescent="0.25">
      <c r="A64" s="88" t="s">
        <v>224</v>
      </c>
      <c r="B64" s="88">
        <v>5401</v>
      </c>
      <c r="F64" s="142"/>
    </row>
    <row r="65" spans="1:2" x14ac:dyDescent="0.25">
      <c r="A65" s="88" t="s">
        <v>15</v>
      </c>
      <c r="B65" s="88">
        <v>5851</v>
      </c>
    </row>
    <row r="66" spans="1:2" x14ac:dyDescent="0.25">
      <c r="A66" s="88" t="s">
        <v>98</v>
      </c>
      <c r="B66" s="88">
        <v>5701</v>
      </c>
    </row>
    <row r="67" spans="1:2" x14ac:dyDescent="0.25">
      <c r="A67" s="88" t="s">
        <v>226</v>
      </c>
      <c r="B67" s="88">
        <v>5743</v>
      </c>
    </row>
    <row r="68" spans="1:2" x14ac:dyDescent="0.25">
      <c r="A68" s="88" t="s">
        <v>352</v>
      </c>
      <c r="B68" s="88">
        <v>5702</v>
      </c>
    </row>
    <row r="69" spans="1:2" x14ac:dyDescent="0.25">
      <c r="A69" s="88" t="s">
        <v>157</v>
      </c>
      <c r="B69" s="88">
        <v>5511</v>
      </c>
    </row>
    <row r="70" spans="1:2" x14ac:dyDescent="0.25">
      <c r="A70" s="88" t="s">
        <v>67</v>
      </c>
      <c r="B70" s="88">
        <v>5422</v>
      </c>
    </row>
    <row r="71" spans="1:2" x14ac:dyDescent="0.25">
      <c r="A71" s="88" t="s">
        <v>294</v>
      </c>
      <c r="B71" s="88">
        <v>5451</v>
      </c>
    </row>
    <row r="72" spans="1:2" x14ac:dyDescent="0.25">
      <c r="A72" s="88" t="s">
        <v>227</v>
      </c>
      <c r="B72" s="88">
        <v>5744</v>
      </c>
    </row>
    <row r="73" spans="1:2" x14ac:dyDescent="0.25">
      <c r="A73" s="88" t="s">
        <v>68</v>
      </c>
      <c r="B73" s="88">
        <v>5423</v>
      </c>
    </row>
    <row r="74" spans="1:2" x14ac:dyDescent="0.25">
      <c r="A74" s="88" t="s">
        <v>99</v>
      </c>
      <c r="B74" s="88">
        <v>5703</v>
      </c>
    </row>
    <row r="75" spans="1:2" x14ac:dyDescent="0.25">
      <c r="A75" s="88" t="s">
        <v>228</v>
      </c>
      <c r="B75" s="88">
        <v>5745</v>
      </c>
    </row>
    <row r="76" spans="1:2" x14ac:dyDescent="0.25">
      <c r="A76" s="88" t="s">
        <v>229</v>
      </c>
      <c r="B76" s="88">
        <v>5746</v>
      </c>
    </row>
    <row r="77" spans="1:2" x14ac:dyDescent="0.25">
      <c r="A77" s="88" t="s">
        <v>195</v>
      </c>
      <c r="B77" s="88">
        <v>5704</v>
      </c>
    </row>
    <row r="78" spans="1:2" x14ac:dyDescent="0.25">
      <c r="A78" s="88" t="s">
        <v>317</v>
      </c>
      <c r="B78" s="88">
        <v>5581</v>
      </c>
    </row>
    <row r="79" spans="1:2" x14ac:dyDescent="0.25">
      <c r="A79" s="88" t="s">
        <v>51</v>
      </c>
      <c r="B79" s="88">
        <v>5902</v>
      </c>
    </row>
    <row r="80" spans="1:2" x14ac:dyDescent="0.25">
      <c r="A80" s="88" t="s">
        <v>158</v>
      </c>
      <c r="B80" s="88">
        <v>5512</v>
      </c>
    </row>
    <row r="81" spans="1:2" x14ac:dyDescent="0.25">
      <c r="A81" s="88" t="s">
        <v>69</v>
      </c>
      <c r="B81" s="88">
        <v>5424</v>
      </c>
    </row>
    <row r="82" spans="1:2" x14ac:dyDescent="0.25">
      <c r="A82" s="88" t="s">
        <v>297</v>
      </c>
      <c r="B82" s="88">
        <v>5471</v>
      </c>
    </row>
    <row r="83" spans="1:2" x14ac:dyDescent="0.25">
      <c r="A83" s="88" t="s">
        <v>225</v>
      </c>
      <c r="B83" s="88">
        <v>5402</v>
      </c>
    </row>
    <row r="84" spans="1:2" x14ac:dyDescent="0.25">
      <c r="A84" s="88" t="s">
        <v>70</v>
      </c>
      <c r="B84" s="88">
        <v>5425</v>
      </c>
    </row>
    <row r="85" spans="1:2" x14ac:dyDescent="0.25">
      <c r="A85" s="88" t="s">
        <v>52</v>
      </c>
      <c r="B85" s="88">
        <v>5903</v>
      </c>
    </row>
    <row r="86" spans="1:2" x14ac:dyDescent="0.25">
      <c r="A86" s="88" t="s">
        <v>557</v>
      </c>
      <c r="B86" s="88">
        <v>5892</v>
      </c>
    </row>
    <row r="87" spans="1:2" x14ac:dyDescent="0.25">
      <c r="A87" s="88" t="s">
        <v>230</v>
      </c>
      <c r="B87" s="88">
        <v>5747</v>
      </c>
    </row>
    <row r="88" spans="1:2" x14ac:dyDescent="0.25">
      <c r="A88" s="88" t="s">
        <v>196</v>
      </c>
      <c r="B88" s="88">
        <v>5705</v>
      </c>
    </row>
    <row r="89" spans="1:2" x14ac:dyDescent="0.25">
      <c r="A89" s="88" t="s">
        <v>32</v>
      </c>
      <c r="B89" s="88">
        <v>5551</v>
      </c>
    </row>
    <row r="90" spans="1:2" x14ac:dyDescent="0.25">
      <c r="A90" s="88" t="s">
        <v>197</v>
      </c>
      <c r="B90" s="88">
        <v>5706</v>
      </c>
    </row>
    <row r="91" spans="1:2" x14ac:dyDescent="0.25">
      <c r="A91" s="88" t="s">
        <v>159</v>
      </c>
      <c r="B91" s="88">
        <v>5514</v>
      </c>
    </row>
    <row r="92" spans="1:2" x14ac:dyDescent="0.25">
      <c r="A92" s="88" t="s">
        <v>65</v>
      </c>
      <c r="B92" s="88">
        <v>5426</v>
      </c>
    </row>
    <row r="93" spans="1:2" x14ac:dyDescent="0.25">
      <c r="A93" s="88" t="s">
        <v>182</v>
      </c>
      <c r="B93" s="88">
        <v>5661</v>
      </c>
    </row>
    <row r="94" spans="1:2" x14ac:dyDescent="0.25">
      <c r="A94" s="88" t="s">
        <v>342</v>
      </c>
      <c r="B94" s="88">
        <v>5613</v>
      </c>
    </row>
    <row r="95" spans="1:2" x14ac:dyDescent="0.25">
      <c r="A95" s="88" t="s">
        <v>298</v>
      </c>
      <c r="B95" s="88">
        <v>5472</v>
      </c>
    </row>
    <row r="96" spans="1:2" x14ac:dyDescent="0.25">
      <c r="A96" s="88" t="s">
        <v>188</v>
      </c>
      <c r="B96" s="88">
        <v>5473</v>
      </c>
    </row>
    <row r="97" spans="1:2" x14ac:dyDescent="0.25">
      <c r="A97" s="88" t="s">
        <v>130</v>
      </c>
      <c r="B97" s="88">
        <v>5622</v>
      </c>
    </row>
    <row r="98" spans="1:2" x14ac:dyDescent="0.25">
      <c r="A98" s="88" t="s">
        <v>160</v>
      </c>
      <c r="B98" s="88">
        <v>5515</v>
      </c>
    </row>
    <row r="99" spans="1:2" x14ac:dyDescent="0.25">
      <c r="A99" s="88" t="s">
        <v>231</v>
      </c>
      <c r="B99" s="88">
        <v>5748</v>
      </c>
    </row>
    <row r="100" spans="1:2" x14ac:dyDescent="0.25">
      <c r="A100" s="88" t="s">
        <v>131</v>
      </c>
      <c r="B100" s="88">
        <v>5623</v>
      </c>
    </row>
    <row r="101" spans="1:2" x14ac:dyDescent="0.25">
      <c r="A101" s="88" t="s">
        <v>33</v>
      </c>
      <c r="B101" s="88">
        <v>5552</v>
      </c>
    </row>
    <row r="102" spans="1:2" x14ac:dyDescent="0.25">
      <c r="A102" s="88" t="s">
        <v>16</v>
      </c>
      <c r="B102" s="88">
        <v>5852</v>
      </c>
    </row>
    <row r="103" spans="1:2" x14ac:dyDescent="0.25">
      <c r="A103" s="88" t="s">
        <v>17</v>
      </c>
      <c r="B103" s="88">
        <v>5853</v>
      </c>
    </row>
    <row r="104" spans="1:2" x14ac:dyDescent="0.25">
      <c r="A104" s="88" t="s">
        <v>18</v>
      </c>
      <c r="B104" s="88">
        <v>5854</v>
      </c>
    </row>
    <row r="105" spans="1:2" x14ac:dyDescent="0.25">
      <c r="A105" s="88" t="s">
        <v>351</v>
      </c>
      <c r="B105" s="88">
        <v>5624</v>
      </c>
    </row>
    <row r="106" spans="1:2" x14ac:dyDescent="0.25">
      <c r="A106" s="88" t="s">
        <v>183</v>
      </c>
      <c r="B106" s="88">
        <v>5663</v>
      </c>
    </row>
    <row r="107" spans="1:2" x14ac:dyDescent="0.25">
      <c r="A107" s="88" t="s">
        <v>53</v>
      </c>
      <c r="B107" s="88">
        <v>5904</v>
      </c>
    </row>
    <row r="108" spans="1:2" x14ac:dyDescent="0.25">
      <c r="A108" s="88" t="s">
        <v>34</v>
      </c>
      <c r="B108" s="88">
        <v>5553</v>
      </c>
    </row>
    <row r="109" spans="1:2" x14ac:dyDescent="0.25">
      <c r="A109" s="88" t="s">
        <v>315</v>
      </c>
      <c r="B109" s="88">
        <v>5812</v>
      </c>
    </row>
    <row r="110" spans="1:2" x14ac:dyDescent="0.25">
      <c r="A110" s="88" t="s">
        <v>54</v>
      </c>
      <c r="B110" s="88">
        <v>5905</v>
      </c>
    </row>
    <row r="111" spans="1:2" x14ac:dyDescent="0.25">
      <c r="A111" s="88" t="s">
        <v>186</v>
      </c>
      <c r="B111" s="88">
        <v>5882</v>
      </c>
    </row>
    <row r="112" spans="1:2" x14ac:dyDescent="0.25">
      <c r="A112" s="88" t="s">
        <v>12</v>
      </c>
      <c r="B112" s="88">
        <v>5841</v>
      </c>
    </row>
    <row r="113" spans="1:2" x14ac:dyDescent="0.25">
      <c r="A113" s="88" t="s">
        <v>198</v>
      </c>
      <c r="B113" s="88">
        <v>5707</v>
      </c>
    </row>
    <row r="114" spans="1:2" x14ac:dyDescent="0.25">
      <c r="A114" s="88" t="s">
        <v>199</v>
      </c>
      <c r="B114" s="88">
        <v>5708</v>
      </c>
    </row>
    <row r="115" spans="1:2" x14ac:dyDescent="0.25">
      <c r="A115" s="88" t="s">
        <v>55</v>
      </c>
      <c r="B115" s="88">
        <v>5907</v>
      </c>
    </row>
    <row r="116" spans="1:2" x14ac:dyDescent="0.25">
      <c r="A116" s="88" t="s">
        <v>306</v>
      </c>
      <c r="B116" s="88">
        <v>5475</v>
      </c>
    </row>
    <row r="117" spans="1:2" x14ac:dyDescent="0.25">
      <c r="A117" s="88" t="s">
        <v>220</v>
      </c>
      <c r="B117" s="88">
        <v>5627</v>
      </c>
    </row>
    <row r="118" spans="1:2" x14ac:dyDescent="0.25">
      <c r="A118" s="88" t="s">
        <v>85</v>
      </c>
      <c r="B118" s="88">
        <v>5665</v>
      </c>
    </row>
    <row r="119" spans="1:2" x14ac:dyDescent="0.25">
      <c r="A119" s="88" t="s">
        <v>232</v>
      </c>
      <c r="B119" s="88">
        <v>5749</v>
      </c>
    </row>
    <row r="120" spans="1:2" x14ac:dyDescent="0.25">
      <c r="A120" s="88" t="s">
        <v>56</v>
      </c>
      <c r="B120" s="88">
        <v>5908</v>
      </c>
    </row>
    <row r="121" spans="1:2" x14ac:dyDescent="0.25">
      <c r="A121" s="88" t="s">
        <v>57</v>
      </c>
      <c r="B121" s="88">
        <v>5909</v>
      </c>
    </row>
    <row r="122" spans="1:2" x14ac:dyDescent="0.25">
      <c r="A122" s="88" t="s">
        <v>318</v>
      </c>
      <c r="B122" s="88">
        <v>5582</v>
      </c>
    </row>
    <row r="123" spans="1:2" x14ac:dyDescent="0.25">
      <c r="A123" s="88" t="s">
        <v>200</v>
      </c>
      <c r="B123" s="88">
        <v>5709</v>
      </c>
    </row>
    <row r="124" spans="1:2" x14ac:dyDescent="0.25">
      <c r="A124" s="88" t="s">
        <v>100</v>
      </c>
      <c r="B124" s="88">
        <v>5403</v>
      </c>
    </row>
    <row r="125" spans="1:2" x14ac:dyDescent="0.25">
      <c r="A125" s="88" t="s">
        <v>307</v>
      </c>
      <c r="B125" s="88">
        <v>5476</v>
      </c>
    </row>
    <row r="126" spans="1:2" x14ac:dyDescent="0.25">
      <c r="A126" s="88" t="s">
        <v>316</v>
      </c>
      <c r="B126" s="88">
        <v>5813</v>
      </c>
    </row>
    <row r="127" spans="1:2" x14ac:dyDescent="0.25">
      <c r="A127" s="88" t="s">
        <v>253</v>
      </c>
      <c r="B127" s="88">
        <v>5601</v>
      </c>
    </row>
    <row r="128" spans="1:2" x14ac:dyDescent="0.25">
      <c r="A128" s="88" t="s">
        <v>221</v>
      </c>
      <c r="B128" s="88">
        <v>5628</v>
      </c>
    </row>
    <row r="129" spans="1:2" x14ac:dyDescent="0.25">
      <c r="A129" s="88" t="s">
        <v>134</v>
      </c>
      <c r="B129" s="88">
        <v>5629</v>
      </c>
    </row>
    <row r="130" spans="1:2" x14ac:dyDescent="0.25">
      <c r="A130" s="88" t="s">
        <v>201</v>
      </c>
      <c r="B130" s="88">
        <v>5710</v>
      </c>
    </row>
    <row r="131" spans="1:2" x14ac:dyDescent="0.25">
      <c r="A131" s="88" t="s">
        <v>202</v>
      </c>
      <c r="B131" s="88">
        <v>5711</v>
      </c>
    </row>
    <row r="132" spans="1:2" x14ac:dyDescent="0.25">
      <c r="A132" s="88" t="s">
        <v>35</v>
      </c>
      <c r="B132" s="88">
        <v>5554</v>
      </c>
    </row>
    <row r="133" spans="1:2" x14ac:dyDescent="0.25">
      <c r="A133" s="88" t="s">
        <v>203</v>
      </c>
      <c r="B133" s="88">
        <v>5712</v>
      </c>
    </row>
    <row r="134" spans="1:2" x14ac:dyDescent="0.25">
      <c r="A134" s="88" t="s">
        <v>101</v>
      </c>
      <c r="B134" s="88">
        <v>5404</v>
      </c>
    </row>
    <row r="135" spans="1:2" x14ac:dyDescent="0.25">
      <c r="A135" s="88" t="s">
        <v>239</v>
      </c>
      <c r="B135" s="88">
        <v>5785</v>
      </c>
    </row>
    <row r="136" spans="1:2" x14ac:dyDescent="0.25">
      <c r="A136" s="88" t="s">
        <v>36</v>
      </c>
      <c r="B136" s="88">
        <v>5555</v>
      </c>
    </row>
    <row r="137" spans="1:2" x14ac:dyDescent="0.25">
      <c r="A137" s="88" t="s">
        <v>5</v>
      </c>
      <c r="B137" s="88">
        <v>5816</v>
      </c>
    </row>
    <row r="138" spans="1:2" x14ac:dyDescent="0.25">
      <c r="A138" s="88" t="s">
        <v>187</v>
      </c>
      <c r="B138" s="88">
        <v>5883</v>
      </c>
    </row>
    <row r="139" spans="1:2" x14ac:dyDescent="0.25">
      <c r="A139" s="88" t="s">
        <v>45</v>
      </c>
      <c r="B139" s="88">
        <v>5884</v>
      </c>
    </row>
    <row r="140" spans="1:2" x14ac:dyDescent="0.25">
      <c r="A140" s="88" t="s">
        <v>308</v>
      </c>
      <c r="B140" s="88">
        <v>5477</v>
      </c>
    </row>
    <row r="141" spans="1:2" x14ac:dyDescent="0.25">
      <c r="A141" s="88" t="s">
        <v>556</v>
      </c>
      <c r="B141" s="88">
        <v>5713</v>
      </c>
    </row>
    <row r="142" spans="1:2" x14ac:dyDescent="0.25">
      <c r="A142" s="88" t="s">
        <v>204</v>
      </c>
      <c r="B142" s="88">
        <v>5714</v>
      </c>
    </row>
    <row r="143" spans="1:2" x14ac:dyDescent="0.25">
      <c r="A143" s="88" t="s">
        <v>319</v>
      </c>
      <c r="B143" s="88">
        <v>5583</v>
      </c>
    </row>
    <row r="144" spans="1:2" x14ac:dyDescent="0.25">
      <c r="A144" s="88" t="s">
        <v>58</v>
      </c>
      <c r="B144" s="88">
        <v>5910</v>
      </c>
    </row>
    <row r="145" spans="1:2" x14ac:dyDescent="0.25">
      <c r="A145" s="88" t="s">
        <v>280</v>
      </c>
      <c r="B145" s="88">
        <v>5752</v>
      </c>
    </row>
    <row r="146" spans="1:2" x14ac:dyDescent="0.25">
      <c r="A146" s="88" t="s">
        <v>214</v>
      </c>
      <c r="B146" s="88">
        <v>5479</v>
      </c>
    </row>
    <row r="147" spans="1:2" x14ac:dyDescent="0.25">
      <c r="A147" s="88" t="s">
        <v>59</v>
      </c>
      <c r="B147" s="88">
        <v>5911</v>
      </c>
    </row>
    <row r="148" spans="1:2" x14ac:dyDescent="0.25">
      <c r="A148" s="88" t="s">
        <v>295</v>
      </c>
      <c r="B148" s="88">
        <v>5456</v>
      </c>
    </row>
    <row r="149" spans="1:2" x14ac:dyDescent="0.25">
      <c r="A149" s="88" t="s">
        <v>161</v>
      </c>
      <c r="B149" s="88">
        <v>5516</v>
      </c>
    </row>
    <row r="150" spans="1:2" x14ac:dyDescent="0.25">
      <c r="A150" s="88" t="s">
        <v>86</v>
      </c>
      <c r="B150" s="88">
        <v>5669</v>
      </c>
    </row>
    <row r="151" spans="1:2" x14ac:dyDescent="0.25">
      <c r="A151" s="88" t="s">
        <v>215</v>
      </c>
      <c r="B151" s="88">
        <v>5480</v>
      </c>
    </row>
    <row r="152" spans="1:2" x14ac:dyDescent="0.25">
      <c r="A152" s="88" t="s">
        <v>60</v>
      </c>
      <c r="B152" s="88">
        <v>5912</v>
      </c>
    </row>
    <row r="153" spans="1:2" x14ac:dyDescent="0.25">
      <c r="A153" s="88" t="s">
        <v>135</v>
      </c>
      <c r="B153" s="88">
        <v>5631</v>
      </c>
    </row>
    <row r="154" spans="1:2" x14ac:dyDescent="0.25">
      <c r="A154" s="88" t="s">
        <v>136</v>
      </c>
      <c r="B154" s="88">
        <v>5632</v>
      </c>
    </row>
    <row r="155" spans="1:2" x14ac:dyDescent="0.25">
      <c r="A155" s="88" t="s">
        <v>216</v>
      </c>
      <c r="B155" s="88">
        <v>5481</v>
      </c>
    </row>
    <row r="156" spans="1:2" x14ac:dyDescent="0.25">
      <c r="A156" s="88" t="s">
        <v>87</v>
      </c>
      <c r="B156" s="88">
        <v>5671</v>
      </c>
    </row>
    <row r="157" spans="1:2" x14ac:dyDescent="0.25">
      <c r="A157" s="88" t="s">
        <v>61</v>
      </c>
      <c r="B157" s="88">
        <v>5913</v>
      </c>
    </row>
    <row r="158" spans="1:2" x14ac:dyDescent="0.25">
      <c r="A158" s="88" t="s">
        <v>205</v>
      </c>
      <c r="B158" s="88">
        <v>5715</v>
      </c>
    </row>
    <row r="159" spans="1:2" x14ac:dyDescent="0.25">
      <c r="A159" s="88" t="s">
        <v>19</v>
      </c>
      <c r="B159" s="88">
        <v>5855</v>
      </c>
    </row>
    <row r="160" spans="1:2" x14ac:dyDescent="0.25">
      <c r="A160" s="88" t="s">
        <v>162</v>
      </c>
      <c r="B160" s="88">
        <v>5518</v>
      </c>
    </row>
    <row r="161" spans="1:2" x14ac:dyDescent="0.25">
      <c r="A161" s="88" t="s">
        <v>137</v>
      </c>
      <c r="B161" s="88">
        <v>5633</v>
      </c>
    </row>
    <row r="162" spans="1:2" x14ac:dyDescent="0.25">
      <c r="A162" s="88" t="s">
        <v>138</v>
      </c>
      <c r="B162" s="88">
        <v>5634</v>
      </c>
    </row>
    <row r="163" spans="1:2" x14ac:dyDescent="0.25">
      <c r="A163" s="88" t="s">
        <v>217</v>
      </c>
      <c r="B163" s="88">
        <v>5482</v>
      </c>
    </row>
    <row r="164" spans="1:2" x14ac:dyDescent="0.25">
      <c r="A164" s="88" t="s">
        <v>139</v>
      </c>
      <c r="B164" s="88">
        <v>5635</v>
      </c>
    </row>
    <row r="165" spans="1:2" x14ac:dyDescent="0.25">
      <c r="A165" s="88" t="s">
        <v>320</v>
      </c>
      <c r="B165" s="88">
        <v>5584</v>
      </c>
    </row>
    <row r="166" spans="1:2" x14ac:dyDescent="0.25">
      <c r="A166" s="88" t="s">
        <v>62</v>
      </c>
      <c r="B166" s="88">
        <v>5914</v>
      </c>
    </row>
    <row r="167" spans="1:2" x14ac:dyDescent="0.25">
      <c r="A167" s="88" t="s">
        <v>20</v>
      </c>
      <c r="B167" s="88">
        <v>5856</v>
      </c>
    </row>
    <row r="168" spans="1:2" x14ac:dyDescent="0.25">
      <c r="A168" s="88" t="s">
        <v>163</v>
      </c>
      <c r="B168" s="88">
        <v>5520</v>
      </c>
    </row>
    <row r="169" spans="1:2" x14ac:dyDescent="0.25">
      <c r="A169" s="88" t="s">
        <v>164</v>
      </c>
      <c r="B169" s="88">
        <v>5521</v>
      </c>
    </row>
    <row r="170" spans="1:2" x14ac:dyDescent="0.25">
      <c r="A170" s="88" t="s">
        <v>140</v>
      </c>
      <c r="B170" s="88">
        <v>5636</v>
      </c>
    </row>
    <row r="171" spans="1:2" x14ac:dyDescent="0.25">
      <c r="A171" s="88" t="s">
        <v>206</v>
      </c>
      <c r="B171" s="88">
        <v>5716</v>
      </c>
    </row>
    <row r="172" spans="1:2" x14ac:dyDescent="0.25">
      <c r="A172" s="88" t="s">
        <v>296</v>
      </c>
      <c r="B172" s="88">
        <v>5458</v>
      </c>
    </row>
    <row r="173" spans="1:2" x14ac:dyDescent="0.25">
      <c r="A173" s="88" t="s">
        <v>289</v>
      </c>
      <c r="B173" s="88">
        <v>5427</v>
      </c>
    </row>
    <row r="174" spans="1:2" x14ac:dyDescent="0.25">
      <c r="A174" s="88" t="s">
        <v>125</v>
      </c>
      <c r="B174" s="88">
        <v>5483</v>
      </c>
    </row>
    <row r="175" spans="1:2" x14ac:dyDescent="0.25">
      <c r="A175" s="88" t="s">
        <v>165</v>
      </c>
      <c r="B175" s="88">
        <v>5522</v>
      </c>
    </row>
    <row r="176" spans="1:2" x14ac:dyDescent="0.25">
      <c r="A176" s="88" t="s">
        <v>37</v>
      </c>
      <c r="B176" s="88">
        <v>5556</v>
      </c>
    </row>
    <row r="177" spans="1:2" x14ac:dyDescent="0.25">
      <c r="A177" s="88" t="s">
        <v>38</v>
      </c>
      <c r="B177" s="88">
        <v>5557</v>
      </c>
    </row>
    <row r="178" spans="1:2" x14ac:dyDescent="0.25">
      <c r="A178" s="88" t="s">
        <v>128</v>
      </c>
      <c r="B178" s="88">
        <v>5604</v>
      </c>
    </row>
    <row r="179" spans="1:2" x14ac:dyDescent="0.25">
      <c r="A179" s="88" t="s">
        <v>207</v>
      </c>
      <c r="B179" s="88">
        <v>5717</v>
      </c>
    </row>
    <row r="180" spans="1:2" x14ac:dyDescent="0.25">
      <c r="A180" s="88" t="s">
        <v>166</v>
      </c>
      <c r="B180" s="88">
        <v>5523</v>
      </c>
    </row>
    <row r="181" spans="1:2" x14ac:dyDescent="0.25">
      <c r="A181" s="88" t="s">
        <v>208</v>
      </c>
      <c r="B181" s="88">
        <v>5718</v>
      </c>
    </row>
    <row r="182" spans="1:2" x14ac:dyDescent="0.25">
      <c r="A182" s="88" t="s">
        <v>39</v>
      </c>
      <c r="B182" s="88">
        <v>5559</v>
      </c>
    </row>
    <row r="183" spans="1:2" x14ac:dyDescent="0.25">
      <c r="A183" s="88" t="s">
        <v>21</v>
      </c>
      <c r="B183" s="88">
        <v>5857</v>
      </c>
    </row>
    <row r="184" spans="1:2" x14ac:dyDescent="0.25">
      <c r="A184" s="88" t="s">
        <v>290</v>
      </c>
      <c r="B184" s="88">
        <v>5428</v>
      </c>
    </row>
    <row r="185" spans="1:2" x14ac:dyDescent="0.25">
      <c r="A185" s="88" t="s">
        <v>209</v>
      </c>
      <c r="B185" s="88">
        <v>5719</v>
      </c>
    </row>
    <row r="186" spans="1:2" x14ac:dyDescent="0.25">
      <c r="A186" s="88" t="s">
        <v>210</v>
      </c>
      <c r="B186" s="88">
        <v>5720</v>
      </c>
    </row>
    <row r="187" spans="1:2" x14ac:dyDescent="0.25">
      <c r="A187" s="88" t="s">
        <v>211</v>
      </c>
      <c r="B187" s="88">
        <v>5721</v>
      </c>
    </row>
    <row r="188" spans="1:2" x14ac:dyDescent="0.25">
      <c r="A188" s="88" t="s">
        <v>126</v>
      </c>
      <c r="B188" s="88">
        <v>5484</v>
      </c>
    </row>
    <row r="189" spans="1:2" x14ac:dyDescent="0.25">
      <c r="A189" s="88" t="s">
        <v>345</v>
      </c>
      <c r="B189" s="88">
        <v>5541</v>
      </c>
    </row>
    <row r="190" spans="1:2" x14ac:dyDescent="0.25">
      <c r="A190" s="88" t="s">
        <v>127</v>
      </c>
      <c r="B190" s="88">
        <v>5485</v>
      </c>
    </row>
    <row r="191" spans="1:2" x14ac:dyDescent="0.25">
      <c r="A191" s="88" t="s">
        <v>6</v>
      </c>
      <c r="B191" s="88">
        <v>5817</v>
      </c>
    </row>
    <row r="192" spans="1:2" x14ac:dyDescent="0.25">
      <c r="A192" s="88" t="s">
        <v>40</v>
      </c>
      <c r="B192" s="88">
        <v>5560</v>
      </c>
    </row>
    <row r="193" spans="1:2" x14ac:dyDescent="0.25">
      <c r="A193" s="88" t="s">
        <v>41</v>
      </c>
      <c r="B193" s="88">
        <v>5561</v>
      </c>
    </row>
    <row r="194" spans="1:2" x14ac:dyDescent="0.25">
      <c r="A194" s="88" t="s">
        <v>212</v>
      </c>
      <c r="B194" s="88">
        <v>5722</v>
      </c>
    </row>
    <row r="195" spans="1:2" x14ac:dyDescent="0.25">
      <c r="A195" s="88" t="s">
        <v>102</v>
      </c>
      <c r="B195" s="88">
        <v>5405</v>
      </c>
    </row>
    <row r="196" spans="1:2" x14ac:dyDescent="0.25">
      <c r="A196" s="88" t="s">
        <v>396</v>
      </c>
      <c r="B196" s="88">
        <v>5656</v>
      </c>
    </row>
    <row r="197" spans="1:2" x14ac:dyDescent="0.25">
      <c r="A197" s="88" t="s">
        <v>7</v>
      </c>
      <c r="B197" s="88">
        <v>5819</v>
      </c>
    </row>
    <row r="198" spans="1:2" x14ac:dyDescent="0.25">
      <c r="A198" s="88" t="s">
        <v>88</v>
      </c>
      <c r="B198" s="88">
        <v>5673</v>
      </c>
    </row>
    <row r="199" spans="1:2" x14ac:dyDescent="0.25">
      <c r="A199" s="88" t="s">
        <v>46</v>
      </c>
      <c r="B199" s="88">
        <v>5885</v>
      </c>
    </row>
    <row r="200" spans="1:2" x14ac:dyDescent="0.25">
      <c r="A200" s="88" t="s">
        <v>347</v>
      </c>
      <c r="B200" s="88">
        <v>5804</v>
      </c>
    </row>
    <row r="201" spans="1:2" x14ac:dyDescent="0.25">
      <c r="A201" s="88" t="s">
        <v>374</v>
      </c>
      <c r="B201" s="88">
        <v>5806</v>
      </c>
    </row>
    <row r="202" spans="1:2" x14ac:dyDescent="0.25">
      <c r="A202" s="88" t="s">
        <v>321</v>
      </c>
      <c r="B202" s="88">
        <v>5585</v>
      </c>
    </row>
    <row r="203" spans="1:2" x14ac:dyDescent="0.25">
      <c r="A203" s="88" t="s">
        <v>281</v>
      </c>
      <c r="B203" s="88">
        <v>5754</v>
      </c>
    </row>
    <row r="204" spans="1:2" x14ac:dyDescent="0.25">
      <c r="A204" s="88" t="s">
        <v>189</v>
      </c>
      <c r="B204" s="88">
        <v>5474</v>
      </c>
    </row>
    <row r="205" spans="1:2" x14ac:dyDescent="0.25">
      <c r="A205" s="88" t="s">
        <v>192</v>
      </c>
      <c r="B205" s="88">
        <v>5758</v>
      </c>
    </row>
    <row r="206" spans="1:2" x14ac:dyDescent="0.25">
      <c r="A206" s="88" t="s">
        <v>268</v>
      </c>
      <c r="B206" s="88">
        <v>5726</v>
      </c>
    </row>
    <row r="207" spans="1:2" x14ac:dyDescent="0.25">
      <c r="A207" s="88" t="s">
        <v>153</v>
      </c>
      <c r="B207" s="88">
        <v>5498</v>
      </c>
    </row>
    <row r="208" spans="1:2" x14ac:dyDescent="0.25">
      <c r="A208" s="88" t="s">
        <v>48</v>
      </c>
      <c r="B208" s="88">
        <v>5889</v>
      </c>
    </row>
    <row r="209" spans="1:2" x14ac:dyDescent="0.25">
      <c r="A209" s="88" t="s">
        <v>28</v>
      </c>
      <c r="B209" s="88">
        <v>5871</v>
      </c>
    </row>
    <row r="210" spans="1:2" x14ac:dyDescent="0.25">
      <c r="A210" s="88" t="s">
        <v>275</v>
      </c>
      <c r="B210" s="88">
        <v>5741</v>
      </c>
    </row>
    <row r="211" spans="1:2" x14ac:dyDescent="0.25">
      <c r="A211" s="88" t="s">
        <v>108</v>
      </c>
      <c r="B211" s="88">
        <v>5586</v>
      </c>
    </row>
    <row r="212" spans="1:2" x14ac:dyDescent="0.25">
      <c r="A212" s="88" t="s">
        <v>103</v>
      </c>
      <c r="B212" s="88">
        <v>5406</v>
      </c>
    </row>
    <row r="213" spans="1:2" x14ac:dyDescent="0.25">
      <c r="A213" s="88" t="s">
        <v>141</v>
      </c>
      <c r="B213" s="88">
        <v>5637</v>
      </c>
    </row>
    <row r="214" spans="1:2" x14ac:dyDescent="0.25">
      <c r="A214" s="88" t="s">
        <v>184</v>
      </c>
      <c r="B214" s="88">
        <v>5872</v>
      </c>
    </row>
    <row r="215" spans="1:2" x14ac:dyDescent="0.25">
      <c r="A215" s="88" t="s">
        <v>185</v>
      </c>
      <c r="B215" s="88">
        <v>5873</v>
      </c>
    </row>
    <row r="216" spans="1:2" x14ac:dyDescent="0.25">
      <c r="A216" s="88" t="s">
        <v>109</v>
      </c>
      <c r="B216" s="88">
        <v>5587</v>
      </c>
    </row>
    <row r="217" spans="1:2" x14ac:dyDescent="0.25">
      <c r="A217" s="88" t="s">
        <v>273</v>
      </c>
      <c r="B217" s="88">
        <v>5731</v>
      </c>
    </row>
    <row r="218" spans="1:2" x14ac:dyDescent="0.25">
      <c r="A218" s="88" t="s">
        <v>233</v>
      </c>
      <c r="B218" s="88">
        <v>5750</v>
      </c>
    </row>
    <row r="219" spans="1:2" x14ac:dyDescent="0.25">
      <c r="A219" s="88" t="s">
        <v>104</v>
      </c>
      <c r="B219" s="88">
        <v>5407</v>
      </c>
    </row>
    <row r="220" spans="1:2" x14ac:dyDescent="0.25">
      <c r="A220" s="88" t="s">
        <v>282</v>
      </c>
      <c r="B220" s="88">
        <v>5755</v>
      </c>
    </row>
    <row r="221" spans="1:2" x14ac:dyDescent="0.25">
      <c r="A221" s="88" t="s">
        <v>0</v>
      </c>
      <c r="B221" s="88">
        <v>5486</v>
      </c>
    </row>
    <row r="222" spans="1:2" x14ac:dyDescent="0.25">
      <c r="A222" s="88" t="s">
        <v>142</v>
      </c>
      <c r="B222" s="88">
        <v>5638</v>
      </c>
    </row>
    <row r="223" spans="1:2" x14ac:dyDescent="0.25">
      <c r="A223" s="88" t="s">
        <v>302</v>
      </c>
      <c r="B223" s="88">
        <v>5429</v>
      </c>
    </row>
    <row r="224" spans="1:2" x14ac:dyDescent="0.25">
      <c r="A224" s="88" t="s">
        <v>89</v>
      </c>
      <c r="B224" s="88">
        <v>5674</v>
      </c>
    </row>
    <row r="225" spans="1:2" x14ac:dyDescent="0.25">
      <c r="A225" s="88" t="s">
        <v>90</v>
      </c>
      <c r="B225" s="88">
        <v>5675</v>
      </c>
    </row>
    <row r="226" spans="1:2" x14ac:dyDescent="0.25">
      <c r="A226" s="88" t="s">
        <v>22</v>
      </c>
      <c r="B226" s="88">
        <v>5858</v>
      </c>
    </row>
    <row r="227" spans="1:2" x14ac:dyDescent="0.25">
      <c r="A227" s="88" t="s">
        <v>143</v>
      </c>
      <c r="B227" s="88">
        <v>5639</v>
      </c>
    </row>
    <row r="228" spans="1:2" x14ac:dyDescent="0.25">
      <c r="A228" s="88" t="s">
        <v>1</v>
      </c>
      <c r="B228" s="88">
        <v>5487</v>
      </c>
    </row>
    <row r="229" spans="1:2" x14ac:dyDescent="0.25">
      <c r="A229" s="88" t="s">
        <v>144</v>
      </c>
      <c r="B229" s="88">
        <v>5640</v>
      </c>
    </row>
    <row r="230" spans="1:2" x14ac:dyDescent="0.25">
      <c r="A230" s="88" t="s">
        <v>129</v>
      </c>
      <c r="B230" s="88">
        <v>5606</v>
      </c>
    </row>
    <row r="231" spans="1:2" x14ac:dyDescent="0.25">
      <c r="A231" s="88" t="s">
        <v>240</v>
      </c>
      <c r="B231" s="88">
        <v>5790</v>
      </c>
    </row>
    <row r="232" spans="1:2" x14ac:dyDescent="0.25">
      <c r="A232" s="88" t="s">
        <v>303</v>
      </c>
      <c r="B232" s="88">
        <v>5430</v>
      </c>
    </row>
    <row r="233" spans="1:2" x14ac:dyDescent="0.25">
      <c r="A233" s="88" t="s">
        <v>322</v>
      </c>
      <c r="B233" s="88">
        <v>5919</v>
      </c>
    </row>
    <row r="234" spans="1:2" x14ac:dyDescent="0.25">
      <c r="A234" s="88" t="s">
        <v>42</v>
      </c>
      <c r="B234" s="88">
        <v>5562</v>
      </c>
    </row>
    <row r="235" spans="1:2" x14ac:dyDescent="0.25">
      <c r="A235" s="88" t="s">
        <v>2</v>
      </c>
      <c r="B235" s="88">
        <v>5488</v>
      </c>
    </row>
    <row r="236" spans="1:2" x14ac:dyDescent="0.25">
      <c r="A236" s="88" t="s">
        <v>3</v>
      </c>
      <c r="B236" s="88">
        <v>5489</v>
      </c>
    </row>
    <row r="237" spans="1:2" x14ac:dyDescent="0.25">
      <c r="A237" s="88" t="s">
        <v>213</v>
      </c>
      <c r="B237" s="88">
        <v>5723</v>
      </c>
    </row>
    <row r="238" spans="1:2" x14ac:dyDescent="0.25">
      <c r="A238" s="88" t="s">
        <v>8</v>
      </c>
      <c r="B238" s="88">
        <v>5821</v>
      </c>
    </row>
    <row r="239" spans="1:2" x14ac:dyDescent="0.25">
      <c r="A239" s="88" t="s">
        <v>4</v>
      </c>
      <c r="B239" s="88">
        <v>5490</v>
      </c>
    </row>
    <row r="240" spans="1:2" x14ac:dyDescent="0.25">
      <c r="A240" s="88" t="s">
        <v>304</v>
      </c>
      <c r="B240" s="88">
        <v>5431</v>
      </c>
    </row>
    <row r="241" spans="1:2" x14ac:dyDescent="0.25">
      <c r="A241" s="88" t="s">
        <v>323</v>
      </c>
      <c r="B241" s="88">
        <v>5921</v>
      </c>
    </row>
    <row r="242" spans="1:2" x14ac:dyDescent="0.25">
      <c r="A242" s="88" t="s">
        <v>234</v>
      </c>
      <c r="B242" s="88">
        <v>5922</v>
      </c>
    </row>
    <row r="243" spans="1:2" x14ac:dyDescent="0.25">
      <c r="A243" s="88" t="s">
        <v>353</v>
      </c>
      <c r="B243" s="88">
        <v>5693</v>
      </c>
    </row>
    <row r="244" spans="1:2" x14ac:dyDescent="0.25">
      <c r="A244" s="88" t="s">
        <v>283</v>
      </c>
      <c r="B244" s="88">
        <v>5756</v>
      </c>
    </row>
    <row r="245" spans="1:2" x14ac:dyDescent="0.25">
      <c r="A245" s="88" t="s">
        <v>346</v>
      </c>
      <c r="B245" s="88">
        <v>5540</v>
      </c>
    </row>
    <row r="246" spans="1:2" x14ac:dyDescent="0.25">
      <c r="A246" s="88" t="s">
        <v>147</v>
      </c>
      <c r="B246" s="88">
        <v>5491</v>
      </c>
    </row>
    <row r="247" spans="1:2" x14ac:dyDescent="0.25">
      <c r="A247" s="88" t="s">
        <v>241</v>
      </c>
      <c r="B247" s="88">
        <v>5792</v>
      </c>
    </row>
    <row r="248" spans="1:2" x14ac:dyDescent="0.25">
      <c r="A248" s="88" t="s">
        <v>47</v>
      </c>
      <c r="B248" s="88">
        <v>5886</v>
      </c>
    </row>
    <row r="249" spans="1:2" x14ac:dyDescent="0.25">
      <c r="A249" s="88" t="s">
        <v>148</v>
      </c>
      <c r="B249" s="88">
        <v>5492</v>
      </c>
    </row>
    <row r="250" spans="1:2" x14ac:dyDescent="0.25">
      <c r="A250" s="88" t="s">
        <v>23</v>
      </c>
      <c r="B250" s="88">
        <v>5859</v>
      </c>
    </row>
    <row r="251" spans="1:2" x14ac:dyDescent="0.25">
      <c r="A251" s="88" t="s">
        <v>145</v>
      </c>
      <c r="B251" s="88">
        <v>5642</v>
      </c>
    </row>
    <row r="252" spans="1:2" x14ac:dyDescent="0.25">
      <c r="A252" s="88" t="s">
        <v>167</v>
      </c>
      <c r="B252" s="88">
        <v>5527</v>
      </c>
    </row>
    <row r="253" spans="1:2" x14ac:dyDescent="0.25">
      <c r="A253" s="88" t="s">
        <v>91</v>
      </c>
      <c r="B253" s="88">
        <v>5678</v>
      </c>
    </row>
    <row r="254" spans="1:2" x14ac:dyDescent="0.25">
      <c r="A254" s="88" t="s">
        <v>244</v>
      </c>
      <c r="B254" s="88">
        <v>5563</v>
      </c>
    </row>
    <row r="255" spans="1:2" x14ac:dyDescent="0.25">
      <c r="A255" s="88" t="s">
        <v>245</v>
      </c>
      <c r="B255" s="88">
        <v>5564</v>
      </c>
    </row>
    <row r="256" spans="1:2" x14ac:dyDescent="0.25">
      <c r="A256" s="88" t="s">
        <v>105</v>
      </c>
      <c r="B256" s="88">
        <v>5408</v>
      </c>
    </row>
    <row r="257" spans="1:2" x14ac:dyDescent="0.25">
      <c r="A257" s="88" t="s">
        <v>63</v>
      </c>
      <c r="B257" s="88">
        <v>5724</v>
      </c>
    </row>
    <row r="258" spans="1:2" x14ac:dyDescent="0.25">
      <c r="A258" s="88" t="s">
        <v>92</v>
      </c>
      <c r="B258" s="88">
        <v>5680</v>
      </c>
    </row>
    <row r="259" spans="1:2" x14ac:dyDescent="0.25">
      <c r="A259" s="88" t="s">
        <v>106</v>
      </c>
      <c r="B259" s="88">
        <v>5409</v>
      </c>
    </row>
    <row r="260" spans="1:2" x14ac:dyDescent="0.25">
      <c r="A260" s="88" t="s">
        <v>246</v>
      </c>
      <c r="B260" s="88">
        <v>5565</v>
      </c>
    </row>
    <row r="261" spans="1:2" x14ac:dyDescent="0.25">
      <c r="A261" s="88" t="s">
        <v>235</v>
      </c>
      <c r="B261" s="88">
        <v>5923</v>
      </c>
    </row>
    <row r="262" spans="1:2" x14ac:dyDescent="0.25">
      <c r="A262" s="88" t="s">
        <v>284</v>
      </c>
      <c r="B262" s="88">
        <v>5757</v>
      </c>
    </row>
    <row r="263" spans="1:2" x14ac:dyDescent="0.25">
      <c r="A263" s="88" t="s">
        <v>236</v>
      </c>
      <c r="B263" s="88">
        <v>5924</v>
      </c>
    </row>
    <row r="264" spans="1:2" x14ac:dyDescent="0.25">
      <c r="A264" s="88" t="s">
        <v>116</v>
      </c>
      <c r="B264" s="88">
        <v>5410</v>
      </c>
    </row>
    <row r="265" spans="1:2" x14ac:dyDescent="0.25">
      <c r="A265" s="88" t="s">
        <v>117</v>
      </c>
      <c r="B265" s="88">
        <v>5411</v>
      </c>
    </row>
    <row r="266" spans="1:2" x14ac:dyDescent="0.25">
      <c r="A266" s="88" t="s">
        <v>149</v>
      </c>
      <c r="B266" s="88">
        <v>5493</v>
      </c>
    </row>
    <row r="267" spans="1:2" x14ac:dyDescent="0.25">
      <c r="A267" s="88" t="s">
        <v>349</v>
      </c>
      <c r="B267" s="88">
        <v>5805</v>
      </c>
    </row>
    <row r="268" spans="1:2" x14ac:dyDescent="0.25">
      <c r="A268" s="88" t="s">
        <v>327</v>
      </c>
      <c r="B268" s="88">
        <v>5925</v>
      </c>
    </row>
    <row r="269" spans="1:2" x14ac:dyDescent="0.25">
      <c r="A269" s="88" t="s">
        <v>168</v>
      </c>
      <c r="B269" s="88">
        <v>5529</v>
      </c>
    </row>
    <row r="270" spans="1:2" x14ac:dyDescent="0.25">
      <c r="A270" s="88" t="s">
        <v>169</v>
      </c>
      <c r="B270" s="88">
        <v>5530</v>
      </c>
    </row>
    <row r="271" spans="1:2" x14ac:dyDescent="0.25">
      <c r="A271" s="88" t="s">
        <v>110</v>
      </c>
      <c r="B271" s="88">
        <v>5588</v>
      </c>
    </row>
    <row r="272" spans="1:2" x14ac:dyDescent="0.25">
      <c r="A272" s="88" t="s">
        <v>9</v>
      </c>
      <c r="B272" s="88">
        <v>5822</v>
      </c>
    </row>
    <row r="273" spans="1:2" x14ac:dyDescent="0.25">
      <c r="A273" s="88" t="s">
        <v>150</v>
      </c>
      <c r="B273" s="88">
        <v>5495</v>
      </c>
    </row>
    <row r="274" spans="1:2" x14ac:dyDescent="0.25">
      <c r="A274" s="88" t="s">
        <v>151</v>
      </c>
      <c r="B274" s="88">
        <v>5496</v>
      </c>
    </row>
    <row r="275" spans="1:2" x14ac:dyDescent="0.25">
      <c r="A275" s="88" t="s">
        <v>170</v>
      </c>
      <c r="B275" s="88">
        <v>5531</v>
      </c>
    </row>
    <row r="276" spans="1:2" x14ac:dyDescent="0.25">
      <c r="A276" s="88" t="s">
        <v>24</v>
      </c>
      <c r="B276" s="88">
        <v>5860</v>
      </c>
    </row>
    <row r="277" spans="1:2" x14ac:dyDescent="0.25">
      <c r="A277" s="88" t="s">
        <v>171</v>
      </c>
      <c r="B277" s="88">
        <v>5533</v>
      </c>
    </row>
    <row r="278" spans="1:2" x14ac:dyDescent="0.25">
      <c r="A278" s="88" t="s">
        <v>152</v>
      </c>
      <c r="B278" s="88">
        <v>5497</v>
      </c>
    </row>
    <row r="279" spans="1:2" x14ac:dyDescent="0.25">
      <c r="A279" s="88" t="s">
        <v>328</v>
      </c>
      <c r="B279" s="88">
        <v>5926</v>
      </c>
    </row>
    <row r="280" spans="1:2" x14ac:dyDescent="0.25">
      <c r="A280" s="88" t="s">
        <v>64</v>
      </c>
      <c r="B280" s="88">
        <v>5725</v>
      </c>
    </row>
    <row r="281" spans="1:2" x14ac:dyDescent="0.25">
      <c r="A281" s="88" t="s">
        <v>193</v>
      </c>
      <c r="B281" s="88">
        <v>5759</v>
      </c>
    </row>
    <row r="282" spans="1:2" x14ac:dyDescent="0.25">
      <c r="A282" s="88" t="s">
        <v>146</v>
      </c>
      <c r="B282" s="88">
        <v>5643</v>
      </c>
    </row>
    <row r="283" spans="1:2" x14ac:dyDescent="0.25">
      <c r="A283" s="88" t="s">
        <v>93</v>
      </c>
      <c r="B283" s="88">
        <v>5683</v>
      </c>
    </row>
    <row r="284" spans="1:2" x14ac:dyDescent="0.25">
      <c r="A284" s="88" t="s">
        <v>111</v>
      </c>
      <c r="B284" s="88">
        <v>5589</v>
      </c>
    </row>
    <row r="285" spans="1:2" x14ac:dyDescent="0.25">
      <c r="A285" s="88" t="s">
        <v>247</v>
      </c>
      <c r="B285" s="88">
        <v>5566</v>
      </c>
    </row>
    <row r="286" spans="1:2" x14ac:dyDescent="0.25">
      <c r="A286" s="88" t="s">
        <v>255</v>
      </c>
      <c r="B286" s="88">
        <v>5607</v>
      </c>
    </row>
    <row r="287" spans="1:2" x14ac:dyDescent="0.25">
      <c r="A287" s="88" t="s">
        <v>112</v>
      </c>
      <c r="B287" s="88">
        <v>5590</v>
      </c>
    </row>
    <row r="288" spans="1:2" x14ac:dyDescent="0.25">
      <c r="A288" s="88" t="s">
        <v>194</v>
      </c>
      <c r="B288" s="88">
        <v>5760</v>
      </c>
    </row>
    <row r="289" spans="1:2" x14ac:dyDescent="0.25">
      <c r="A289" s="88" t="s">
        <v>324</v>
      </c>
      <c r="B289" s="88">
        <v>5591</v>
      </c>
    </row>
    <row r="290" spans="1:2" x14ac:dyDescent="0.25">
      <c r="A290" s="88" t="s">
        <v>118</v>
      </c>
      <c r="B290" s="88">
        <v>5412</v>
      </c>
    </row>
    <row r="291" spans="1:2" x14ac:dyDescent="0.25">
      <c r="A291" s="88" t="s">
        <v>114</v>
      </c>
      <c r="B291" s="88">
        <v>5609</v>
      </c>
    </row>
    <row r="292" spans="1:2" x14ac:dyDescent="0.25">
      <c r="A292" s="88" t="s">
        <v>119</v>
      </c>
      <c r="B292" s="88">
        <v>5413</v>
      </c>
    </row>
    <row r="293" spans="1:2" x14ac:dyDescent="0.25">
      <c r="A293" s="88" t="s">
        <v>25</v>
      </c>
      <c r="B293" s="88">
        <v>5861</v>
      </c>
    </row>
    <row r="294" spans="1:2" x14ac:dyDescent="0.25">
      <c r="A294" s="88" t="s">
        <v>121</v>
      </c>
      <c r="B294" s="88">
        <v>5761</v>
      </c>
    </row>
    <row r="295" spans="1:2" x14ac:dyDescent="0.25">
      <c r="A295" s="88" t="s">
        <v>191</v>
      </c>
      <c r="B295" s="88">
        <v>5592</v>
      </c>
    </row>
    <row r="296" spans="1:2" x14ac:dyDescent="0.25">
      <c r="A296" s="88" t="s">
        <v>262</v>
      </c>
      <c r="B296" s="88">
        <v>5645</v>
      </c>
    </row>
    <row r="297" spans="1:2" x14ac:dyDescent="0.25">
      <c r="A297" s="88" t="s">
        <v>242</v>
      </c>
      <c r="B297" s="88">
        <v>5798</v>
      </c>
    </row>
    <row r="298" spans="1:2" x14ac:dyDescent="0.25">
      <c r="A298" s="88" t="s">
        <v>94</v>
      </c>
      <c r="B298" s="88">
        <v>5684</v>
      </c>
    </row>
    <row r="299" spans="1:2" x14ac:dyDescent="0.25">
      <c r="A299" s="88" t="s">
        <v>13</v>
      </c>
      <c r="B299" s="88">
        <v>5842</v>
      </c>
    </row>
    <row r="300" spans="1:2" x14ac:dyDescent="0.25">
      <c r="A300" s="88" t="s">
        <v>14</v>
      </c>
      <c r="B300" s="88">
        <v>5843</v>
      </c>
    </row>
    <row r="301" spans="1:2" x14ac:dyDescent="0.25">
      <c r="A301" s="88" t="s">
        <v>329</v>
      </c>
      <c r="B301" s="88">
        <v>5928</v>
      </c>
    </row>
    <row r="302" spans="1:2" x14ac:dyDescent="0.25">
      <c r="A302" s="88" t="s">
        <v>172</v>
      </c>
      <c r="B302" s="88">
        <v>5534</v>
      </c>
    </row>
    <row r="303" spans="1:2" x14ac:dyDescent="0.25">
      <c r="A303" s="88" t="s">
        <v>29</v>
      </c>
      <c r="B303" s="88">
        <v>5535</v>
      </c>
    </row>
    <row r="304" spans="1:2" x14ac:dyDescent="0.25">
      <c r="A304" s="88" t="s">
        <v>269</v>
      </c>
      <c r="B304" s="88">
        <v>5727</v>
      </c>
    </row>
    <row r="305" spans="1:2" x14ac:dyDescent="0.25">
      <c r="A305" s="88" t="s">
        <v>107</v>
      </c>
      <c r="B305" s="88">
        <v>5568</v>
      </c>
    </row>
    <row r="306" spans="1:2" x14ac:dyDescent="0.25">
      <c r="A306" s="88" t="s">
        <v>305</v>
      </c>
      <c r="B306" s="88">
        <v>5434</v>
      </c>
    </row>
    <row r="307" spans="1:2" x14ac:dyDescent="0.25">
      <c r="A307" s="88" t="s">
        <v>291</v>
      </c>
      <c r="B307" s="88">
        <v>5435</v>
      </c>
    </row>
    <row r="308" spans="1:2" x14ac:dyDescent="0.25">
      <c r="A308" s="88" t="s">
        <v>292</v>
      </c>
      <c r="B308" s="88">
        <v>5436</v>
      </c>
    </row>
    <row r="309" spans="1:2" x14ac:dyDescent="0.25">
      <c r="A309" s="88" t="s">
        <v>263</v>
      </c>
      <c r="B309" s="88">
        <v>5646</v>
      </c>
    </row>
    <row r="310" spans="1:2" x14ac:dyDescent="0.25">
      <c r="A310" s="88" t="s">
        <v>264</v>
      </c>
      <c r="B310" s="88">
        <v>5648</v>
      </c>
    </row>
    <row r="311" spans="1:2" x14ac:dyDescent="0.25">
      <c r="A311" s="88" t="s">
        <v>293</v>
      </c>
      <c r="B311" s="88">
        <v>5437</v>
      </c>
    </row>
    <row r="312" spans="1:2" x14ac:dyDescent="0.25">
      <c r="A312" s="88" t="s">
        <v>252</v>
      </c>
      <c r="B312" s="88">
        <v>5611</v>
      </c>
    </row>
    <row r="313" spans="1:2" x14ac:dyDescent="0.25">
      <c r="A313" s="88" t="s">
        <v>154</v>
      </c>
      <c r="B313" s="88">
        <v>5499</v>
      </c>
    </row>
    <row r="314" spans="1:2" x14ac:dyDescent="0.25">
      <c r="A314" s="88" t="s">
        <v>122</v>
      </c>
      <c r="B314" s="88">
        <v>5762</v>
      </c>
    </row>
    <row r="315" spans="1:2" x14ac:dyDescent="0.25">
      <c r="A315" s="88" t="s">
        <v>243</v>
      </c>
      <c r="B315" s="88">
        <v>5799</v>
      </c>
    </row>
    <row r="316" spans="1:2" x14ac:dyDescent="0.25">
      <c r="A316" s="88" t="s">
        <v>270</v>
      </c>
      <c r="B316" s="88">
        <v>5728</v>
      </c>
    </row>
    <row r="317" spans="1:2" x14ac:dyDescent="0.25">
      <c r="A317" s="88" t="s">
        <v>115</v>
      </c>
      <c r="B317" s="88">
        <v>5610</v>
      </c>
    </row>
    <row r="318" spans="1:2" x14ac:dyDescent="0.25">
      <c r="A318" s="88" t="s">
        <v>330</v>
      </c>
      <c r="B318" s="88">
        <v>5929</v>
      </c>
    </row>
    <row r="319" spans="1:2" x14ac:dyDescent="0.25">
      <c r="A319" s="88" t="s">
        <v>155</v>
      </c>
      <c r="B319" s="88">
        <v>5501</v>
      </c>
    </row>
    <row r="320" spans="1:2" x14ac:dyDescent="0.25">
      <c r="A320" s="88" t="s">
        <v>331</v>
      </c>
      <c r="B320" s="88">
        <v>5930</v>
      </c>
    </row>
    <row r="321" spans="1:2" x14ac:dyDescent="0.25">
      <c r="A321" s="88" t="s">
        <v>95</v>
      </c>
      <c r="B321" s="88">
        <v>5688</v>
      </c>
    </row>
    <row r="322" spans="1:2" x14ac:dyDescent="0.25">
      <c r="A322" s="88" t="s">
        <v>271</v>
      </c>
      <c r="B322" s="88">
        <v>5729</v>
      </c>
    </row>
    <row r="323" spans="1:2" x14ac:dyDescent="0.25">
      <c r="A323" s="88" t="s">
        <v>26</v>
      </c>
      <c r="B323" s="88">
        <v>5862</v>
      </c>
    </row>
    <row r="324" spans="1:2" x14ac:dyDescent="0.25">
      <c r="A324" s="88" t="s">
        <v>343</v>
      </c>
      <c r="B324" s="88">
        <v>5571</v>
      </c>
    </row>
    <row r="325" spans="1:2" x14ac:dyDescent="0.25">
      <c r="A325" s="88" t="s">
        <v>265</v>
      </c>
      <c r="B325" s="88">
        <v>5649</v>
      </c>
    </row>
    <row r="326" spans="1:2" x14ac:dyDescent="0.25">
      <c r="A326" s="88" t="s">
        <v>272</v>
      </c>
      <c r="B326" s="88">
        <v>5730</v>
      </c>
    </row>
    <row r="327" spans="1:2" x14ac:dyDescent="0.25">
      <c r="A327" s="88" t="s">
        <v>10</v>
      </c>
      <c r="B327" s="88">
        <v>5827</v>
      </c>
    </row>
    <row r="328" spans="1:2" x14ac:dyDescent="0.25">
      <c r="A328" s="88" t="s">
        <v>332</v>
      </c>
      <c r="B328" s="88">
        <v>5931</v>
      </c>
    </row>
    <row r="329" spans="1:2" x14ac:dyDescent="0.25">
      <c r="A329" s="88" t="s">
        <v>373</v>
      </c>
      <c r="B329" s="88">
        <v>5828</v>
      </c>
    </row>
    <row r="330" spans="1:2" x14ac:dyDescent="0.25">
      <c r="A330" s="88" t="s">
        <v>237</v>
      </c>
      <c r="B330" s="88">
        <v>5932</v>
      </c>
    </row>
    <row r="331" spans="1:2" x14ac:dyDescent="0.25">
      <c r="A331" s="88" t="s">
        <v>348</v>
      </c>
      <c r="B331" s="88">
        <v>5831</v>
      </c>
    </row>
    <row r="332" spans="1:2" x14ac:dyDescent="0.25">
      <c r="A332" s="88" t="s">
        <v>325</v>
      </c>
      <c r="B332" s="88">
        <v>5933</v>
      </c>
    </row>
    <row r="333" spans="1:2" x14ac:dyDescent="0.25">
      <c r="A333" s="88" t="s">
        <v>123</v>
      </c>
      <c r="B333" s="88">
        <v>5763</v>
      </c>
    </row>
    <row r="334" spans="1:2" x14ac:dyDescent="0.25">
      <c r="A334" s="88" t="s">
        <v>326</v>
      </c>
      <c r="B334" s="88">
        <v>5934</v>
      </c>
    </row>
    <row r="335" spans="1:2" x14ac:dyDescent="0.25">
      <c r="A335" s="88" t="s">
        <v>285</v>
      </c>
      <c r="B335" s="88">
        <v>5764</v>
      </c>
    </row>
    <row r="336" spans="1:2" x14ac:dyDescent="0.25">
      <c r="A336" s="88" t="s">
        <v>286</v>
      </c>
      <c r="B336" s="88">
        <v>5765</v>
      </c>
    </row>
    <row r="337" spans="1:2" x14ac:dyDescent="0.25">
      <c r="A337" s="88" t="s">
        <v>266</v>
      </c>
      <c r="B337" s="88">
        <v>5650</v>
      </c>
    </row>
    <row r="338" spans="1:2" x14ac:dyDescent="0.25">
      <c r="A338" s="88" t="s">
        <v>49</v>
      </c>
      <c r="B338" s="88">
        <v>5890</v>
      </c>
    </row>
    <row r="339" spans="1:2" x14ac:dyDescent="0.25">
      <c r="A339" s="88" t="s">
        <v>50</v>
      </c>
      <c r="B339" s="88">
        <v>5891</v>
      </c>
    </row>
    <row r="340" spans="1:2" x14ac:dyDescent="0.25">
      <c r="A340" s="88" t="s">
        <v>274</v>
      </c>
      <c r="B340" s="88">
        <v>5732</v>
      </c>
    </row>
    <row r="341" spans="1:2" x14ac:dyDescent="0.25">
      <c r="A341" s="88" t="s">
        <v>254</v>
      </c>
      <c r="B341" s="88">
        <v>5935</v>
      </c>
    </row>
    <row r="342" spans="1:2" x14ac:dyDescent="0.25">
      <c r="A342" s="88" t="s">
        <v>96</v>
      </c>
      <c r="B342" s="88">
        <v>5690</v>
      </c>
    </row>
    <row r="343" spans="1:2" x14ac:dyDescent="0.25">
      <c r="A343" s="88" t="s">
        <v>30</v>
      </c>
      <c r="B343" s="88">
        <v>5537</v>
      </c>
    </row>
    <row r="344" spans="1:2" x14ac:dyDescent="0.25">
      <c r="A344" s="88" t="s">
        <v>267</v>
      </c>
      <c r="B344" s="88">
        <v>5651</v>
      </c>
    </row>
    <row r="345" spans="1:2" x14ac:dyDescent="0.25">
      <c r="A345" s="88" t="s">
        <v>178</v>
      </c>
      <c r="B345" s="88">
        <v>5652</v>
      </c>
    </row>
    <row r="346" spans="1:2" x14ac:dyDescent="0.25">
      <c r="A346" s="88" t="s">
        <v>11</v>
      </c>
      <c r="B346" s="88">
        <v>5830</v>
      </c>
    </row>
    <row r="347" spans="1:2" x14ac:dyDescent="0.25">
      <c r="A347" s="88" t="s">
        <v>120</v>
      </c>
      <c r="B347" s="88">
        <v>5414</v>
      </c>
    </row>
    <row r="348" spans="1:2" x14ac:dyDescent="0.25">
      <c r="A348" s="88" t="s">
        <v>27</v>
      </c>
      <c r="B348" s="88">
        <v>5863</v>
      </c>
    </row>
    <row r="349" spans="1:2" x14ac:dyDescent="0.25">
      <c r="A349" s="88" t="s">
        <v>31</v>
      </c>
      <c r="B349" s="88">
        <v>5539</v>
      </c>
    </row>
    <row r="350" spans="1:2" x14ac:dyDescent="0.25">
      <c r="A350" s="88" t="s">
        <v>97</v>
      </c>
      <c r="B350" s="88">
        <v>5692</v>
      </c>
    </row>
    <row r="351" spans="1:2" x14ac:dyDescent="0.25">
      <c r="A351" s="88" t="s">
        <v>156</v>
      </c>
      <c r="B351" s="88">
        <v>5503</v>
      </c>
    </row>
    <row r="352" spans="1:2" x14ac:dyDescent="0.25">
      <c r="A352" s="88" t="s">
        <v>179</v>
      </c>
      <c r="B352" s="88">
        <v>5653</v>
      </c>
    </row>
    <row r="353" spans="1:2" x14ac:dyDescent="0.25">
      <c r="A353" s="88" t="s">
        <v>238</v>
      </c>
      <c r="B353" s="88">
        <v>5937</v>
      </c>
    </row>
    <row r="354" spans="1:2" x14ac:dyDescent="0.25">
      <c r="A354" s="88" t="s">
        <v>287</v>
      </c>
      <c r="B354" s="88">
        <v>5766</v>
      </c>
    </row>
    <row r="355" spans="1:2" x14ac:dyDescent="0.25">
      <c r="A355" s="88" t="s">
        <v>314</v>
      </c>
      <c r="B355" s="88">
        <v>5803</v>
      </c>
    </row>
    <row r="356" spans="1:2" x14ac:dyDescent="0.25">
      <c r="A356" s="88" t="s">
        <v>180</v>
      </c>
      <c r="B356" s="88">
        <v>5654</v>
      </c>
    </row>
    <row r="357" spans="1:2" x14ac:dyDescent="0.25">
      <c r="A357" s="88" t="s">
        <v>344</v>
      </c>
      <c r="B357" s="88">
        <v>5464</v>
      </c>
    </row>
    <row r="358" spans="1:2" x14ac:dyDescent="0.25">
      <c r="A358" s="88" t="s">
        <v>181</v>
      </c>
      <c r="B358" s="88">
        <v>5655</v>
      </c>
    </row>
    <row r="359" spans="1:2" x14ac:dyDescent="0.25">
      <c r="A359" s="88" t="s">
        <v>133</v>
      </c>
      <c r="B359" s="88">
        <v>5938</v>
      </c>
    </row>
    <row r="360" spans="1:2" x14ac:dyDescent="0.25">
      <c r="A360" s="88" t="s">
        <v>132</v>
      </c>
      <c r="B360" s="88">
        <v>5939</v>
      </c>
    </row>
    <row r="361" spans="1:2" x14ac:dyDescent="0.25">
      <c r="A361" s="88" t="s">
        <v>66</v>
      </c>
      <c r="B361" s="88">
        <v>5415</v>
      </c>
    </row>
    <row r="371" spans="2:2" x14ac:dyDescent="0.25">
      <c r="B371" s="89"/>
    </row>
    <row r="372" spans="2:2" x14ac:dyDescent="0.25">
      <c r="B372" s="89"/>
    </row>
    <row r="373" spans="2:2" x14ac:dyDescent="0.25">
      <c r="B373" s="89"/>
    </row>
    <row r="374" spans="2:2" x14ac:dyDescent="0.25">
      <c r="B374" s="89"/>
    </row>
    <row r="375" spans="2:2" x14ac:dyDescent="0.25">
      <c r="B375" s="89"/>
    </row>
    <row r="376" spans="2:2" x14ac:dyDescent="0.25">
      <c r="B376" s="89"/>
    </row>
    <row r="377" spans="2:2" x14ac:dyDescent="0.25">
      <c r="B377" s="89"/>
    </row>
    <row r="378" spans="2:2" x14ac:dyDescent="0.25">
      <c r="B378" s="89"/>
    </row>
    <row r="379" spans="2:2" x14ac:dyDescent="0.25">
      <c r="B379" s="89"/>
    </row>
    <row r="380" spans="2:2" x14ac:dyDescent="0.25">
      <c r="B380" s="89"/>
    </row>
    <row r="381" spans="2:2" x14ac:dyDescent="0.25">
      <c r="B381" s="89"/>
    </row>
    <row r="382" spans="2:2" x14ac:dyDescent="0.25">
      <c r="B382" s="89"/>
    </row>
    <row r="383" spans="2:2" x14ac:dyDescent="0.25">
      <c r="B383" s="89"/>
    </row>
    <row r="384" spans="2:2" x14ac:dyDescent="0.25">
      <c r="B384" s="89"/>
    </row>
    <row r="385" spans="2:2" x14ac:dyDescent="0.25">
      <c r="B385" s="89"/>
    </row>
    <row r="386" spans="2:2" x14ac:dyDescent="0.25">
      <c r="B386" s="89"/>
    </row>
    <row r="387" spans="2:2" x14ac:dyDescent="0.25">
      <c r="B387" s="89"/>
    </row>
    <row r="388" spans="2:2" x14ac:dyDescent="0.25">
      <c r="B388" s="89"/>
    </row>
    <row r="389" spans="2:2" x14ac:dyDescent="0.25">
      <c r="B389" s="89"/>
    </row>
    <row r="390" spans="2:2" x14ac:dyDescent="0.25">
      <c r="B390" s="89"/>
    </row>
    <row r="391" spans="2:2" x14ac:dyDescent="0.25">
      <c r="B391" s="89"/>
    </row>
    <row r="392" spans="2:2" x14ac:dyDescent="0.25">
      <c r="B392" s="89"/>
    </row>
    <row r="393" spans="2:2" x14ac:dyDescent="0.25">
      <c r="B393" s="89"/>
    </row>
    <row r="394" spans="2:2" x14ac:dyDescent="0.25">
      <c r="B394" s="89"/>
    </row>
    <row r="395" spans="2:2" x14ac:dyDescent="0.25">
      <c r="B395" s="89"/>
    </row>
    <row r="396" spans="2:2" x14ac:dyDescent="0.25">
      <c r="B396" s="89"/>
    </row>
    <row r="397" spans="2:2" x14ac:dyDescent="0.25">
      <c r="B397" s="89"/>
    </row>
    <row r="398" spans="2:2" x14ac:dyDescent="0.25">
      <c r="B398" s="89"/>
    </row>
    <row r="399" spans="2:2" x14ac:dyDescent="0.25">
      <c r="B399" s="89"/>
    </row>
    <row r="400" spans="2:2" x14ac:dyDescent="0.25">
      <c r="B400" s="89"/>
    </row>
    <row r="401" spans="2:2" x14ac:dyDescent="0.25">
      <c r="B401" s="89"/>
    </row>
    <row r="402" spans="2:2" x14ac:dyDescent="0.25">
      <c r="B402" s="89"/>
    </row>
    <row r="403" spans="2:2" x14ac:dyDescent="0.25">
      <c r="B403" s="89"/>
    </row>
    <row r="404" spans="2:2" x14ac:dyDescent="0.25">
      <c r="B404" s="89"/>
    </row>
    <row r="405" spans="2:2" x14ac:dyDescent="0.25">
      <c r="B405" s="89"/>
    </row>
    <row r="406" spans="2:2" x14ac:dyDescent="0.25">
      <c r="B406" s="89"/>
    </row>
    <row r="407" spans="2:2" x14ac:dyDescent="0.25">
      <c r="B407" s="89"/>
    </row>
    <row r="408" spans="2:2" x14ac:dyDescent="0.25">
      <c r="B408" s="89"/>
    </row>
    <row r="409" spans="2:2" x14ac:dyDescent="0.25">
      <c r="B409" s="89"/>
    </row>
    <row r="410" spans="2:2" x14ac:dyDescent="0.25">
      <c r="B410" s="89"/>
    </row>
    <row r="411" spans="2:2" x14ac:dyDescent="0.25">
      <c r="B411" s="89"/>
    </row>
    <row r="412" spans="2:2" x14ac:dyDescent="0.25">
      <c r="B412" s="89"/>
    </row>
    <row r="413" spans="2:2" x14ac:dyDescent="0.25">
      <c r="B413" s="89"/>
    </row>
    <row r="414" spans="2:2" x14ac:dyDescent="0.25">
      <c r="B414" s="89"/>
    </row>
    <row r="415" spans="2:2" x14ac:dyDescent="0.25">
      <c r="B415" s="89"/>
    </row>
    <row r="416" spans="2:2" x14ac:dyDescent="0.25">
      <c r="B416" s="89"/>
    </row>
    <row r="417" spans="2:2" x14ac:dyDescent="0.25">
      <c r="B417" s="89"/>
    </row>
    <row r="418" spans="2:2" x14ac:dyDescent="0.25">
      <c r="B418" s="89"/>
    </row>
    <row r="419" spans="2:2" x14ac:dyDescent="0.25">
      <c r="B419" s="89"/>
    </row>
    <row r="420" spans="2:2" x14ac:dyDescent="0.25">
      <c r="B420" s="89"/>
    </row>
    <row r="421" spans="2:2" x14ac:dyDescent="0.25">
      <c r="B421" s="89"/>
    </row>
    <row r="422" spans="2:2" x14ac:dyDescent="0.25">
      <c r="B422" s="89"/>
    </row>
    <row r="423" spans="2:2" x14ac:dyDescent="0.25">
      <c r="B423" s="89"/>
    </row>
    <row r="424" spans="2:2" x14ac:dyDescent="0.25">
      <c r="B424" s="89"/>
    </row>
    <row r="425" spans="2:2" x14ac:dyDescent="0.25">
      <c r="B425" s="89"/>
    </row>
    <row r="426" spans="2:2" x14ac:dyDescent="0.25">
      <c r="B426" s="89"/>
    </row>
    <row r="427" spans="2:2" x14ac:dyDescent="0.25">
      <c r="B427" s="89"/>
    </row>
    <row r="428" spans="2:2" x14ac:dyDescent="0.25">
      <c r="B428" s="89"/>
    </row>
    <row r="429" spans="2:2" x14ac:dyDescent="0.25">
      <c r="B429" s="89"/>
    </row>
    <row r="430" spans="2:2" x14ac:dyDescent="0.25">
      <c r="B430" s="89"/>
    </row>
    <row r="431" spans="2:2" x14ac:dyDescent="0.25">
      <c r="B431" s="89"/>
    </row>
    <row r="432" spans="2:2" x14ac:dyDescent="0.25">
      <c r="B432" s="89"/>
    </row>
    <row r="433" spans="2:2" x14ac:dyDescent="0.25">
      <c r="B433" s="89"/>
    </row>
    <row r="434" spans="2:2" x14ac:dyDescent="0.25">
      <c r="B434" s="89"/>
    </row>
    <row r="435" spans="2:2" x14ac:dyDescent="0.25">
      <c r="B435" s="89"/>
    </row>
    <row r="436" spans="2:2" x14ac:dyDescent="0.25">
      <c r="B436" s="89"/>
    </row>
    <row r="437" spans="2:2" x14ac:dyDescent="0.25">
      <c r="B437" s="89"/>
    </row>
    <row r="438" spans="2:2" x14ac:dyDescent="0.25">
      <c r="B438" s="89"/>
    </row>
    <row r="439" spans="2:2" x14ac:dyDescent="0.25">
      <c r="B439" s="89"/>
    </row>
    <row r="440" spans="2:2" x14ac:dyDescent="0.25">
      <c r="B440" s="89"/>
    </row>
    <row r="441" spans="2:2" x14ac:dyDescent="0.25">
      <c r="B441" s="89"/>
    </row>
    <row r="442" spans="2:2" x14ac:dyDescent="0.25">
      <c r="B442" s="89"/>
    </row>
    <row r="443" spans="2:2" x14ac:dyDescent="0.25">
      <c r="B443" s="89"/>
    </row>
    <row r="444" spans="2:2" x14ac:dyDescent="0.25">
      <c r="B444" s="89"/>
    </row>
    <row r="445" spans="2:2" x14ac:dyDescent="0.25">
      <c r="B445" s="89"/>
    </row>
    <row r="446" spans="2:2" x14ac:dyDescent="0.25">
      <c r="B446" s="89"/>
    </row>
    <row r="447" spans="2:2" x14ac:dyDescent="0.25">
      <c r="B447" s="89"/>
    </row>
    <row r="448" spans="2:2" x14ac:dyDescent="0.25">
      <c r="B448" s="89"/>
    </row>
    <row r="449" spans="2:2" x14ac:dyDescent="0.25">
      <c r="B449" s="89"/>
    </row>
    <row r="450" spans="2:2" x14ac:dyDescent="0.25">
      <c r="B450" s="89"/>
    </row>
    <row r="451" spans="2:2" x14ac:dyDescent="0.25">
      <c r="B451" s="89"/>
    </row>
    <row r="452" spans="2:2" x14ac:dyDescent="0.25">
      <c r="B452" s="89"/>
    </row>
    <row r="453" spans="2:2" x14ac:dyDescent="0.25">
      <c r="B453" s="89"/>
    </row>
    <row r="454" spans="2:2" x14ac:dyDescent="0.25">
      <c r="B454" s="89"/>
    </row>
    <row r="455" spans="2:2" x14ac:dyDescent="0.25">
      <c r="B455" s="89"/>
    </row>
    <row r="456" spans="2:2" x14ac:dyDescent="0.25">
      <c r="B456" s="89"/>
    </row>
    <row r="457" spans="2:2" x14ac:dyDescent="0.25">
      <c r="B457" s="89"/>
    </row>
    <row r="458" spans="2:2" x14ac:dyDescent="0.25">
      <c r="B458" s="89"/>
    </row>
    <row r="459" spans="2:2" x14ac:dyDescent="0.25">
      <c r="B459" s="89"/>
    </row>
    <row r="460" spans="2:2" x14ac:dyDescent="0.25">
      <c r="B460" s="89"/>
    </row>
    <row r="461" spans="2:2" x14ac:dyDescent="0.25">
      <c r="B461" s="89"/>
    </row>
    <row r="462" spans="2:2" x14ac:dyDescent="0.25">
      <c r="B462" s="89"/>
    </row>
    <row r="463" spans="2:2" x14ac:dyDescent="0.25">
      <c r="B463" s="89"/>
    </row>
    <row r="464" spans="2:2" x14ac:dyDescent="0.25">
      <c r="B464" s="89"/>
    </row>
    <row r="465" spans="2:2" x14ac:dyDescent="0.25">
      <c r="B465" s="89"/>
    </row>
    <row r="466" spans="2:2" x14ac:dyDescent="0.25">
      <c r="B466" s="89"/>
    </row>
    <row r="467" spans="2:2" x14ac:dyDescent="0.25">
      <c r="B467" s="89"/>
    </row>
    <row r="468" spans="2:2" x14ac:dyDescent="0.25">
      <c r="B468" s="89"/>
    </row>
    <row r="469" spans="2:2" x14ac:dyDescent="0.25">
      <c r="B469" s="89"/>
    </row>
    <row r="470" spans="2:2" x14ac:dyDescent="0.25">
      <c r="B470" s="89"/>
    </row>
    <row r="471" spans="2:2" x14ac:dyDescent="0.25">
      <c r="B471" s="89"/>
    </row>
    <row r="472" spans="2:2" x14ac:dyDescent="0.25">
      <c r="B472" s="89"/>
    </row>
    <row r="473" spans="2:2" x14ac:dyDescent="0.25">
      <c r="B473" s="89"/>
    </row>
    <row r="474" spans="2:2" x14ac:dyDescent="0.25">
      <c r="B474" s="89"/>
    </row>
    <row r="475" spans="2:2" x14ac:dyDescent="0.25">
      <c r="B475" s="89"/>
    </row>
    <row r="476" spans="2:2" x14ac:dyDescent="0.25">
      <c r="B476" s="89"/>
    </row>
    <row r="477" spans="2:2" x14ac:dyDescent="0.25">
      <c r="B477" s="89"/>
    </row>
    <row r="478" spans="2:2" x14ac:dyDescent="0.25">
      <c r="B478" s="89"/>
    </row>
    <row r="479" spans="2:2" x14ac:dyDescent="0.25">
      <c r="B479" s="89"/>
    </row>
    <row r="480" spans="2:2" x14ac:dyDescent="0.25">
      <c r="B480" s="89"/>
    </row>
    <row r="481" spans="2:2" x14ac:dyDescent="0.25">
      <c r="B481" s="89"/>
    </row>
    <row r="482" spans="2:2" x14ac:dyDescent="0.25">
      <c r="B482" s="89"/>
    </row>
    <row r="483" spans="2:2" x14ac:dyDescent="0.25">
      <c r="B483" s="89"/>
    </row>
    <row r="484" spans="2:2" x14ac:dyDescent="0.25">
      <c r="B484" s="89"/>
    </row>
    <row r="485" spans="2:2" x14ac:dyDescent="0.25">
      <c r="B485" s="89"/>
    </row>
    <row r="486" spans="2:2" x14ac:dyDescent="0.25">
      <c r="B486" s="89"/>
    </row>
    <row r="487" spans="2:2" x14ac:dyDescent="0.25">
      <c r="B487" s="89"/>
    </row>
    <row r="488" spans="2:2" x14ac:dyDescent="0.25">
      <c r="B488" s="89"/>
    </row>
    <row r="489" spans="2:2" x14ac:dyDescent="0.25">
      <c r="B489" s="89"/>
    </row>
    <row r="490" spans="2:2" x14ac:dyDescent="0.25">
      <c r="B490" s="89"/>
    </row>
    <row r="491" spans="2:2" x14ac:dyDescent="0.25">
      <c r="B491" s="89"/>
    </row>
    <row r="492" spans="2:2" x14ac:dyDescent="0.25">
      <c r="B492" s="89"/>
    </row>
    <row r="493" spans="2:2" x14ac:dyDescent="0.25">
      <c r="B493" s="89"/>
    </row>
    <row r="494" spans="2:2" x14ac:dyDescent="0.25">
      <c r="B494" s="89"/>
    </row>
    <row r="495" spans="2:2" x14ac:dyDescent="0.25">
      <c r="B495" s="89"/>
    </row>
    <row r="496" spans="2:2" x14ac:dyDescent="0.25">
      <c r="B496" s="89"/>
    </row>
    <row r="497" spans="2:2" x14ac:dyDescent="0.25">
      <c r="B497" s="89"/>
    </row>
    <row r="498" spans="2:2" x14ac:dyDescent="0.25">
      <c r="B498" s="89"/>
    </row>
    <row r="499" spans="2:2" x14ac:dyDescent="0.25">
      <c r="B499" s="89"/>
    </row>
    <row r="500" spans="2:2" x14ac:dyDescent="0.25">
      <c r="B500" s="89"/>
    </row>
    <row r="501" spans="2:2" x14ac:dyDescent="0.25">
      <c r="B501" s="89"/>
    </row>
    <row r="502" spans="2:2" x14ac:dyDescent="0.25">
      <c r="B502" s="89"/>
    </row>
    <row r="503" spans="2:2" x14ac:dyDescent="0.25">
      <c r="B503" s="89"/>
    </row>
    <row r="504" spans="2:2" x14ac:dyDescent="0.25">
      <c r="B504" s="89"/>
    </row>
    <row r="505" spans="2:2" x14ac:dyDescent="0.25">
      <c r="B505" s="89"/>
    </row>
    <row r="506" spans="2:2" x14ac:dyDescent="0.25">
      <c r="B506" s="89"/>
    </row>
    <row r="507" spans="2:2" x14ac:dyDescent="0.25">
      <c r="B507" s="89"/>
    </row>
    <row r="508" spans="2:2" x14ac:dyDescent="0.25">
      <c r="B508" s="89"/>
    </row>
    <row r="509" spans="2:2" x14ac:dyDescent="0.25">
      <c r="B509" s="89"/>
    </row>
    <row r="510" spans="2:2" x14ac:dyDescent="0.25">
      <c r="B510" s="89"/>
    </row>
    <row r="511" spans="2:2" x14ac:dyDescent="0.25">
      <c r="B511" s="89"/>
    </row>
    <row r="512" spans="2:2" x14ac:dyDescent="0.25">
      <c r="B512" s="89"/>
    </row>
    <row r="513" spans="2:2" x14ac:dyDescent="0.25">
      <c r="B513" s="89"/>
    </row>
    <row r="514" spans="2:2" x14ac:dyDescent="0.25">
      <c r="B514" s="89"/>
    </row>
    <row r="515" spans="2:2" x14ac:dyDescent="0.25">
      <c r="B515" s="89"/>
    </row>
    <row r="516" spans="2:2" x14ac:dyDescent="0.25">
      <c r="B516" s="89"/>
    </row>
    <row r="517" spans="2:2" x14ac:dyDescent="0.25">
      <c r="B517" s="89"/>
    </row>
    <row r="518" spans="2:2" x14ac:dyDescent="0.25">
      <c r="B518" s="89"/>
    </row>
    <row r="519" spans="2:2" x14ac:dyDescent="0.25">
      <c r="B519" s="89"/>
    </row>
    <row r="520" spans="2:2" x14ac:dyDescent="0.25">
      <c r="B520" s="89"/>
    </row>
    <row r="521" spans="2:2" x14ac:dyDescent="0.25">
      <c r="B521" s="89"/>
    </row>
    <row r="522" spans="2:2" x14ac:dyDescent="0.25">
      <c r="B522" s="89"/>
    </row>
    <row r="523" spans="2:2" x14ac:dyDescent="0.25">
      <c r="B523" s="89"/>
    </row>
    <row r="524" spans="2:2" x14ac:dyDescent="0.25">
      <c r="B524" s="89"/>
    </row>
    <row r="525" spans="2:2" x14ac:dyDescent="0.25">
      <c r="B525" s="89"/>
    </row>
    <row r="526" spans="2:2" x14ac:dyDescent="0.25">
      <c r="B526" s="89"/>
    </row>
    <row r="527" spans="2:2" x14ac:dyDescent="0.25">
      <c r="B527" s="89"/>
    </row>
    <row r="528" spans="2:2" x14ac:dyDescent="0.25">
      <c r="B528" s="89"/>
    </row>
    <row r="529" spans="2:2" x14ac:dyDescent="0.25">
      <c r="B529" s="89"/>
    </row>
    <row r="530" spans="2:2" x14ac:dyDescent="0.25">
      <c r="B530" s="89"/>
    </row>
    <row r="531" spans="2:2" x14ac:dyDescent="0.25">
      <c r="B531" s="89"/>
    </row>
    <row r="532" spans="2:2" x14ac:dyDescent="0.25">
      <c r="B532" s="89"/>
    </row>
    <row r="533" spans="2:2" x14ac:dyDescent="0.25">
      <c r="B533" s="89"/>
    </row>
    <row r="534" spans="2:2" x14ac:dyDescent="0.25">
      <c r="B534" s="89"/>
    </row>
    <row r="535" spans="2:2" x14ac:dyDescent="0.25">
      <c r="B535" s="89"/>
    </row>
    <row r="536" spans="2:2" x14ac:dyDescent="0.25">
      <c r="B536" s="89"/>
    </row>
    <row r="537" spans="2:2" x14ac:dyDescent="0.25">
      <c r="B537" s="89"/>
    </row>
  </sheetData>
  <protectedRanges>
    <protectedRange sqref="C50" name="Plage7"/>
    <protectedRange sqref="B11:B16" name="Plage1_2"/>
    <protectedRange sqref="B5:B9" name="Plage1_1"/>
    <protectedRange sqref="B62:B370" name="Plage1_4"/>
    <protectedRange sqref="A62:A370" name="Plage1_3"/>
    <protectedRange sqref="A371:A400 B19:B20 B32 B44:B45 B50:B51 B40:B41 G39 B56 C45:F45 B24:F25 B36:B37" name="Plage1"/>
    <protectedRange sqref="B30:H30" name="Plage2"/>
  </protectedRanges>
  <sortState xmlns:xlrd2="http://schemas.microsoft.com/office/spreadsheetml/2017/richdata2" ref="A62:B361">
    <sortCondition ref="A62:A361"/>
  </sortState>
  <mergeCells count="10">
    <mergeCell ref="E48:G48"/>
    <mergeCell ref="I46:J46"/>
    <mergeCell ref="I47:J47"/>
    <mergeCell ref="E47:G47"/>
    <mergeCell ref="I45:J45"/>
    <mergeCell ref="D4:H20"/>
    <mergeCell ref="I39:J39"/>
    <mergeCell ref="I40:J40"/>
    <mergeCell ref="E46:G46"/>
    <mergeCell ref="C12:C13"/>
  </mergeCells>
  <phoneticPr fontId="21" type="noConversion"/>
  <conditionalFormatting sqref="C50">
    <cfRule type="cellIs" dxfId="11" priority="1" operator="between">
      <formula>0.0001</formula>
      <formula>-0.0001</formula>
    </cfRule>
  </conditionalFormatting>
  <hyperlinks>
    <hyperlink ref="B1" location="'Table des matières'!A1" display="← Précédent" xr:uid="{D2BA6053-0976-40F7-8227-05DFF461E239}"/>
    <hyperlink ref="C1" location="'Table des matières'!A1" display="Table des matières" xr:uid="{8B4C0576-AED6-4CBB-9B94-F0C9D36FE0A6}"/>
    <hyperlink ref="D1" location="Recherche!A1" display="Suivant →" xr:uid="{6A41D26C-1E16-43C0-9824-7CBF963FF2DC}"/>
  </hyperlinks>
  <printOptions horizontalCentered="1"/>
  <pageMargins left="0" right="0" top="0" bottom="0" header="0.51181102362204722" footer="0.51181102362204722"/>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59999389629810485"/>
    <pageSetUpPr fitToPage="1"/>
  </sheetPr>
  <dimension ref="A1:L76"/>
  <sheetViews>
    <sheetView tabSelected="1" workbookViewId="0">
      <selection activeCell="E14" sqref="E14"/>
    </sheetView>
  </sheetViews>
  <sheetFormatPr baseColWidth="10" defaultColWidth="10.875" defaultRowHeight="15" x14ac:dyDescent="0.25"/>
  <cols>
    <col min="1" max="1" width="3.375" style="88" customWidth="1"/>
    <col min="2" max="2" width="17.125" style="88" customWidth="1"/>
    <col min="3" max="4" width="12.75" style="88" customWidth="1"/>
    <col min="5" max="6" width="12.75" style="116" customWidth="1"/>
    <col min="7" max="8" width="11.75" style="88" bestFit="1" customWidth="1"/>
    <col min="9" max="9" width="11.5" style="88" customWidth="1"/>
    <col min="10" max="16384" width="10.875" style="88"/>
  </cols>
  <sheetData>
    <row r="1" spans="1:10" ht="26.25" x14ac:dyDescent="0.4">
      <c r="A1" s="275" t="s">
        <v>524</v>
      </c>
      <c r="B1" s="275"/>
      <c r="H1" s="300"/>
      <c r="I1" s="299"/>
      <c r="J1" s="300"/>
    </row>
    <row r="3" spans="1:10" s="117" customFormat="1" ht="26.25" x14ac:dyDescent="0.4">
      <c r="B3" s="120"/>
      <c r="C3" s="625"/>
      <c r="D3" s="625"/>
      <c r="E3" s="625"/>
      <c r="F3" s="118"/>
    </row>
    <row r="6" spans="1:10" ht="18.75" x14ac:dyDescent="0.3">
      <c r="B6" s="624" t="s">
        <v>573</v>
      </c>
      <c r="C6" s="624"/>
      <c r="D6" s="624"/>
      <c r="E6" s="624"/>
      <c r="F6" s="624"/>
    </row>
    <row r="7" spans="1:10" s="146" customFormat="1" ht="18.75" x14ac:dyDescent="0.3">
      <c r="B7" s="624">
        <f>C3</f>
        <v>0</v>
      </c>
      <c r="C7" s="624"/>
      <c r="D7" s="624"/>
      <c r="E7" s="624"/>
      <c r="F7" s="624"/>
    </row>
    <row r="8" spans="1:10" s="146" customFormat="1" ht="12.75" x14ac:dyDescent="0.2">
      <c r="B8" s="153" t="e">
        <f>CONCATENATE("Population : ",TEXT(VLOOKUP($B$7,Synthèse!B5:D304,3,FALSE),"#'##0"))</f>
        <v>#N/A</v>
      </c>
      <c r="C8" s="144"/>
      <c r="D8" s="144"/>
      <c r="E8" s="145"/>
      <c r="F8" s="152" t="e">
        <f>CONCATENATE("N° OFS : ",VLOOKUP($B$7,Paramètres!A62:B361,2,FALSE))</f>
        <v>#N/A</v>
      </c>
    </row>
    <row r="9" spans="1:10" s="146" customFormat="1" ht="12.75" x14ac:dyDescent="0.2">
      <c r="B9" s="153" t="e">
        <f>CONCATENATE("Taux : ",VLOOKUP($B$7,Synthèse!B5:C304,2,FALSE))</f>
        <v>#N/A</v>
      </c>
      <c r="C9" s="144"/>
      <c r="D9" s="144"/>
      <c r="E9" s="145"/>
      <c r="F9" s="181" t="e">
        <f>CONCATENATE("Valeur du point d'impôt péréquatif : ",TEXT(ROUND(VLOOKUP(B7,Ecrêtage!B6:M314,2,FALSE),0),"#'##0"))</f>
        <v>#N/A</v>
      </c>
    </row>
    <row r="10" spans="1:10" s="146" customFormat="1" ht="12.75" x14ac:dyDescent="0.2">
      <c r="B10" s="144"/>
      <c r="C10" s="144"/>
      <c r="D10" s="144"/>
      <c r="E10" s="145"/>
      <c r="F10" s="181"/>
      <c r="H10" s="195"/>
      <c r="I10" s="195"/>
    </row>
    <row r="11" spans="1:10" ht="18" x14ac:dyDescent="0.35">
      <c r="B11" s="139" t="s">
        <v>415</v>
      </c>
      <c r="C11" s="67"/>
      <c r="D11" s="67"/>
      <c r="E11" s="119"/>
      <c r="F11" s="119"/>
    </row>
    <row r="12" spans="1:10" s="146" customFormat="1" ht="6" customHeight="1" x14ac:dyDescent="0.2">
      <c r="B12" s="144"/>
      <c r="C12" s="144"/>
      <c r="D12" s="144"/>
      <c r="E12" s="145"/>
      <c r="F12" s="145"/>
    </row>
    <row r="13" spans="1:10" s="146" customFormat="1" ht="12.75" x14ac:dyDescent="0.2">
      <c r="B13" s="151" t="s">
        <v>350</v>
      </c>
      <c r="C13" s="144"/>
      <c r="D13" s="144"/>
      <c r="E13" s="145"/>
      <c r="F13" s="145"/>
    </row>
    <row r="14" spans="1:10" s="146" customFormat="1" ht="12.75" x14ac:dyDescent="0.2">
      <c r="B14" s="144" t="s">
        <v>530</v>
      </c>
      <c r="C14" s="144"/>
      <c r="D14" s="144"/>
      <c r="E14" s="147" t="e">
        <f>VLOOKUP(C3,PCS!B12:E311,4,FALSE)*PCS!$E$11</f>
        <v>#N/A</v>
      </c>
      <c r="F14" s="145"/>
    </row>
    <row r="15" spans="1:10" s="146" customFormat="1" ht="12.75" x14ac:dyDescent="0.2">
      <c r="B15" s="144" t="s">
        <v>421</v>
      </c>
      <c r="C15" s="144"/>
      <c r="D15" s="144"/>
      <c r="E15" s="147" t="e">
        <f>VLOOKUP(C3,PCS!B12:D311,3,FALSE)*PCS!$D$11</f>
        <v>#N/A</v>
      </c>
      <c r="F15" s="145" t="e">
        <f>E14+E15</f>
        <v>#N/A</v>
      </c>
    </row>
    <row r="16" spans="1:10" s="146" customFormat="1" ht="6" customHeight="1" x14ac:dyDescent="0.2">
      <c r="B16" s="144"/>
      <c r="C16" s="144"/>
      <c r="D16" s="144"/>
      <c r="E16" s="145"/>
      <c r="F16" s="145"/>
    </row>
    <row r="17" spans="2:8" s="146" customFormat="1" ht="12.75" x14ac:dyDescent="0.2">
      <c r="B17" s="151" t="s">
        <v>365</v>
      </c>
      <c r="C17" s="144"/>
      <c r="D17" s="144"/>
      <c r="E17" s="145"/>
      <c r="F17" s="145"/>
    </row>
    <row r="18" spans="2:8" s="146" customFormat="1" ht="12.75" x14ac:dyDescent="0.2">
      <c r="B18" s="144" t="e">
        <f>CONCATENATE("Ecrêtage en points d'impôt: ",ROUND(VLOOKUP($C$3,Ecrêtage!B6:L305,11,FALSE),2))</f>
        <v>#N/A</v>
      </c>
      <c r="C18" s="144"/>
      <c r="D18" s="148"/>
      <c r="E18" s="145"/>
      <c r="F18" s="145" t="e">
        <f>VLOOKUP($C$3,Ecrêtage!B6:M305,12,FALSE)</f>
        <v>#N/A</v>
      </c>
    </row>
    <row r="19" spans="2:8" s="146" customFormat="1" ht="6" customHeight="1" x14ac:dyDescent="0.2">
      <c r="B19" s="144"/>
      <c r="C19" s="144"/>
      <c r="D19" s="144"/>
      <c r="E19" s="145"/>
      <c r="F19" s="145"/>
    </row>
    <row r="20" spans="2:8" s="146" customFormat="1" ht="12.75" x14ac:dyDescent="0.2">
      <c r="B20" s="151" t="s">
        <v>519</v>
      </c>
      <c r="C20" s="144"/>
      <c r="D20" s="144"/>
      <c r="E20" s="145"/>
      <c r="F20" s="145"/>
    </row>
    <row r="21" spans="2:8" s="146" customFormat="1" ht="12.75" x14ac:dyDescent="0.2">
      <c r="B21" s="144" t="str">
        <f>CONCATENATE("Solde en points d'impôt: ",ROUND(PCS!H11,2))</f>
        <v>Solde en points d'impôt: 11.65</v>
      </c>
      <c r="C21" s="144"/>
      <c r="D21" s="144"/>
      <c r="E21" s="145"/>
      <c r="F21" s="145"/>
    </row>
    <row r="22" spans="2:8" s="146" customFormat="1" ht="12.75" x14ac:dyDescent="0.2">
      <c r="B22" s="144" t="s">
        <v>369</v>
      </c>
      <c r="C22" s="144"/>
      <c r="D22" s="144"/>
      <c r="E22" s="145"/>
      <c r="F22" s="145" t="e">
        <f>VLOOKUP($C$3,PCS!B12:H311,7,FALSE)</f>
        <v>#N/A</v>
      </c>
      <c r="G22" s="228"/>
    </row>
    <row r="23" spans="2:8" s="146" customFormat="1" ht="6" customHeight="1" x14ac:dyDescent="0.2">
      <c r="B23" s="144"/>
      <c r="C23" s="144"/>
      <c r="D23" s="144"/>
      <c r="E23" s="145"/>
      <c r="F23" s="149"/>
    </row>
    <row r="24" spans="2:8" s="146" customFormat="1" ht="12.75" x14ac:dyDescent="0.2">
      <c r="B24" s="151" t="s">
        <v>381</v>
      </c>
      <c r="C24" s="144"/>
      <c r="D24" s="144"/>
      <c r="E24" s="145"/>
      <c r="F24" s="150" t="e">
        <f>F15+F18+F22</f>
        <v>#N/A</v>
      </c>
      <c r="G24" s="228"/>
      <c r="H24" s="228"/>
    </row>
    <row r="25" spans="2:8" s="146" customFormat="1" ht="6" customHeight="1" x14ac:dyDescent="0.2">
      <c r="B25" s="144"/>
      <c r="C25" s="144"/>
      <c r="D25" s="144"/>
      <c r="E25" s="145"/>
      <c r="F25" s="145"/>
    </row>
    <row r="26" spans="2:8" ht="18" x14ac:dyDescent="0.35">
      <c r="B26" s="139" t="s">
        <v>372</v>
      </c>
      <c r="C26" s="67"/>
      <c r="D26" s="67"/>
      <c r="E26" s="119"/>
      <c r="F26" s="119"/>
      <c r="G26" s="227"/>
    </row>
    <row r="27" spans="2:8" s="146" customFormat="1" ht="6" customHeight="1" x14ac:dyDescent="0.2">
      <c r="B27" s="144"/>
      <c r="C27" s="144"/>
      <c r="D27" s="144"/>
      <c r="E27" s="145"/>
      <c r="F27" s="145"/>
    </row>
    <row r="28" spans="2:8" s="146" customFormat="1" ht="12.75" x14ac:dyDescent="0.2">
      <c r="B28" s="151" t="s">
        <v>503</v>
      </c>
      <c r="C28" s="144"/>
      <c r="D28" s="144"/>
      <c r="E28" s="145"/>
      <c r="F28" s="145" t="e">
        <f>VLOOKUP(B7,'Péréquation directe'!B12:E311,4,FALSE)</f>
        <v>#N/A</v>
      </c>
      <c r="G28" s="229"/>
      <c r="H28" s="557"/>
    </row>
    <row r="29" spans="2:8" s="146" customFormat="1" ht="6" customHeight="1" x14ac:dyDescent="0.2">
      <c r="B29" s="144"/>
      <c r="C29" s="144"/>
      <c r="D29" s="144"/>
      <c r="E29" s="145"/>
      <c r="F29" s="145"/>
    </row>
    <row r="30" spans="2:8" s="146" customFormat="1" ht="12.75" x14ac:dyDescent="0.2">
      <c r="B30" s="151" t="s">
        <v>504</v>
      </c>
      <c r="C30" s="144"/>
      <c r="D30" s="144"/>
      <c r="E30" s="145"/>
      <c r="F30" s="145" t="e">
        <f>VLOOKUP(B7,'Péréquation directe'!B12:F311,5,FALSE)</f>
        <v>#N/A</v>
      </c>
    </row>
    <row r="31" spans="2:8" s="146" customFormat="1" ht="6" customHeight="1" x14ac:dyDescent="0.2">
      <c r="B31" s="144"/>
      <c r="C31" s="144"/>
      <c r="D31" s="144"/>
      <c r="E31" s="145"/>
      <c r="F31" s="145"/>
    </row>
    <row r="32" spans="2:8" s="146" customFormat="1" ht="12.75" x14ac:dyDescent="0.2">
      <c r="B32" s="151" t="s">
        <v>432</v>
      </c>
      <c r="C32" s="144"/>
      <c r="D32" s="144"/>
      <c r="E32" s="145"/>
      <c r="F32" s="145"/>
    </row>
    <row r="33" spans="2:12" s="146" customFormat="1" ht="12.75" customHeight="1" x14ac:dyDescent="0.2">
      <c r="B33" s="144" t="s">
        <v>375</v>
      </c>
      <c r="C33" s="144"/>
      <c r="D33" s="144"/>
      <c r="E33" s="147" t="e">
        <f>VLOOKUP(B7,Effort!B6:K305,10,FALSE)</f>
        <v>#N/A</v>
      </c>
      <c r="F33" s="145"/>
      <c r="L33" s="245"/>
    </row>
    <row r="34" spans="2:12" s="146" customFormat="1" ht="12.75" customHeight="1" x14ac:dyDescent="0.2">
      <c r="B34" s="144" t="s">
        <v>367</v>
      </c>
      <c r="C34" s="144"/>
      <c r="D34" s="144"/>
      <c r="E34" s="147" t="e">
        <f>VLOOKUP(B7,Aide!B6:I305,8,FALSE)</f>
        <v>#N/A</v>
      </c>
      <c r="F34" s="145"/>
      <c r="L34" s="245"/>
    </row>
    <row r="35" spans="2:12" s="146" customFormat="1" ht="12.75" customHeight="1" x14ac:dyDescent="0.2">
      <c r="B35" s="144" t="s">
        <v>368</v>
      </c>
      <c r="C35" s="144"/>
      <c r="D35" s="144"/>
      <c r="E35" s="147" t="e">
        <f>VLOOKUP(B7,Taux!B6:J305,9,FALSE)</f>
        <v>#N/A</v>
      </c>
      <c r="F35" s="145" t="e">
        <f>SUM(E33:E35)</f>
        <v>#N/A</v>
      </c>
      <c r="L35" s="245"/>
    </row>
    <row r="36" spans="2:12" s="146" customFormat="1" ht="6" customHeight="1" x14ac:dyDescent="0.2">
      <c r="B36" s="144"/>
      <c r="C36" s="144"/>
      <c r="D36" s="144"/>
      <c r="E36" s="145"/>
      <c r="F36" s="145"/>
      <c r="L36" s="245"/>
    </row>
    <row r="37" spans="2:12" s="146" customFormat="1" ht="12.75" customHeight="1" x14ac:dyDescent="0.2">
      <c r="B37" s="151" t="s">
        <v>499</v>
      </c>
      <c r="C37" s="144"/>
      <c r="D37" s="144"/>
      <c r="E37" s="145"/>
      <c r="F37" s="145" t="e">
        <f>VLOOKUP(B7,'Péréquation directe'!B12:J311,9,FALSE)</f>
        <v>#N/A</v>
      </c>
      <c r="G37" s="228"/>
      <c r="L37" s="245"/>
    </row>
    <row r="38" spans="2:12" s="146" customFormat="1" ht="6" customHeight="1" x14ac:dyDescent="0.2">
      <c r="B38" s="144"/>
      <c r="C38" s="144"/>
      <c r="D38" s="144"/>
      <c r="E38" s="145"/>
      <c r="F38" s="149"/>
      <c r="L38" s="245"/>
    </row>
    <row r="39" spans="2:12" s="146" customFormat="1" ht="6" customHeight="1" x14ac:dyDescent="0.2">
      <c r="B39" s="144"/>
      <c r="C39" s="144"/>
      <c r="D39" s="144"/>
      <c r="E39" s="145"/>
      <c r="F39" s="576"/>
      <c r="L39" s="245"/>
    </row>
    <row r="40" spans="2:12" s="146" customFormat="1" ht="12.75" customHeight="1" x14ac:dyDescent="0.2">
      <c r="B40" s="577" t="s">
        <v>570</v>
      </c>
      <c r="C40" s="578"/>
      <c r="D40" s="578"/>
      <c r="E40" s="579"/>
      <c r="F40" s="580" t="e">
        <f>+F30+F35+F37+F28</f>
        <v>#N/A</v>
      </c>
      <c r="L40" s="245"/>
    </row>
    <row r="41" spans="2:12" s="146" customFormat="1" ht="12.75" customHeight="1" x14ac:dyDescent="0.2">
      <c r="B41" s="144"/>
      <c r="C41" s="144"/>
      <c r="D41" s="144"/>
      <c r="E41" s="145"/>
      <c r="F41" s="576"/>
      <c r="L41" s="245"/>
    </row>
    <row r="42" spans="2:12" s="146" customFormat="1" ht="12.75" customHeight="1" x14ac:dyDescent="0.2">
      <c r="B42" s="151" t="s">
        <v>571</v>
      </c>
      <c r="C42" s="144"/>
      <c r="D42" s="144"/>
      <c r="E42" s="145"/>
      <c r="F42" s="248"/>
      <c r="L42" s="245"/>
    </row>
    <row r="43" spans="2:12" s="146" customFormat="1" ht="12.75" customHeight="1" x14ac:dyDescent="0.2">
      <c r="B43" s="250" t="s">
        <v>385</v>
      </c>
      <c r="C43" s="249"/>
      <c r="D43" s="249"/>
      <c r="E43" s="585">
        <v>0</v>
      </c>
      <c r="F43" s="249"/>
      <c r="L43" s="245"/>
    </row>
    <row r="44" spans="2:12" s="146" customFormat="1" ht="12.75" customHeight="1" x14ac:dyDescent="0.2">
      <c r="B44" s="250" t="s">
        <v>386</v>
      </c>
      <c r="C44" s="249"/>
      <c r="D44" s="249"/>
      <c r="E44" s="586">
        <v>0</v>
      </c>
      <c r="F44" s="581">
        <f>+E43+E44</f>
        <v>0</v>
      </c>
      <c r="L44" s="245"/>
    </row>
    <row r="45" spans="2:12" s="146" customFormat="1" ht="6" customHeight="1" x14ac:dyDescent="0.2">
      <c r="B45" s="250"/>
      <c r="C45" s="249"/>
      <c r="D45" s="249"/>
      <c r="E45" s="582"/>
      <c r="F45" s="583"/>
      <c r="L45" s="245"/>
    </row>
    <row r="46" spans="2:12" s="146" customFormat="1" ht="6" customHeight="1" x14ac:dyDescent="0.2">
      <c r="B46" s="250"/>
      <c r="C46" s="249"/>
      <c r="D46" s="249"/>
      <c r="E46" s="251"/>
      <c r="F46" s="584"/>
      <c r="L46" s="245"/>
    </row>
    <row r="47" spans="2:12" s="146" customFormat="1" ht="12.75" x14ac:dyDescent="0.2">
      <c r="B47" s="151" t="s">
        <v>525</v>
      </c>
      <c r="C47" s="144"/>
      <c r="D47" s="144"/>
      <c r="E47" s="145"/>
      <c r="F47" s="196" t="e">
        <f>F40+F44</f>
        <v>#N/A</v>
      </c>
      <c r="G47" s="228"/>
      <c r="H47" s="229"/>
    </row>
    <row r="48" spans="2:12" s="146" customFormat="1" ht="6" customHeight="1" x14ac:dyDescent="0.2">
      <c r="B48" s="144"/>
      <c r="C48" s="144"/>
      <c r="D48" s="144"/>
      <c r="E48" s="145"/>
      <c r="F48" s="145"/>
    </row>
    <row r="49" spans="2:11" ht="18" x14ac:dyDescent="0.35">
      <c r="B49" s="139" t="s">
        <v>521</v>
      </c>
      <c r="C49" s="67"/>
      <c r="D49" s="67"/>
      <c r="E49" s="119"/>
      <c r="F49" s="119"/>
      <c r="G49" s="146"/>
      <c r="H49" s="146"/>
      <c r="I49" s="146"/>
      <c r="J49" s="146"/>
      <c r="K49" s="146"/>
    </row>
    <row r="50" spans="2:11" s="146" customFormat="1" ht="6" customHeight="1" x14ac:dyDescent="0.2">
      <c r="B50" s="144"/>
      <c r="C50" s="144"/>
      <c r="D50" s="144"/>
      <c r="E50" s="145"/>
      <c r="F50" s="145"/>
    </row>
    <row r="51" spans="2:11" s="146" customFormat="1" ht="12.75" x14ac:dyDescent="0.2">
      <c r="B51" s="144" t="s">
        <v>520</v>
      </c>
      <c r="C51" s="144"/>
      <c r="D51" s="144"/>
      <c r="E51" s="147" t="e">
        <f>VLOOKUP(B7,'Facture policière'!B6:I305,8,FALSE)</f>
        <v>#N/A</v>
      </c>
      <c r="F51" s="145"/>
    </row>
    <row r="52" spans="2:11" s="146" customFormat="1" ht="12.75" x14ac:dyDescent="0.2">
      <c r="B52" s="144" t="s">
        <v>522</v>
      </c>
      <c r="C52" s="144"/>
      <c r="D52" s="144"/>
      <c r="E52" s="147" t="e">
        <f>VLOOKUP(B7,'Facture policière'!B6:K305,10,FALSE)</f>
        <v>#N/A</v>
      </c>
      <c r="F52" s="145" t="e">
        <f>E51+E52</f>
        <v>#N/A</v>
      </c>
    </row>
    <row r="53" spans="2:11" s="146" customFormat="1" ht="12.75" x14ac:dyDescent="0.2">
      <c r="B53" s="144"/>
      <c r="C53" s="144"/>
      <c r="D53" s="144"/>
      <c r="E53" s="145"/>
      <c r="F53" s="149"/>
    </row>
    <row r="54" spans="2:11" s="146" customFormat="1" ht="12.75" x14ac:dyDescent="0.2">
      <c r="B54" s="151" t="s">
        <v>523</v>
      </c>
      <c r="C54" s="144"/>
      <c r="D54" s="144"/>
      <c r="E54" s="145"/>
      <c r="F54" s="150" t="e">
        <f>F52</f>
        <v>#N/A</v>
      </c>
    </row>
    <row r="55" spans="2:11" s="146" customFormat="1" ht="6" customHeight="1" x14ac:dyDescent="0.2">
      <c r="B55" s="144"/>
      <c r="C55" s="144"/>
      <c r="D55" s="144"/>
      <c r="E55" s="145"/>
      <c r="F55" s="145"/>
    </row>
    <row r="56" spans="2:11" ht="18" x14ac:dyDescent="0.35">
      <c r="B56" s="139" t="s">
        <v>416</v>
      </c>
      <c r="C56" s="67"/>
      <c r="D56" s="67"/>
      <c r="E56" s="119"/>
      <c r="F56" s="119"/>
    </row>
    <row r="57" spans="2:11" ht="6" customHeight="1" x14ac:dyDescent="0.25">
      <c r="B57" s="144"/>
      <c r="C57" s="144"/>
      <c r="D57" s="144"/>
      <c r="E57" s="144"/>
      <c r="F57" s="144"/>
    </row>
    <row r="58" spans="2:11" x14ac:dyDescent="0.25">
      <c r="B58" s="151" t="s">
        <v>572</v>
      </c>
      <c r="C58" s="144"/>
      <c r="D58" s="144"/>
      <c r="E58" s="144"/>
      <c r="F58" s="150" t="e">
        <f>+F24+F47+F54</f>
        <v>#N/A</v>
      </c>
    </row>
    <row r="59" spans="2:11" ht="6" customHeight="1" x14ac:dyDescent="0.25">
      <c r="B59" s="144"/>
      <c r="C59" s="144"/>
      <c r="D59" s="144"/>
      <c r="E59" s="144"/>
      <c r="F59" s="144"/>
    </row>
    <row r="60" spans="2:11" ht="18" x14ac:dyDescent="0.35">
      <c r="B60" s="139" t="s">
        <v>376</v>
      </c>
      <c r="C60" s="67"/>
      <c r="D60" s="67"/>
      <c r="E60" s="119"/>
      <c r="F60" s="119"/>
    </row>
    <row r="61" spans="2:11" ht="6" hidden="1" customHeight="1" x14ac:dyDescent="0.25">
      <c r="B61" s="144"/>
      <c r="C61" s="144"/>
      <c r="D61" s="144"/>
      <c r="E61" s="145"/>
      <c r="F61" s="145"/>
    </row>
    <row r="62" spans="2:11" ht="38.25" hidden="1" x14ac:dyDescent="0.25">
      <c r="B62" s="144"/>
      <c r="C62" s="252" t="s">
        <v>387</v>
      </c>
      <c r="D62" s="253" t="s">
        <v>394</v>
      </c>
      <c r="E62" s="253" t="s">
        <v>277</v>
      </c>
      <c r="F62" s="254" t="s">
        <v>528</v>
      </c>
    </row>
    <row r="63" spans="2:11" hidden="1" x14ac:dyDescent="0.25">
      <c r="B63" s="255" t="s">
        <v>388</v>
      </c>
      <c r="C63" s="431" t="e">
        <f>SUM(D63:F63)</f>
        <v>#N/A</v>
      </c>
      <c r="D63" s="432" t="e">
        <f>VLOOKUP($C$3,'Décompte vs acomptes'!$B$6:$K$305,2,FALSE)</f>
        <v>#N/A</v>
      </c>
      <c r="E63" s="432" t="e">
        <f>VLOOKUP($C$3,'Décompte vs acomptes'!$B$6:$K$305,5,FALSE)</f>
        <v>#N/A</v>
      </c>
      <c r="F63" s="433" t="e">
        <f>VLOOKUP($C$3,'Décompte vs acomptes'!$B$6:$K$305,8,FALSE)</f>
        <v>#N/A</v>
      </c>
    </row>
    <row r="64" spans="2:11" hidden="1" x14ac:dyDescent="0.25">
      <c r="B64" s="255" t="s">
        <v>393</v>
      </c>
      <c r="C64" s="430" t="e">
        <f>IF(SUM(D64:F64)=0,"À venir", SUM(D64:F64))</f>
        <v>#N/A</v>
      </c>
      <c r="D64" s="428" t="e">
        <f>VLOOKUP($C$3,'Décompte vs acomptes'!$B$6:$K$305,3,FALSE)</f>
        <v>#N/A</v>
      </c>
      <c r="E64" s="428" t="e">
        <f>VLOOKUP($C$3,'Décompte vs acomptes'!$B$6:$K$305,6,FALSE)</f>
        <v>#N/A</v>
      </c>
      <c r="F64" s="429" t="e">
        <f>VLOOKUP($C$3,'Décompte vs acomptes'!$B$6:$K$305,9,FALSE)</f>
        <v>#N/A</v>
      </c>
    </row>
    <row r="65" spans="2:6" hidden="1" x14ac:dyDescent="0.25">
      <c r="B65" s="255" t="s">
        <v>529</v>
      </c>
      <c r="C65" s="431" t="e">
        <f>IF(SUM(D65:F65)=0,"À venir", SUM(D65:F605))</f>
        <v>#N/A</v>
      </c>
      <c r="D65" s="431" t="e">
        <f>VLOOKUP(B7,'Décompte vs acomptes'!B6:K305,4,FALSE)</f>
        <v>#N/A</v>
      </c>
      <c r="E65" s="431" t="e">
        <f>VLOOKUP(B7,'Décompte vs acomptes'!B6:K305,7,FALSE)</f>
        <v>#N/A</v>
      </c>
      <c r="F65" s="431" t="e">
        <f>VLOOKUP(B7,'Décompte vs acomptes'!B6:K305,10,FALSE)</f>
        <v>#N/A</v>
      </c>
    </row>
    <row r="66" spans="2:6" hidden="1" x14ac:dyDescent="0.25">
      <c r="B66" s="217"/>
      <c r="C66" s="256" t="s">
        <v>389</v>
      </c>
      <c r="D66" s="217"/>
      <c r="E66" s="5"/>
      <c r="F66" s="5"/>
    </row>
    <row r="67" spans="2:6" hidden="1" x14ac:dyDescent="0.25">
      <c r="B67" s="626" t="s">
        <v>540</v>
      </c>
      <c r="C67" s="626"/>
      <c r="D67" s="626"/>
      <c r="E67" s="626"/>
      <c r="F67" s="626"/>
    </row>
    <row r="68" spans="2:6" hidden="1" x14ac:dyDescent="0.25">
      <c r="B68" s="626"/>
      <c r="C68" s="626"/>
      <c r="D68" s="626"/>
      <c r="E68" s="626"/>
      <c r="F68" s="626"/>
    </row>
    <row r="69" spans="2:6" hidden="1" x14ac:dyDescent="0.25">
      <c r="B69" s="626"/>
      <c r="C69" s="626"/>
      <c r="D69" s="626"/>
      <c r="E69" s="626"/>
      <c r="F69" s="626"/>
    </row>
    <row r="70" spans="2:6" ht="18.75" hidden="1" customHeight="1" x14ac:dyDescent="0.25">
      <c r="B70" s="626"/>
      <c r="C70" s="626"/>
      <c r="D70" s="626"/>
      <c r="E70" s="626"/>
      <c r="F70" s="626"/>
    </row>
    <row r="71" spans="2:6" hidden="1" x14ac:dyDescent="0.25">
      <c r="B71" s="626"/>
      <c r="C71" s="626"/>
      <c r="D71" s="626"/>
      <c r="E71" s="626"/>
      <c r="F71" s="626"/>
    </row>
    <row r="72" spans="2:6" hidden="1" x14ac:dyDescent="0.25">
      <c r="B72" s="626"/>
      <c r="C72" s="626"/>
      <c r="D72" s="626"/>
      <c r="E72" s="626"/>
      <c r="F72" s="626"/>
    </row>
    <row r="73" spans="2:6" hidden="1" x14ac:dyDescent="0.25"/>
    <row r="74" spans="2:6" hidden="1" x14ac:dyDescent="0.25"/>
    <row r="75" spans="2:6" hidden="1" x14ac:dyDescent="0.25"/>
    <row r="76" spans="2:6" hidden="1" x14ac:dyDescent="0.25"/>
  </sheetData>
  <protectedRanges>
    <protectedRange sqref="C3:E3" name="Plage1"/>
  </protectedRanges>
  <mergeCells count="4">
    <mergeCell ref="B6:F6"/>
    <mergeCell ref="B7:F7"/>
    <mergeCell ref="C3:E3"/>
    <mergeCell ref="B67:F72"/>
  </mergeCells>
  <printOptions horizontalCentered="1" verticalCentered="1"/>
  <pageMargins left="0.70866141732283472" right="0.70866141732283472" top="0.35433070866141736" bottom="0.35433070866141736"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311B9C-B1F5-4E57-8162-0ECA1A164850}">
          <x14:formula1>
            <xm:f>Paramètres!$A$62:$A$361</xm:f>
          </x14:formula1>
          <xm:sqref>C3:E3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theme="3" tint="0.59999389629810485"/>
  </sheetPr>
  <dimension ref="A1:CN355"/>
  <sheetViews>
    <sheetView zoomScaleNormal="100" workbookViewId="0">
      <pane ySplit="5" topLeftCell="A6" activePane="bottomLeft" state="frozen"/>
      <selection activeCell="C3" sqref="C3:E3"/>
      <selection pane="bottomLeft" activeCell="C3" sqref="C3:E3"/>
    </sheetView>
  </sheetViews>
  <sheetFormatPr baseColWidth="10" defaultColWidth="8.625" defaultRowHeight="15" x14ac:dyDescent="0.25"/>
  <cols>
    <col min="1" max="1" width="8.5" style="193" customWidth="1"/>
    <col min="2" max="2" width="21.875" style="13" bestFit="1" customWidth="1"/>
    <col min="3" max="3" width="14.375" style="188" bestFit="1" customWidth="1"/>
    <col min="4" max="4" width="13" style="13" bestFit="1" customWidth="1"/>
    <col min="5" max="5" width="10.875" style="13" bestFit="1" customWidth="1"/>
    <col min="6" max="6" width="10.125" style="13" bestFit="1" customWidth="1"/>
    <col min="7" max="7" width="13.125" style="204" bestFit="1" customWidth="1"/>
    <col min="8" max="8" width="12.25" style="204" bestFit="1" customWidth="1"/>
    <col min="9" max="11" width="12.25" style="13" bestFit="1" customWidth="1"/>
    <col min="12" max="12" width="13.125" style="13" bestFit="1" customWidth="1"/>
    <col min="13" max="13" width="15.625" style="13" bestFit="1" customWidth="1"/>
    <col min="14" max="14" width="12.375" style="5" bestFit="1" customWidth="1"/>
    <col min="15" max="16" width="13.125" style="5" bestFit="1" customWidth="1"/>
    <col min="17" max="17" width="12.75" style="5" bestFit="1" customWidth="1"/>
    <col min="18" max="18" width="12.375" style="5" bestFit="1" customWidth="1"/>
    <col min="19" max="19" width="12.75" style="5" bestFit="1" customWidth="1"/>
    <col min="20" max="20" width="15.625" style="13" bestFit="1" customWidth="1"/>
    <col min="21" max="21" width="13.25" style="13" bestFit="1" customWidth="1"/>
    <col min="22" max="22" width="12" style="13" customWidth="1"/>
    <col min="23" max="23" width="13.625" style="13" bestFit="1" customWidth="1"/>
    <col min="24" max="24" width="10.375" style="13" customWidth="1"/>
    <col min="25" max="25" width="11.25" style="13" bestFit="1" customWidth="1"/>
    <col min="26" max="26" width="11.125" style="5" bestFit="1" customWidth="1"/>
    <col min="27" max="27" width="3.625" style="237" customWidth="1"/>
    <col min="28" max="28" width="12.25" style="237" bestFit="1" customWidth="1"/>
    <col min="29" max="29" width="6.5" style="237" bestFit="1" customWidth="1"/>
    <col min="30" max="30" width="13" style="237" bestFit="1" customWidth="1"/>
    <col min="31" max="31" width="6.5" style="237" bestFit="1" customWidth="1"/>
    <col min="32" max="32" width="13.125" style="237" customWidth="1"/>
    <col min="33" max="34" width="11.5" style="237" customWidth="1"/>
    <col min="35" max="35" width="3.625" style="237" customWidth="1"/>
    <col min="36" max="36" width="9.25" style="237" customWidth="1"/>
    <col min="37" max="37" width="5.5" style="237" bestFit="1" customWidth="1"/>
    <col min="38" max="38" width="12.125" style="237" bestFit="1" customWidth="1"/>
    <col min="39" max="39" width="6.375" style="237" bestFit="1" customWidth="1"/>
    <col min="40" max="40" width="12.25" style="237" bestFit="1" customWidth="1"/>
    <col min="41" max="41" width="3.75" style="237" customWidth="1"/>
    <col min="42" max="42" width="16" style="237" customWidth="1"/>
    <col min="43" max="43" width="3.75" style="237" customWidth="1"/>
    <col min="44" max="44" width="10.125" style="237" customWidth="1"/>
    <col min="45" max="45" width="12.125" style="237" bestFit="1" customWidth="1"/>
    <col min="46" max="46" width="14.25" style="237" bestFit="1" customWidth="1"/>
    <col min="47" max="47" width="9.75" style="5" customWidth="1"/>
    <col min="48" max="92" width="8.625" style="237"/>
    <col min="93" max="16384" width="8.625" style="13"/>
  </cols>
  <sheetData>
    <row r="1" spans="1:47" ht="26.25" x14ac:dyDescent="0.4">
      <c r="A1" s="276" t="str">
        <f>CONCATENATE("Données (",Paramètres!B5,")")</f>
        <v>Données (2022)</v>
      </c>
      <c r="B1" s="182"/>
      <c r="C1" s="404" t="s">
        <v>405</v>
      </c>
      <c r="D1" s="302" t="s">
        <v>397</v>
      </c>
      <c r="E1" s="403" t="s">
        <v>406</v>
      </c>
      <c r="F1" s="182"/>
      <c r="G1" s="182"/>
      <c r="H1" s="182"/>
      <c r="I1" s="182"/>
      <c r="J1" s="182"/>
      <c r="S1" s="4"/>
      <c r="V1" s="552"/>
      <c r="X1" s="194"/>
    </row>
    <row r="2" spans="1:47" ht="15.75" x14ac:dyDescent="0.25">
      <c r="A2" s="359" t="str">
        <f>Paramètres!B4</f>
        <v>Décompte 2022</v>
      </c>
      <c r="C2" s="184"/>
      <c r="D2" s="184"/>
      <c r="E2" s="184"/>
      <c r="F2" s="184"/>
      <c r="G2" s="184"/>
      <c r="H2" s="184"/>
      <c r="I2" s="184"/>
      <c r="J2" s="184"/>
      <c r="K2" s="184"/>
      <c r="L2" s="184"/>
      <c r="M2" s="184"/>
      <c r="N2" s="490"/>
      <c r="O2" s="490"/>
      <c r="P2" s="490"/>
      <c r="Q2" s="490"/>
      <c r="R2" s="490"/>
      <c r="S2" s="490"/>
      <c r="T2" s="184"/>
      <c r="U2" s="184"/>
      <c r="V2" s="184"/>
      <c r="W2" s="184"/>
      <c r="X2" s="184"/>
      <c r="Y2" s="184"/>
      <c r="Z2" s="184"/>
      <c r="AA2" s="184"/>
      <c r="AB2" s="184"/>
      <c r="AC2" s="184"/>
      <c r="AD2" s="184"/>
      <c r="AE2" s="184"/>
      <c r="AF2" s="184"/>
      <c r="AG2" s="184"/>
      <c r="AH2" s="184"/>
    </row>
    <row r="3" spans="1:47" x14ac:dyDescent="0.25">
      <c r="A3" s="189"/>
      <c r="B3" s="182"/>
      <c r="C3" s="183"/>
      <c r="D3" s="182"/>
      <c r="E3" s="182"/>
      <c r="F3" s="182"/>
      <c r="G3" s="182"/>
      <c r="H3" s="182"/>
      <c r="I3" s="182"/>
      <c r="J3" s="182"/>
      <c r="L3" s="185"/>
      <c r="S3" s="4"/>
      <c r="X3" s="194"/>
      <c r="AB3" s="640" t="s">
        <v>539</v>
      </c>
      <c r="AC3" s="641"/>
      <c r="AD3" s="641"/>
      <c r="AE3" s="641"/>
      <c r="AF3" s="642"/>
      <c r="AJ3" s="640" t="s">
        <v>462</v>
      </c>
      <c r="AK3" s="641"/>
      <c r="AL3" s="641"/>
      <c r="AM3" s="641"/>
      <c r="AN3" s="642"/>
    </row>
    <row r="4" spans="1:47" s="186" customFormat="1" ht="74.25" customHeight="1" x14ac:dyDescent="0.2">
      <c r="A4" s="627" t="s">
        <v>44</v>
      </c>
      <c r="B4" s="629" t="s">
        <v>395</v>
      </c>
      <c r="C4" s="456" t="s">
        <v>446</v>
      </c>
      <c r="D4" s="456" t="s">
        <v>447</v>
      </c>
      <c r="E4" s="453" t="s">
        <v>222</v>
      </c>
      <c r="F4" s="453" t="s">
        <v>223</v>
      </c>
      <c r="G4" s="453" t="s">
        <v>448</v>
      </c>
      <c r="H4" s="453" t="s">
        <v>449</v>
      </c>
      <c r="I4" s="453" t="s">
        <v>532</v>
      </c>
      <c r="J4" s="453" t="s">
        <v>417</v>
      </c>
      <c r="K4" s="453" t="s">
        <v>450</v>
      </c>
      <c r="L4" s="453" t="s">
        <v>313</v>
      </c>
      <c r="M4" s="453" t="s">
        <v>173</v>
      </c>
      <c r="N4" s="458" t="s">
        <v>174</v>
      </c>
      <c r="O4" s="458" t="s">
        <v>175</v>
      </c>
      <c r="P4" s="458" t="s">
        <v>176</v>
      </c>
      <c r="Q4" s="631" t="s">
        <v>337</v>
      </c>
      <c r="R4" s="458" t="s">
        <v>177</v>
      </c>
      <c r="S4" s="631" t="s">
        <v>418</v>
      </c>
      <c r="T4" s="453" t="s">
        <v>124</v>
      </c>
      <c r="U4" s="633" t="s">
        <v>218</v>
      </c>
      <c r="V4" s="633" t="s">
        <v>531</v>
      </c>
      <c r="W4" s="633" t="s">
        <v>219</v>
      </c>
      <c r="X4" s="456" t="s">
        <v>71</v>
      </c>
      <c r="Y4" s="633" t="s">
        <v>371</v>
      </c>
      <c r="Z4" s="457" t="s">
        <v>356</v>
      </c>
      <c r="AA4" s="267"/>
      <c r="AB4" s="643" t="s">
        <v>383</v>
      </c>
      <c r="AC4" s="644"/>
      <c r="AD4" s="643" t="s">
        <v>382</v>
      </c>
      <c r="AE4" s="644"/>
      <c r="AF4" s="638" t="s">
        <v>439</v>
      </c>
      <c r="AG4" s="638" t="s">
        <v>278</v>
      </c>
      <c r="AH4" s="638" t="s">
        <v>279</v>
      </c>
      <c r="AJ4" s="643" t="s">
        <v>384</v>
      </c>
      <c r="AK4" s="644"/>
      <c r="AL4" s="643" t="s">
        <v>382</v>
      </c>
      <c r="AM4" s="644"/>
      <c r="AN4" s="638" t="s">
        <v>430</v>
      </c>
      <c r="AP4" s="405" t="s">
        <v>494</v>
      </c>
      <c r="AR4" s="636" t="s">
        <v>440</v>
      </c>
      <c r="AU4" s="244"/>
    </row>
    <row r="5" spans="1:47" s="182" customFormat="1" x14ac:dyDescent="0.25">
      <c r="A5" s="628"/>
      <c r="B5" s="630"/>
      <c r="C5" s="315" t="s">
        <v>338</v>
      </c>
      <c r="D5" s="316" t="s">
        <v>339</v>
      </c>
      <c r="E5" s="317" t="s">
        <v>72</v>
      </c>
      <c r="F5" s="317" t="s">
        <v>73</v>
      </c>
      <c r="G5" s="317" t="s">
        <v>340</v>
      </c>
      <c r="H5" s="317" t="s">
        <v>341</v>
      </c>
      <c r="I5" s="317" t="s">
        <v>74</v>
      </c>
      <c r="J5" s="317" t="s">
        <v>75</v>
      </c>
      <c r="K5" s="317" t="s">
        <v>76</v>
      </c>
      <c r="L5" s="317" t="s">
        <v>77</v>
      </c>
      <c r="M5" s="317" t="s">
        <v>78</v>
      </c>
      <c r="N5" s="446" t="s">
        <v>79</v>
      </c>
      <c r="O5" s="446" t="s">
        <v>80</v>
      </c>
      <c r="P5" s="446" t="s">
        <v>81</v>
      </c>
      <c r="Q5" s="632"/>
      <c r="R5" s="446" t="s">
        <v>82</v>
      </c>
      <c r="S5" s="632"/>
      <c r="T5" s="317" t="s">
        <v>83</v>
      </c>
      <c r="U5" s="635"/>
      <c r="V5" s="635"/>
      <c r="W5" s="634"/>
      <c r="X5" s="454">
        <f>Paramètres!B5</f>
        <v>2022</v>
      </c>
      <c r="Y5" s="634"/>
      <c r="Z5" s="455">
        <f>+Paramètres!B6</f>
        <v>43464</v>
      </c>
      <c r="AA5" s="267"/>
      <c r="AB5" s="370" t="s">
        <v>359</v>
      </c>
      <c r="AC5" s="370" t="s">
        <v>360</v>
      </c>
      <c r="AD5" s="370" t="s">
        <v>359</v>
      </c>
      <c r="AE5" s="370" t="s">
        <v>360</v>
      </c>
      <c r="AF5" s="645"/>
      <c r="AG5" s="645"/>
      <c r="AH5" s="639"/>
      <c r="AJ5" s="370" t="s">
        <v>359</v>
      </c>
      <c r="AK5" s="370" t="s">
        <v>360</v>
      </c>
      <c r="AL5" s="370" t="s">
        <v>359</v>
      </c>
      <c r="AM5" s="370" t="s">
        <v>360</v>
      </c>
      <c r="AN5" s="639"/>
      <c r="AP5" s="551" t="str">
        <f>CONCATENATE(LEFT(Paramètres!B4,LENB(Paramètres!B4)-4), "T-1")</f>
        <v>Décompte T-1</v>
      </c>
      <c r="AR5" s="637"/>
      <c r="AU5" s="4"/>
    </row>
    <row r="6" spans="1:47" x14ac:dyDescent="0.25">
      <c r="A6" s="190">
        <v>5401</v>
      </c>
      <c r="B6" s="440" t="s">
        <v>224</v>
      </c>
      <c r="C6" s="528">
        <v>13702154.710000001</v>
      </c>
      <c r="D6" s="528">
        <v>1567422.45</v>
      </c>
      <c r="E6" s="528"/>
      <c r="F6" s="529"/>
      <c r="G6" s="528">
        <v>1104997</v>
      </c>
      <c r="H6" s="528">
        <v>164745.1</v>
      </c>
      <c r="I6" s="528">
        <v>46694.29</v>
      </c>
      <c r="J6" s="528">
        <v>732596.5</v>
      </c>
      <c r="K6" s="528">
        <v>228798.45</v>
      </c>
      <c r="L6" s="528">
        <v>2506428</v>
      </c>
      <c r="M6" s="491">
        <f>SUM(C6:L6)</f>
        <v>20053836.499999996</v>
      </c>
      <c r="N6" s="241">
        <v>1326279.6499999999</v>
      </c>
      <c r="O6" s="241">
        <v>453837.75</v>
      </c>
      <c r="P6" s="241">
        <v>842569.15</v>
      </c>
      <c r="Q6" s="241">
        <v>67721.289999999994</v>
      </c>
      <c r="R6" s="241">
        <v>602187.4</v>
      </c>
      <c r="S6" s="528">
        <v>132694.57</v>
      </c>
      <c r="T6" s="491">
        <f>SUM(M6:S6)</f>
        <v>23479126.309999991</v>
      </c>
      <c r="U6" s="237">
        <v>-379686.17</v>
      </c>
      <c r="V6" s="242"/>
      <c r="W6" s="242">
        <v>-10950.15</v>
      </c>
      <c r="X6" s="532">
        <v>66</v>
      </c>
      <c r="Y6" s="535">
        <v>1.2</v>
      </c>
      <c r="Z6" s="214">
        <v>10943</v>
      </c>
      <c r="AA6" s="265"/>
      <c r="AB6" s="235"/>
      <c r="AC6" s="436">
        <f>AB6/VPI!R6</f>
        <v>0</v>
      </c>
      <c r="AD6" s="438">
        <f>AF6-AB6</f>
        <v>0</v>
      </c>
      <c r="AE6" s="436">
        <f>AD6/VPI!R6</f>
        <v>0</v>
      </c>
      <c r="AF6" s="234"/>
      <c r="AG6" s="234"/>
      <c r="AH6" s="235"/>
      <c r="AI6" s="268"/>
      <c r="AJ6" s="8">
        <v>0</v>
      </c>
      <c r="AK6" s="436">
        <f>AJ6/VPI!R6</f>
        <v>0</v>
      </c>
      <c r="AL6" s="438">
        <f>AN6-AJ6</f>
        <v>0</v>
      </c>
      <c r="AM6" s="436">
        <f>AL6/VPI!R6</f>
        <v>0</v>
      </c>
      <c r="AN6" s="41"/>
      <c r="AO6" s="268"/>
      <c r="AP6" s="521">
        <v>-4.7163916696975434</v>
      </c>
      <c r="AR6" s="538">
        <v>1</v>
      </c>
    </row>
    <row r="7" spans="1:47" x14ac:dyDescent="0.25">
      <c r="A7" s="190">
        <v>5402</v>
      </c>
      <c r="B7" s="440" t="s">
        <v>225</v>
      </c>
      <c r="C7" s="528">
        <v>9554392.6699999999</v>
      </c>
      <c r="D7" s="528">
        <v>1483791.05</v>
      </c>
      <c r="E7" s="528"/>
      <c r="F7" s="529"/>
      <c r="G7" s="528">
        <v>631702.85</v>
      </c>
      <c r="H7" s="528">
        <v>93111.5</v>
      </c>
      <c r="I7" s="528">
        <v>27379.55</v>
      </c>
      <c r="J7" s="528">
        <v>377996.02</v>
      </c>
      <c r="K7" s="528">
        <v>133607.20000000001</v>
      </c>
      <c r="L7" s="528">
        <v>1756610</v>
      </c>
      <c r="M7" s="491">
        <f t="shared" ref="M7:M70" si="0">SUM(C7:L7)</f>
        <v>14058590.84</v>
      </c>
      <c r="N7" s="241">
        <v>327388.7</v>
      </c>
      <c r="O7" s="241">
        <v>246945.3</v>
      </c>
      <c r="P7" s="241">
        <v>835876.35</v>
      </c>
      <c r="Q7" s="241">
        <v>106337.92</v>
      </c>
      <c r="R7" s="241">
        <v>561562</v>
      </c>
      <c r="S7" s="528">
        <v>75746.820000000007</v>
      </c>
      <c r="T7" s="491">
        <f t="shared" ref="T7:T70" si="1">SUM(M7:S7)</f>
        <v>16212447.93</v>
      </c>
      <c r="U7" s="237">
        <v>-258933.35</v>
      </c>
      <c r="V7" s="241"/>
      <c r="W7" s="241">
        <v>-1175.92</v>
      </c>
      <c r="X7" s="533">
        <v>71</v>
      </c>
      <c r="Y7" s="536">
        <v>1.25</v>
      </c>
      <c r="Z7" s="213">
        <v>8165</v>
      </c>
      <c r="AA7" s="265"/>
      <c r="AB7" s="235"/>
      <c r="AC7" s="436">
        <f>AB7/VPI!R7</f>
        <v>0</v>
      </c>
      <c r="AD7" s="438">
        <f t="shared" ref="AD7:AD70" si="2">AF7-AB7</f>
        <v>0</v>
      </c>
      <c r="AE7" s="436">
        <f>AD7/VPI!R7</f>
        <v>0</v>
      </c>
      <c r="AF7" s="235"/>
      <c r="AG7" s="235"/>
      <c r="AH7" s="235"/>
      <c r="AI7" s="268"/>
      <c r="AJ7" s="8">
        <v>0</v>
      </c>
      <c r="AK7" s="436">
        <f>AJ7/VPI!R7</f>
        <v>0</v>
      </c>
      <c r="AL7" s="438">
        <f t="shared" ref="AL7:AL70" si="3">AN7-AJ7</f>
        <v>0</v>
      </c>
      <c r="AM7" s="436">
        <f>AL7/VPI!R7</f>
        <v>0</v>
      </c>
      <c r="AN7" s="8"/>
      <c r="AO7" s="268"/>
      <c r="AP7" s="522">
        <v>-8.7469694401254685</v>
      </c>
      <c r="AR7" s="539">
        <v>1</v>
      </c>
    </row>
    <row r="8" spans="1:47" x14ac:dyDescent="0.25">
      <c r="A8" s="190">
        <v>5403</v>
      </c>
      <c r="B8" s="440" t="s">
        <v>100</v>
      </c>
      <c r="C8" s="528">
        <v>610712.13</v>
      </c>
      <c r="D8" s="528">
        <v>86795</v>
      </c>
      <c r="E8" s="528"/>
      <c r="F8" s="529"/>
      <c r="G8" s="528">
        <v>61419.55</v>
      </c>
      <c r="H8" s="528">
        <v>1423.25</v>
      </c>
      <c r="I8" s="528"/>
      <c r="J8" s="528">
        <v>41708.410000000003</v>
      </c>
      <c r="K8" s="528">
        <v>6861.1</v>
      </c>
      <c r="L8" s="528">
        <v>89263.5</v>
      </c>
      <c r="M8" s="491">
        <f t="shared" si="0"/>
        <v>898182.94000000006</v>
      </c>
      <c r="N8" s="241">
        <v>5643</v>
      </c>
      <c r="O8" s="241">
        <v>27</v>
      </c>
      <c r="P8" s="241">
        <v>15928</v>
      </c>
      <c r="Q8" s="241">
        <v>1744.89</v>
      </c>
      <c r="R8" s="241">
        <v>13392.25</v>
      </c>
      <c r="S8" s="528">
        <v>6567.4</v>
      </c>
      <c r="T8" s="491">
        <f t="shared" si="1"/>
        <v>941485.4800000001</v>
      </c>
      <c r="U8" s="237">
        <v>-27602.83</v>
      </c>
      <c r="V8" s="241"/>
      <c r="W8" s="241">
        <v>0.59</v>
      </c>
      <c r="X8" s="533">
        <v>65</v>
      </c>
      <c r="Y8" s="536">
        <v>1</v>
      </c>
      <c r="Z8" s="213">
        <v>528</v>
      </c>
      <c r="AA8" s="265"/>
      <c r="AB8" s="235"/>
      <c r="AC8" s="436">
        <f>AB8/VPI!R8</f>
        <v>0</v>
      </c>
      <c r="AD8" s="438">
        <f t="shared" si="2"/>
        <v>0</v>
      </c>
      <c r="AE8" s="436">
        <f>AD8/VPI!R8</f>
        <v>0</v>
      </c>
      <c r="AF8" s="235"/>
      <c r="AG8" s="235"/>
      <c r="AH8" s="235"/>
      <c r="AI8" s="268"/>
      <c r="AJ8" s="8">
        <v>0</v>
      </c>
      <c r="AK8" s="436">
        <f>AJ8/VPI!R8</f>
        <v>0</v>
      </c>
      <c r="AL8" s="438">
        <f t="shared" si="3"/>
        <v>0</v>
      </c>
      <c r="AM8" s="436">
        <f>AL8/VPI!R8</f>
        <v>0</v>
      </c>
      <c r="AN8" s="8"/>
      <c r="AO8" s="268"/>
      <c r="AP8" s="522">
        <v>4.0899769806375206</v>
      </c>
      <c r="AR8" s="539">
        <v>0</v>
      </c>
    </row>
    <row r="9" spans="1:47" x14ac:dyDescent="0.25">
      <c r="A9" s="190">
        <v>5404</v>
      </c>
      <c r="B9" s="440" t="s">
        <v>101</v>
      </c>
      <c r="C9" s="528">
        <v>601627.55000000005</v>
      </c>
      <c r="D9" s="528">
        <v>168188.44</v>
      </c>
      <c r="E9" s="528"/>
      <c r="F9" s="529"/>
      <c r="G9" s="528">
        <v>-104</v>
      </c>
      <c r="H9" s="528">
        <v>6114.05</v>
      </c>
      <c r="I9" s="528"/>
      <c r="J9" s="528">
        <v>8970.39</v>
      </c>
      <c r="K9" s="528">
        <v>1763.05</v>
      </c>
      <c r="L9" s="528">
        <v>134510.15</v>
      </c>
      <c r="M9" s="491">
        <f t="shared" si="0"/>
        <v>921069.63000000012</v>
      </c>
      <c r="N9" s="241">
        <v>21844.1</v>
      </c>
      <c r="O9" s="241">
        <v>51174.400000000001</v>
      </c>
      <c r="P9" s="241">
        <v>66797</v>
      </c>
      <c r="Q9" s="241">
        <v>553.05999999999995</v>
      </c>
      <c r="R9" s="241">
        <v>78064.899999999994</v>
      </c>
      <c r="S9" s="528">
        <v>628.08000000000004</v>
      </c>
      <c r="T9" s="491">
        <f t="shared" si="1"/>
        <v>1140131.1700000002</v>
      </c>
      <c r="U9" s="237">
        <v>-12569.58</v>
      </c>
      <c r="V9" s="241"/>
      <c r="W9" s="241">
        <v>-1764.13</v>
      </c>
      <c r="X9" s="533">
        <v>74</v>
      </c>
      <c r="Y9" s="536">
        <v>1.5</v>
      </c>
      <c r="Z9" s="213">
        <v>440</v>
      </c>
      <c r="AA9" s="265"/>
      <c r="AB9" s="235"/>
      <c r="AC9" s="436">
        <f>AB9/VPI!R9</f>
        <v>0</v>
      </c>
      <c r="AD9" s="438">
        <f t="shared" si="2"/>
        <v>0</v>
      </c>
      <c r="AE9" s="436">
        <f>AD9/VPI!R9</f>
        <v>0</v>
      </c>
      <c r="AF9" s="235"/>
      <c r="AG9" s="235"/>
      <c r="AH9" s="235"/>
      <c r="AI9" s="268"/>
      <c r="AJ9" s="8">
        <v>0</v>
      </c>
      <c r="AK9" s="436">
        <f>AJ9/VPI!R9</f>
        <v>0</v>
      </c>
      <c r="AL9" s="438">
        <f t="shared" si="3"/>
        <v>0</v>
      </c>
      <c r="AM9" s="436">
        <f>AL9/VPI!R9</f>
        <v>0</v>
      </c>
      <c r="AN9" s="8"/>
      <c r="AO9" s="268"/>
      <c r="AP9" s="522">
        <v>7.87655651655108</v>
      </c>
      <c r="AR9" s="539">
        <v>0</v>
      </c>
    </row>
    <row r="10" spans="1:47" x14ac:dyDescent="0.25">
      <c r="A10" s="190">
        <v>5405</v>
      </c>
      <c r="B10" s="440" t="s">
        <v>102</v>
      </c>
      <c r="C10" s="528">
        <v>2950143.31</v>
      </c>
      <c r="D10" s="528">
        <v>1392264.01</v>
      </c>
      <c r="E10" s="528"/>
      <c r="F10" s="529"/>
      <c r="G10" s="528">
        <v>118714.4</v>
      </c>
      <c r="H10" s="528">
        <v>7888.8</v>
      </c>
      <c r="I10" s="528">
        <v>84568.01</v>
      </c>
      <c r="J10" s="528">
        <v>155104.95000000001</v>
      </c>
      <c r="K10" s="528">
        <v>21060.9</v>
      </c>
      <c r="L10" s="528">
        <v>1237857.6499999999</v>
      </c>
      <c r="M10" s="491">
        <f t="shared" si="0"/>
        <v>5967602.0300000012</v>
      </c>
      <c r="N10" s="241">
        <v>3649.4</v>
      </c>
      <c r="O10" s="241">
        <v>95435.85</v>
      </c>
      <c r="P10" s="241">
        <v>683664.85</v>
      </c>
      <c r="Q10" s="241">
        <v>101969.08</v>
      </c>
      <c r="R10" s="241">
        <v>405427.85</v>
      </c>
      <c r="S10" s="528">
        <v>13230.68</v>
      </c>
      <c r="T10" s="491">
        <f t="shared" si="1"/>
        <v>7270979.7400000002</v>
      </c>
      <c r="U10" s="237">
        <v>-276779.18</v>
      </c>
      <c r="V10" s="241"/>
      <c r="W10" s="241">
        <v>-6866.63</v>
      </c>
      <c r="X10" s="533">
        <v>73.5</v>
      </c>
      <c r="Y10" s="536">
        <v>1.5</v>
      </c>
      <c r="Z10" s="213">
        <v>1390</v>
      </c>
      <c r="AA10" s="265"/>
      <c r="AB10" s="235"/>
      <c r="AC10" s="436">
        <f>AB10/VPI!R10</f>
        <v>0</v>
      </c>
      <c r="AD10" s="438">
        <f t="shared" si="2"/>
        <v>0</v>
      </c>
      <c r="AE10" s="436">
        <f>AD10/VPI!R10</f>
        <v>0</v>
      </c>
      <c r="AF10" s="235"/>
      <c r="AG10" s="235"/>
      <c r="AH10" s="235"/>
      <c r="AI10" s="268"/>
      <c r="AJ10" s="8">
        <v>0</v>
      </c>
      <c r="AK10" s="436">
        <f>AJ10/VPI!R10</f>
        <v>0</v>
      </c>
      <c r="AL10" s="438">
        <f t="shared" si="3"/>
        <v>0</v>
      </c>
      <c r="AM10" s="436">
        <f>AL10/VPI!R10</f>
        <v>0</v>
      </c>
      <c r="AN10" s="8"/>
      <c r="AO10" s="268"/>
      <c r="AP10" s="522">
        <v>29.660499569515913</v>
      </c>
      <c r="AR10" s="539">
        <v>0</v>
      </c>
    </row>
    <row r="11" spans="1:47" x14ac:dyDescent="0.25">
      <c r="A11" s="190">
        <v>5406</v>
      </c>
      <c r="B11" s="440" t="s">
        <v>103</v>
      </c>
      <c r="C11" s="528">
        <v>1145090.74</v>
      </c>
      <c r="D11" s="528">
        <v>179611.47</v>
      </c>
      <c r="E11" s="528"/>
      <c r="F11" s="529"/>
      <c r="G11" s="528">
        <v>32208.25</v>
      </c>
      <c r="H11" s="528">
        <v>11480.95</v>
      </c>
      <c r="I11" s="528"/>
      <c r="J11" s="528">
        <v>43829.760000000002</v>
      </c>
      <c r="K11" s="528">
        <v>6049.5</v>
      </c>
      <c r="L11" s="528">
        <v>209774.8</v>
      </c>
      <c r="M11" s="491">
        <f t="shared" si="0"/>
        <v>1628045.47</v>
      </c>
      <c r="N11" s="241">
        <v>9333.2999999999993</v>
      </c>
      <c r="O11" s="241">
        <v>145168.4</v>
      </c>
      <c r="P11" s="241">
        <v>101511.5</v>
      </c>
      <c r="Q11" s="241">
        <v>16420.2</v>
      </c>
      <c r="R11" s="241">
        <v>82417.8</v>
      </c>
      <c r="S11" s="528">
        <v>4565.75</v>
      </c>
      <c r="T11" s="491">
        <f t="shared" si="1"/>
        <v>1987462.42</v>
      </c>
      <c r="U11" s="237">
        <v>-19647.5</v>
      </c>
      <c r="V11" s="241"/>
      <c r="W11" s="241">
        <v>0</v>
      </c>
      <c r="X11" s="533">
        <v>71.5</v>
      </c>
      <c r="Y11" s="536">
        <v>1.3</v>
      </c>
      <c r="Z11" s="213">
        <v>977</v>
      </c>
      <c r="AA11" s="265"/>
      <c r="AB11" s="235"/>
      <c r="AC11" s="436">
        <f>AB11/VPI!R11</f>
        <v>0</v>
      </c>
      <c r="AD11" s="438">
        <f t="shared" si="2"/>
        <v>0</v>
      </c>
      <c r="AE11" s="436">
        <f>AD11/VPI!R11</f>
        <v>0</v>
      </c>
      <c r="AF11" s="235"/>
      <c r="AG11" s="235"/>
      <c r="AH11" s="235"/>
      <c r="AI11" s="268"/>
      <c r="AJ11" s="8">
        <v>0</v>
      </c>
      <c r="AK11" s="436">
        <f>AJ11/VPI!R11</f>
        <v>0</v>
      </c>
      <c r="AL11" s="438">
        <f t="shared" si="3"/>
        <v>0</v>
      </c>
      <c r="AM11" s="436">
        <f>AL11/VPI!R11</f>
        <v>0</v>
      </c>
      <c r="AN11" s="8"/>
      <c r="AO11" s="268"/>
      <c r="AP11" s="522">
        <v>1.3050180150908257</v>
      </c>
      <c r="AR11" s="539">
        <v>0</v>
      </c>
    </row>
    <row r="12" spans="1:47" x14ac:dyDescent="0.25">
      <c r="A12" s="190">
        <v>5407</v>
      </c>
      <c r="B12" s="440" t="s">
        <v>104</v>
      </c>
      <c r="C12" s="528">
        <v>4358008.05</v>
      </c>
      <c r="D12" s="528">
        <v>1099725.3999999999</v>
      </c>
      <c r="E12" s="528"/>
      <c r="F12" s="529"/>
      <c r="G12" s="528">
        <v>-18129.7</v>
      </c>
      <c r="H12" s="528">
        <v>106052.05</v>
      </c>
      <c r="I12" s="528">
        <v>79181.899999999994</v>
      </c>
      <c r="J12" s="528">
        <v>524661.31999999995</v>
      </c>
      <c r="K12" s="528">
        <v>66066.5</v>
      </c>
      <c r="L12" s="528">
        <v>1288236.7</v>
      </c>
      <c r="M12" s="491">
        <f t="shared" si="0"/>
        <v>7503802.2199999997</v>
      </c>
      <c r="N12" s="241">
        <v>86933</v>
      </c>
      <c r="O12" s="241">
        <v>42968.2</v>
      </c>
      <c r="P12" s="241">
        <v>498300.4</v>
      </c>
      <c r="Q12" s="241">
        <v>7665.81</v>
      </c>
      <c r="R12" s="241">
        <v>357891.85</v>
      </c>
      <c r="S12" s="528">
        <v>9188.34</v>
      </c>
      <c r="T12" s="491">
        <f t="shared" si="1"/>
        <v>8506749.8200000003</v>
      </c>
      <c r="U12" s="237">
        <v>-79299.17</v>
      </c>
      <c r="V12" s="241"/>
      <c r="W12" s="241">
        <v>-4314.79</v>
      </c>
      <c r="X12" s="533">
        <v>78</v>
      </c>
      <c r="Y12" s="536">
        <v>1.5</v>
      </c>
      <c r="Z12" s="213">
        <v>3752</v>
      </c>
      <c r="AA12" s="265"/>
      <c r="AB12" s="235"/>
      <c r="AC12" s="436">
        <f>AB12/VPI!R12</f>
        <v>0</v>
      </c>
      <c r="AD12" s="438">
        <f t="shared" si="2"/>
        <v>0</v>
      </c>
      <c r="AE12" s="436">
        <f>AD12/VPI!R12</f>
        <v>0</v>
      </c>
      <c r="AF12" s="235"/>
      <c r="AG12" s="235"/>
      <c r="AH12" s="235"/>
      <c r="AI12" s="268"/>
      <c r="AJ12" s="8"/>
      <c r="AK12" s="436">
        <f>AJ12/VPI!R12</f>
        <v>0</v>
      </c>
      <c r="AL12" s="438">
        <f t="shared" si="3"/>
        <v>0</v>
      </c>
      <c r="AM12" s="436">
        <f>AL12/VPI!R12</f>
        <v>0</v>
      </c>
      <c r="AN12" s="8"/>
      <c r="AO12" s="268"/>
      <c r="AP12" s="522">
        <v>-4.5890261915199062</v>
      </c>
      <c r="AR12" s="539">
        <v>0</v>
      </c>
    </row>
    <row r="13" spans="1:47" x14ac:dyDescent="0.25">
      <c r="A13" s="190">
        <v>5408</v>
      </c>
      <c r="B13" s="440" t="s">
        <v>105</v>
      </c>
      <c r="C13" s="528">
        <v>2195150.2400000002</v>
      </c>
      <c r="D13" s="528">
        <v>299927.24</v>
      </c>
      <c r="E13" s="528"/>
      <c r="F13" s="529"/>
      <c r="G13" s="528">
        <v>209194.4</v>
      </c>
      <c r="H13" s="528">
        <v>9099.15</v>
      </c>
      <c r="I13" s="528"/>
      <c r="J13" s="528">
        <v>45375.89</v>
      </c>
      <c r="K13" s="528">
        <v>13990.5</v>
      </c>
      <c r="L13" s="528">
        <v>531149.05000000005</v>
      </c>
      <c r="M13" s="491">
        <f t="shared" si="0"/>
        <v>3303886.4700000007</v>
      </c>
      <c r="N13" s="241">
        <v>164080.04999999999</v>
      </c>
      <c r="O13" s="241">
        <v>7562.2</v>
      </c>
      <c r="P13" s="241">
        <v>98069.1</v>
      </c>
      <c r="Q13" s="241">
        <v>10805.47</v>
      </c>
      <c r="R13" s="241">
        <v>51863.85</v>
      </c>
      <c r="S13" s="528">
        <v>22812.799999999999</v>
      </c>
      <c r="T13" s="491">
        <f t="shared" si="1"/>
        <v>3659079.9400000009</v>
      </c>
      <c r="U13" s="237">
        <v>-12136.44</v>
      </c>
      <c r="V13" s="241"/>
      <c r="W13" s="241">
        <v>-315.11</v>
      </c>
      <c r="X13" s="533">
        <v>75</v>
      </c>
      <c r="Y13" s="536">
        <v>1.5</v>
      </c>
      <c r="Z13" s="213">
        <v>1169</v>
      </c>
      <c r="AA13" s="265"/>
      <c r="AB13" s="235"/>
      <c r="AC13" s="436">
        <f>AB13/VPI!R13</f>
        <v>0</v>
      </c>
      <c r="AD13" s="438">
        <f t="shared" si="2"/>
        <v>0</v>
      </c>
      <c r="AE13" s="436">
        <f>AD13/VPI!R13</f>
        <v>0</v>
      </c>
      <c r="AF13" s="235"/>
      <c r="AG13" s="235"/>
      <c r="AH13" s="235"/>
      <c r="AI13" s="268"/>
      <c r="AJ13" s="8"/>
      <c r="AK13" s="436">
        <f>AJ13/VPI!R13</f>
        <v>0</v>
      </c>
      <c r="AL13" s="438">
        <f t="shared" si="3"/>
        <v>0</v>
      </c>
      <c r="AM13" s="436">
        <f>AL13/VPI!R13</f>
        <v>0</v>
      </c>
      <c r="AN13" s="8"/>
      <c r="AO13" s="268"/>
      <c r="AP13" s="522">
        <v>17.386048038640972</v>
      </c>
      <c r="AR13" s="539">
        <v>0</v>
      </c>
    </row>
    <row r="14" spans="1:47" x14ac:dyDescent="0.25">
      <c r="A14" s="190">
        <v>5409</v>
      </c>
      <c r="B14" s="440" t="s">
        <v>106</v>
      </c>
      <c r="C14" s="528">
        <v>14213777.109999999</v>
      </c>
      <c r="D14" s="528">
        <v>6463406.6299999999</v>
      </c>
      <c r="E14" s="528"/>
      <c r="F14" s="529"/>
      <c r="G14" s="528">
        <v>564073.30000000005</v>
      </c>
      <c r="H14" s="528">
        <v>99268.85</v>
      </c>
      <c r="I14" s="528">
        <v>2125016.7000000002</v>
      </c>
      <c r="J14" s="528">
        <v>750992.26</v>
      </c>
      <c r="K14" s="528">
        <v>32427.4</v>
      </c>
      <c r="L14" s="528">
        <v>4359080.3499999996</v>
      </c>
      <c r="M14" s="491">
        <f t="shared" si="0"/>
        <v>28608042.600000001</v>
      </c>
      <c r="N14" s="241">
        <v>96927.8</v>
      </c>
      <c r="O14" s="241">
        <v>1110.04999999999</v>
      </c>
      <c r="P14" s="241">
        <v>2773112.95</v>
      </c>
      <c r="Q14" s="241">
        <v>154857.75</v>
      </c>
      <c r="R14" s="241">
        <v>2058006.65</v>
      </c>
      <c r="S14" s="528">
        <v>69322.66</v>
      </c>
      <c r="T14" s="491">
        <f t="shared" si="1"/>
        <v>33761380.460000001</v>
      </c>
      <c r="U14" s="237">
        <v>-188383.66</v>
      </c>
      <c r="V14" s="241"/>
      <c r="W14" s="241">
        <v>-34093.519999999997</v>
      </c>
      <c r="X14" s="533">
        <v>68</v>
      </c>
      <c r="Y14" s="536">
        <v>1.3</v>
      </c>
      <c r="Z14" s="213">
        <v>7971</v>
      </c>
      <c r="AA14" s="265"/>
      <c r="AB14" s="235"/>
      <c r="AC14" s="436">
        <f>AB14/VPI!R14</f>
        <v>0</v>
      </c>
      <c r="AD14" s="438">
        <f t="shared" si="2"/>
        <v>0</v>
      </c>
      <c r="AE14" s="436">
        <f>AD14/VPI!R14</f>
        <v>0</v>
      </c>
      <c r="AF14" s="235"/>
      <c r="AG14" s="235"/>
      <c r="AH14" s="235"/>
      <c r="AI14" s="268"/>
      <c r="AJ14" s="8"/>
      <c r="AK14" s="436">
        <f>AJ14/VPI!R14</f>
        <v>0</v>
      </c>
      <c r="AL14" s="438">
        <f t="shared" si="3"/>
        <v>0</v>
      </c>
      <c r="AM14" s="436">
        <f>AL14/VPI!R14</f>
        <v>0</v>
      </c>
      <c r="AN14" s="8"/>
      <c r="AO14" s="268"/>
      <c r="AP14" s="522">
        <v>23.992091330052517</v>
      </c>
      <c r="AR14" s="539">
        <v>1</v>
      </c>
    </row>
    <row r="15" spans="1:47" x14ac:dyDescent="0.25">
      <c r="A15" s="190">
        <v>5410</v>
      </c>
      <c r="B15" s="440" t="s">
        <v>116</v>
      </c>
      <c r="C15" s="528">
        <v>1823445.22</v>
      </c>
      <c r="D15" s="528">
        <v>693296.76</v>
      </c>
      <c r="E15" s="528"/>
      <c r="F15" s="529"/>
      <c r="G15" s="528">
        <v>33514.699999999997</v>
      </c>
      <c r="H15" s="528">
        <v>3813.1</v>
      </c>
      <c r="I15" s="528"/>
      <c r="J15" s="528">
        <v>69775.56</v>
      </c>
      <c r="K15" s="528">
        <v>11208</v>
      </c>
      <c r="L15" s="528">
        <v>598163.5</v>
      </c>
      <c r="M15" s="491">
        <f t="shared" si="0"/>
        <v>3233216.8400000003</v>
      </c>
      <c r="N15" s="241">
        <v>10917.9</v>
      </c>
      <c r="O15" s="241">
        <v>8213.4</v>
      </c>
      <c r="P15" s="241">
        <v>226879.85</v>
      </c>
      <c r="Q15" s="241">
        <v>19210.84</v>
      </c>
      <c r="R15" s="241">
        <v>275733.95</v>
      </c>
      <c r="S15" s="528">
        <v>3900.95</v>
      </c>
      <c r="T15" s="491">
        <f t="shared" si="1"/>
        <v>3778073.7300000004</v>
      </c>
      <c r="U15" s="237">
        <v>-98476.02</v>
      </c>
      <c r="V15" s="241"/>
      <c r="W15" s="241">
        <v>-234.34</v>
      </c>
      <c r="X15" s="533">
        <v>77</v>
      </c>
      <c r="Y15" s="536">
        <v>1.5</v>
      </c>
      <c r="Z15" s="213">
        <v>1178</v>
      </c>
      <c r="AA15" s="265"/>
      <c r="AB15" s="235"/>
      <c r="AC15" s="436">
        <f>AB15/VPI!R15</f>
        <v>0</v>
      </c>
      <c r="AD15" s="438">
        <f t="shared" si="2"/>
        <v>0</v>
      </c>
      <c r="AE15" s="436">
        <f>AD15/VPI!R15</f>
        <v>0</v>
      </c>
      <c r="AF15" s="235"/>
      <c r="AG15" s="235"/>
      <c r="AH15" s="235"/>
      <c r="AI15" s="268"/>
      <c r="AJ15" s="8"/>
      <c r="AK15" s="436">
        <f>AJ15/VPI!R15</f>
        <v>0</v>
      </c>
      <c r="AL15" s="438">
        <f t="shared" si="3"/>
        <v>0</v>
      </c>
      <c r="AM15" s="436">
        <f>AL15/VPI!R15</f>
        <v>0</v>
      </c>
      <c r="AN15" s="8"/>
      <c r="AO15" s="268"/>
      <c r="AP15" s="522">
        <v>15.353719343699154</v>
      </c>
      <c r="AR15" s="539">
        <v>0</v>
      </c>
    </row>
    <row r="16" spans="1:47" x14ac:dyDescent="0.25">
      <c r="A16" s="190">
        <v>5411</v>
      </c>
      <c r="B16" s="440" t="s">
        <v>117</v>
      </c>
      <c r="C16" s="528">
        <v>3145328.99</v>
      </c>
      <c r="D16" s="528">
        <v>1368979.96</v>
      </c>
      <c r="E16" s="528"/>
      <c r="F16" s="529"/>
      <c r="G16" s="528">
        <v>107878.5</v>
      </c>
      <c r="H16" s="528">
        <v>22875.4</v>
      </c>
      <c r="I16" s="528">
        <v>97632</v>
      </c>
      <c r="J16" s="528">
        <v>192715.39</v>
      </c>
      <c r="K16" s="528">
        <v>6193.95</v>
      </c>
      <c r="L16" s="528">
        <v>1308316.05</v>
      </c>
      <c r="M16" s="491">
        <f t="shared" si="0"/>
        <v>6249920.2400000002</v>
      </c>
      <c r="N16" s="241">
        <v>2113.6</v>
      </c>
      <c r="O16" s="241">
        <v>33515.599999999999</v>
      </c>
      <c r="P16" s="241">
        <v>675993.5</v>
      </c>
      <c r="Q16" s="241">
        <v>-9292.84</v>
      </c>
      <c r="R16" s="241">
        <v>491117.8</v>
      </c>
      <c r="S16" s="528">
        <v>13664.45</v>
      </c>
      <c r="T16" s="491">
        <f t="shared" si="1"/>
        <v>7457032.3499999996</v>
      </c>
      <c r="U16" s="237">
        <v>-28821.02</v>
      </c>
      <c r="V16" s="241"/>
      <c r="W16" s="241">
        <v>-1094.0899999999999</v>
      </c>
      <c r="X16" s="533">
        <v>76</v>
      </c>
      <c r="Y16" s="536">
        <v>1.5</v>
      </c>
      <c r="Z16" s="213">
        <v>1425</v>
      </c>
      <c r="AA16" s="265"/>
      <c r="AB16" s="235"/>
      <c r="AC16" s="436">
        <f>AB16/VPI!R16</f>
        <v>0</v>
      </c>
      <c r="AD16" s="438">
        <f t="shared" si="2"/>
        <v>0</v>
      </c>
      <c r="AE16" s="436">
        <f>AD16/VPI!R16</f>
        <v>0</v>
      </c>
      <c r="AF16" s="235"/>
      <c r="AG16" s="235"/>
      <c r="AH16" s="235"/>
      <c r="AI16" s="268"/>
      <c r="AJ16" s="8"/>
      <c r="AK16" s="436">
        <f>AJ16/VPI!R16</f>
        <v>0</v>
      </c>
      <c r="AL16" s="438">
        <f t="shared" si="3"/>
        <v>0</v>
      </c>
      <c r="AM16" s="436">
        <f>AL16/VPI!R16</f>
        <v>0</v>
      </c>
      <c r="AN16" s="8"/>
      <c r="AO16" s="268"/>
      <c r="AP16" s="522">
        <v>28.618020251586799</v>
      </c>
      <c r="AR16" s="539">
        <v>0</v>
      </c>
    </row>
    <row r="17" spans="1:44" x14ac:dyDescent="0.25">
      <c r="A17" s="190">
        <v>5412</v>
      </c>
      <c r="B17" s="440" t="s">
        <v>118</v>
      </c>
      <c r="C17" s="528">
        <v>1354929.8</v>
      </c>
      <c r="D17" s="528">
        <v>131174.24</v>
      </c>
      <c r="E17" s="528"/>
      <c r="F17" s="529"/>
      <c r="G17" s="528">
        <v>298253.40000000002</v>
      </c>
      <c r="H17" s="528">
        <v>9101.35</v>
      </c>
      <c r="I17" s="528">
        <v>37.049999999999301</v>
      </c>
      <c r="J17" s="528">
        <v>109928.61</v>
      </c>
      <c r="K17" s="528">
        <v>49964.95</v>
      </c>
      <c r="L17" s="528">
        <v>287918.09999999998</v>
      </c>
      <c r="M17" s="491">
        <f t="shared" si="0"/>
        <v>2241307.5</v>
      </c>
      <c r="N17" s="241">
        <v>916742.45</v>
      </c>
      <c r="O17" s="241"/>
      <c r="P17" s="241">
        <v>136161.15</v>
      </c>
      <c r="Q17" s="241">
        <v>19765.23</v>
      </c>
      <c r="R17" s="241">
        <v>167139.70000000001</v>
      </c>
      <c r="S17" s="528">
        <v>32120.15</v>
      </c>
      <c r="T17" s="491">
        <f t="shared" si="1"/>
        <v>3513236.18</v>
      </c>
      <c r="U17" s="237">
        <v>-68314.45</v>
      </c>
      <c r="V17" s="241"/>
      <c r="W17" s="241">
        <v>-288.02999999999997</v>
      </c>
      <c r="X17" s="533">
        <v>69</v>
      </c>
      <c r="Y17" s="536">
        <v>1</v>
      </c>
      <c r="Z17" s="213">
        <v>929</v>
      </c>
      <c r="AA17" s="265"/>
      <c r="AB17" s="235"/>
      <c r="AC17" s="436">
        <f>AB17/VPI!R17</f>
        <v>0</v>
      </c>
      <c r="AD17" s="438">
        <f t="shared" si="2"/>
        <v>0</v>
      </c>
      <c r="AE17" s="436">
        <f>AD17/VPI!R17</f>
        <v>0</v>
      </c>
      <c r="AF17" s="235"/>
      <c r="AG17" s="235"/>
      <c r="AH17" s="235"/>
      <c r="AI17" s="268"/>
      <c r="AJ17" s="8"/>
      <c r="AK17" s="436">
        <f>AJ17/VPI!R17</f>
        <v>0</v>
      </c>
      <c r="AL17" s="438">
        <f t="shared" si="3"/>
        <v>0</v>
      </c>
      <c r="AM17" s="436">
        <f>AL17/VPI!R17</f>
        <v>0</v>
      </c>
      <c r="AN17" s="8"/>
      <c r="AO17" s="268"/>
      <c r="AP17" s="522">
        <v>17.915109276333499</v>
      </c>
      <c r="AR17" s="539">
        <v>0</v>
      </c>
    </row>
    <row r="18" spans="1:44" x14ac:dyDescent="0.25">
      <c r="A18" s="190">
        <v>5413</v>
      </c>
      <c r="B18" s="440" t="s">
        <v>119</v>
      </c>
      <c r="C18" s="528">
        <v>1862633.55</v>
      </c>
      <c r="D18" s="528">
        <v>252779.5</v>
      </c>
      <c r="E18" s="528"/>
      <c r="F18" s="529"/>
      <c r="G18" s="528">
        <v>386867.3</v>
      </c>
      <c r="H18" s="528">
        <v>2647.4</v>
      </c>
      <c r="I18" s="528"/>
      <c r="J18" s="528">
        <v>68420.490000000005</v>
      </c>
      <c r="K18" s="528">
        <v>35152.550000000003</v>
      </c>
      <c r="L18" s="528">
        <v>357353.05</v>
      </c>
      <c r="M18" s="491">
        <f t="shared" si="0"/>
        <v>2965853.8399999994</v>
      </c>
      <c r="N18" s="241">
        <v>281315.65000000002</v>
      </c>
      <c r="O18" s="241">
        <v>247581.1</v>
      </c>
      <c r="P18" s="241">
        <v>306784.2</v>
      </c>
      <c r="Q18" s="241">
        <v>42942.97</v>
      </c>
      <c r="R18" s="241">
        <v>86863.8</v>
      </c>
      <c r="S18" s="528">
        <v>40706.29</v>
      </c>
      <c r="T18" s="491">
        <f t="shared" si="1"/>
        <v>3972047.8499999996</v>
      </c>
      <c r="U18" s="237">
        <v>-92620.88</v>
      </c>
      <c r="V18" s="241"/>
      <c r="W18" s="241">
        <v>-751.62</v>
      </c>
      <c r="X18" s="533">
        <v>68</v>
      </c>
      <c r="Y18" s="536">
        <v>1.2</v>
      </c>
      <c r="Z18" s="213">
        <v>1943</v>
      </c>
      <c r="AA18" s="265"/>
      <c r="AB18" s="235"/>
      <c r="AC18" s="436">
        <f>AB18/VPI!R18</f>
        <v>0</v>
      </c>
      <c r="AD18" s="438">
        <f t="shared" si="2"/>
        <v>0</v>
      </c>
      <c r="AE18" s="436">
        <f>AD18/VPI!R18</f>
        <v>0</v>
      </c>
      <c r="AF18" s="235"/>
      <c r="AG18" s="235"/>
      <c r="AH18" s="235"/>
      <c r="AI18" s="268"/>
      <c r="AJ18" s="8"/>
      <c r="AK18" s="436">
        <f>AJ18/VPI!R18</f>
        <v>0</v>
      </c>
      <c r="AL18" s="438">
        <f t="shared" si="3"/>
        <v>0</v>
      </c>
      <c r="AM18" s="436">
        <f>AL18/VPI!R18</f>
        <v>0</v>
      </c>
      <c r="AN18" s="8"/>
      <c r="AO18" s="268"/>
      <c r="AP18" s="522">
        <v>0.54053168194483903</v>
      </c>
      <c r="AR18" s="539">
        <v>0</v>
      </c>
    </row>
    <row r="19" spans="1:44" x14ac:dyDescent="0.25">
      <c r="A19" s="190">
        <v>5414</v>
      </c>
      <c r="B19" s="440" t="s">
        <v>120</v>
      </c>
      <c r="C19" s="528">
        <v>7187601.9100000001</v>
      </c>
      <c r="D19" s="528">
        <v>1250872.48</v>
      </c>
      <c r="E19" s="528"/>
      <c r="F19" s="529"/>
      <c r="G19" s="528">
        <v>854112.45</v>
      </c>
      <c r="H19" s="528">
        <v>50021.7</v>
      </c>
      <c r="I19" s="528">
        <v>72086.37</v>
      </c>
      <c r="J19" s="528">
        <v>361921.52</v>
      </c>
      <c r="K19" s="528">
        <v>194451.05</v>
      </c>
      <c r="L19" s="528">
        <v>1299724.3500000001</v>
      </c>
      <c r="M19" s="491">
        <f t="shared" si="0"/>
        <v>11270791.829999998</v>
      </c>
      <c r="N19" s="241">
        <v>1394258.5</v>
      </c>
      <c r="O19" s="241">
        <v>212518.9</v>
      </c>
      <c r="P19" s="241">
        <v>574545</v>
      </c>
      <c r="Q19" s="241">
        <v>134096.78</v>
      </c>
      <c r="R19" s="241">
        <v>495243.45</v>
      </c>
      <c r="S19" s="528">
        <v>94486.66</v>
      </c>
      <c r="T19" s="491">
        <f t="shared" si="1"/>
        <v>14175941.119999997</v>
      </c>
      <c r="U19" s="237">
        <v>-300306.08</v>
      </c>
      <c r="V19" s="241"/>
      <c r="W19" s="241">
        <v>-2070.16</v>
      </c>
      <c r="X19" s="533">
        <v>67.5</v>
      </c>
      <c r="Y19" s="536">
        <v>1</v>
      </c>
      <c r="Z19" s="213">
        <v>5980</v>
      </c>
      <c r="AA19" s="265"/>
      <c r="AB19" s="235"/>
      <c r="AC19" s="436">
        <f>AB19/VPI!R19</f>
        <v>0</v>
      </c>
      <c r="AD19" s="438">
        <f t="shared" si="2"/>
        <v>0</v>
      </c>
      <c r="AE19" s="436">
        <f>AD19/VPI!R19</f>
        <v>0</v>
      </c>
      <c r="AF19" s="235"/>
      <c r="AG19" s="235"/>
      <c r="AH19" s="235"/>
      <c r="AI19" s="268"/>
      <c r="AJ19" s="8"/>
      <c r="AK19" s="436">
        <f>AJ19/VPI!R19</f>
        <v>0</v>
      </c>
      <c r="AL19" s="438">
        <f t="shared" si="3"/>
        <v>0</v>
      </c>
      <c r="AM19" s="436">
        <f>AL19/VPI!R19</f>
        <v>0</v>
      </c>
      <c r="AN19" s="8"/>
      <c r="AO19" s="268"/>
      <c r="AP19" s="522">
        <v>8.1972867951792097</v>
      </c>
      <c r="AR19" s="539">
        <v>0</v>
      </c>
    </row>
    <row r="20" spans="1:44" x14ac:dyDescent="0.25">
      <c r="A20" s="190">
        <v>5415</v>
      </c>
      <c r="B20" s="440" t="s">
        <v>66</v>
      </c>
      <c r="C20" s="528">
        <v>1616560.87</v>
      </c>
      <c r="D20" s="528">
        <v>375090.91</v>
      </c>
      <c r="E20" s="528"/>
      <c r="F20" s="529"/>
      <c r="G20" s="528">
        <v>152423.29999999999</v>
      </c>
      <c r="H20" s="528">
        <v>2862.75</v>
      </c>
      <c r="I20" s="528">
        <v>461.9</v>
      </c>
      <c r="J20" s="528">
        <v>39610.120000000003</v>
      </c>
      <c r="K20" s="528">
        <v>3493.65</v>
      </c>
      <c r="L20" s="528">
        <v>355505.15</v>
      </c>
      <c r="M20" s="491">
        <f t="shared" si="0"/>
        <v>2546008.65</v>
      </c>
      <c r="N20" s="241">
        <v>34023.050000000003</v>
      </c>
      <c r="O20" s="241">
        <v>-822.1</v>
      </c>
      <c r="P20" s="241">
        <v>215767.45</v>
      </c>
      <c r="Q20" s="241">
        <v>5102.67</v>
      </c>
      <c r="R20" s="241">
        <v>154098.6</v>
      </c>
      <c r="S20" s="528">
        <v>16228.19</v>
      </c>
      <c r="T20" s="491">
        <f t="shared" si="1"/>
        <v>2970406.51</v>
      </c>
      <c r="U20" s="237">
        <v>-38678.86</v>
      </c>
      <c r="V20" s="241"/>
      <c r="W20" s="241">
        <v>-2359.54</v>
      </c>
      <c r="X20" s="533">
        <v>71.5</v>
      </c>
      <c r="Y20" s="536">
        <v>1.5</v>
      </c>
      <c r="Z20" s="213">
        <v>1088</v>
      </c>
      <c r="AA20" s="265"/>
      <c r="AB20" s="235"/>
      <c r="AC20" s="436">
        <f>AB20/VPI!R20</f>
        <v>0</v>
      </c>
      <c r="AD20" s="438">
        <f t="shared" si="2"/>
        <v>0</v>
      </c>
      <c r="AE20" s="436">
        <f>AD20/VPI!R20</f>
        <v>0</v>
      </c>
      <c r="AF20" s="235"/>
      <c r="AG20" s="235"/>
      <c r="AH20" s="235"/>
      <c r="AI20" s="268"/>
      <c r="AJ20" s="8"/>
      <c r="AK20" s="436">
        <f>AJ20/VPI!R20</f>
        <v>0</v>
      </c>
      <c r="AL20" s="438">
        <f t="shared" si="3"/>
        <v>0</v>
      </c>
      <c r="AM20" s="436">
        <f>AL20/VPI!R20</f>
        <v>0</v>
      </c>
      <c r="AN20" s="8"/>
      <c r="AO20" s="268"/>
      <c r="AP20" s="522">
        <v>18.866944474219338</v>
      </c>
      <c r="AR20" s="539">
        <v>0</v>
      </c>
    </row>
    <row r="21" spans="1:44" x14ac:dyDescent="0.25">
      <c r="A21" s="190">
        <v>5422</v>
      </c>
      <c r="B21" s="440" t="s">
        <v>67</v>
      </c>
      <c r="C21" s="528">
        <v>10695811.07</v>
      </c>
      <c r="D21" s="528">
        <v>1808817.53</v>
      </c>
      <c r="E21" s="528"/>
      <c r="F21" s="529"/>
      <c r="G21" s="528">
        <v>4060143.34</v>
      </c>
      <c r="H21" s="528">
        <v>2271901.15</v>
      </c>
      <c r="I21" s="528">
        <v>193473.85</v>
      </c>
      <c r="J21" s="528">
        <v>318744.96999999997</v>
      </c>
      <c r="K21" s="528">
        <v>-164194.9</v>
      </c>
      <c r="L21" s="528">
        <v>1146763.26</v>
      </c>
      <c r="M21" s="491">
        <f t="shared" si="0"/>
        <v>20331460.270000003</v>
      </c>
      <c r="N21" s="241">
        <v>752200.65</v>
      </c>
      <c r="O21" s="241">
        <v>23610.400000000001</v>
      </c>
      <c r="P21" s="241">
        <v>1665237.9</v>
      </c>
      <c r="Q21" s="241">
        <v>11207.14</v>
      </c>
      <c r="R21" s="241">
        <v>894114.85</v>
      </c>
      <c r="S21" s="528">
        <v>661731.16</v>
      </c>
      <c r="T21" s="491">
        <f t="shared" si="1"/>
        <v>24339562.370000001</v>
      </c>
      <c r="U21" s="237">
        <v>-166116.07</v>
      </c>
      <c r="V21" s="241">
        <v>-1249.2</v>
      </c>
      <c r="W21" s="241">
        <v>-4446.88</v>
      </c>
      <c r="X21" s="533">
        <v>70</v>
      </c>
      <c r="Y21" s="536">
        <v>1</v>
      </c>
      <c r="Z21" s="213">
        <v>3794</v>
      </c>
      <c r="AA21" s="265"/>
      <c r="AB21" s="235"/>
      <c r="AC21" s="436">
        <f>AB21/VPI!R21</f>
        <v>0</v>
      </c>
      <c r="AD21" s="438">
        <f t="shared" si="2"/>
        <v>0</v>
      </c>
      <c r="AE21" s="436">
        <f>AD21/VPI!R21</f>
        <v>0</v>
      </c>
      <c r="AF21" s="235"/>
      <c r="AG21" s="235"/>
      <c r="AH21" s="235"/>
      <c r="AI21" s="268"/>
      <c r="AJ21" s="8"/>
      <c r="AK21" s="436">
        <f>AJ21/VPI!R21</f>
        <v>0</v>
      </c>
      <c r="AL21" s="438">
        <f t="shared" si="3"/>
        <v>0</v>
      </c>
      <c r="AM21" s="436">
        <f>AL21/VPI!R21</f>
        <v>0</v>
      </c>
      <c r="AN21" s="8"/>
      <c r="AO21" s="268"/>
      <c r="AP21" s="522">
        <v>39.020299212291064</v>
      </c>
      <c r="AR21" s="539">
        <v>0</v>
      </c>
    </row>
    <row r="22" spans="1:44" x14ac:dyDescent="0.25">
      <c r="A22" s="190">
        <v>5423</v>
      </c>
      <c r="B22" s="440" t="s">
        <v>68</v>
      </c>
      <c r="C22" s="528">
        <v>1008834.6</v>
      </c>
      <c r="D22" s="528">
        <v>134407.63</v>
      </c>
      <c r="E22" s="528"/>
      <c r="F22" s="529"/>
      <c r="G22" s="528">
        <v>27801.35</v>
      </c>
      <c r="H22" s="528">
        <v>-669.65</v>
      </c>
      <c r="I22" s="528"/>
      <c r="J22" s="528">
        <v>32880.81</v>
      </c>
      <c r="K22" s="528">
        <v>2460.35</v>
      </c>
      <c r="L22" s="528">
        <v>41766.550000000003</v>
      </c>
      <c r="M22" s="491">
        <f t="shared" si="0"/>
        <v>1247481.6400000004</v>
      </c>
      <c r="N22" s="241">
        <v>31754.2</v>
      </c>
      <c r="O22" s="241">
        <v>9793.0499999999993</v>
      </c>
      <c r="P22" s="241">
        <v>75481.3</v>
      </c>
      <c r="Q22" s="241">
        <v>16.34</v>
      </c>
      <c r="R22" s="241">
        <v>112773.2</v>
      </c>
      <c r="S22" s="528">
        <v>2835.4</v>
      </c>
      <c r="T22" s="491">
        <f t="shared" si="1"/>
        <v>1480135.1300000004</v>
      </c>
      <c r="U22" s="237">
        <v>-25849.9</v>
      </c>
      <c r="V22" s="241"/>
      <c r="W22" s="241">
        <v>-0.02</v>
      </c>
      <c r="X22" s="533">
        <v>73</v>
      </c>
      <c r="Y22" s="536">
        <v>0.5</v>
      </c>
      <c r="Z22" s="213">
        <v>590</v>
      </c>
      <c r="AA22" s="265"/>
      <c r="AB22" s="235"/>
      <c r="AC22" s="436">
        <f>AB22/VPI!R22</f>
        <v>0</v>
      </c>
      <c r="AD22" s="438">
        <f t="shared" si="2"/>
        <v>0</v>
      </c>
      <c r="AE22" s="436">
        <f>AD22/VPI!R22</f>
        <v>0</v>
      </c>
      <c r="AF22" s="235"/>
      <c r="AG22" s="235"/>
      <c r="AH22" s="235"/>
      <c r="AI22" s="268"/>
      <c r="AJ22" s="8"/>
      <c r="AK22" s="436">
        <f>AJ22/VPI!R22</f>
        <v>0</v>
      </c>
      <c r="AL22" s="438">
        <f t="shared" si="3"/>
        <v>0</v>
      </c>
      <c r="AM22" s="436">
        <f>AL22/VPI!R22</f>
        <v>0</v>
      </c>
      <c r="AN22" s="8"/>
      <c r="AO22" s="268"/>
      <c r="AP22" s="522">
        <v>11.708460153746396</v>
      </c>
      <c r="AR22" s="539">
        <v>0</v>
      </c>
    </row>
    <row r="23" spans="1:44" x14ac:dyDescent="0.25">
      <c r="A23" s="190">
        <v>5424</v>
      </c>
      <c r="B23" s="440" t="s">
        <v>69</v>
      </c>
      <c r="C23" s="528">
        <v>597470.13</v>
      </c>
      <c r="D23" s="528">
        <v>77744.039999999994</v>
      </c>
      <c r="E23" s="528"/>
      <c r="F23" s="529"/>
      <c r="G23" s="528">
        <v>1174.0999999999999</v>
      </c>
      <c r="H23" s="528">
        <v>586.20000000000005</v>
      </c>
      <c r="I23" s="528">
        <v>38264.25</v>
      </c>
      <c r="J23" s="528">
        <v>-1499</v>
      </c>
      <c r="K23" s="528">
        <v>766</v>
      </c>
      <c r="L23" s="528">
        <v>53487.5</v>
      </c>
      <c r="M23" s="491">
        <f t="shared" si="0"/>
        <v>767993.22</v>
      </c>
      <c r="N23" s="241">
        <v>0</v>
      </c>
      <c r="O23" s="241">
        <v>646.20000000000005</v>
      </c>
      <c r="P23" s="241">
        <v>37391.75</v>
      </c>
      <c r="Q23" s="241">
        <v>6810</v>
      </c>
      <c r="R23" s="241">
        <v>39056.9</v>
      </c>
      <c r="S23" s="528">
        <v>183.96</v>
      </c>
      <c r="T23" s="491">
        <f t="shared" si="1"/>
        <v>852082.02999999991</v>
      </c>
      <c r="U23" s="237">
        <v>-111.48</v>
      </c>
      <c r="V23" s="241"/>
      <c r="W23" s="241">
        <v>0</v>
      </c>
      <c r="X23" s="533">
        <v>75.5</v>
      </c>
      <c r="Y23" s="536">
        <v>1</v>
      </c>
      <c r="Z23" s="213">
        <v>305</v>
      </c>
      <c r="AA23" s="265"/>
      <c r="AB23" s="235"/>
      <c r="AC23" s="436">
        <f>AB23/VPI!R23</f>
        <v>0</v>
      </c>
      <c r="AD23" s="438">
        <f t="shared" si="2"/>
        <v>0</v>
      </c>
      <c r="AE23" s="436">
        <f>AD23/VPI!R23</f>
        <v>0</v>
      </c>
      <c r="AF23" s="235"/>
      <c r="AG23" s="235"/>
      <c r="AH23" s="235"/>
      <c r="AI23" s="268"/>
      <c r="AJ23" s="8"/>
      <c r="AK23" s="436">
        <f>AJ23/VPI!R23</f>
        <v>0</v>
      </c>
      <c r="AL23" s="438">
        <f t="shared" si="3"/>
        <v>0</v>
      </c>
      <c r="AM23" s="436">
        <f>AL23/VPI!R23</f>
        <v>0</v>
      </c>
      <c r="AN23" s="8"/>
      <c r="AO23" s="268"/>
      <c r="AP23" s="522">
        <v>8.1183993602049487</v>
      </c>
      <c r="AR23" s="539">
        <v>0</v>
      </c>
    </row>
    <row r="24" spans="1:44" x14ac:dyDescent="0.25">
      <c r="A24" s="190">
        <v>5425</v>
      </c>
      <c r="B24" s="440" t="s">
        <v>70</v>
      </c>
      <c r="C24" s="528">
        <v>2160647.2999999998</v>
      </c>
      <c r="D24" s="528">
        <v>271953.24</v>
      </c>
      <c r="E24" s="528"/>
      <c r="F24" s="529"/>
      <c r="G24" s="528">
        <v>78711.899999999994</v>
      </c>
      <c r="H24" s="528">
        <v>28924.400000000001</v>
      </c>
      <c r="I24" s="528"/>
      <c r="J24" s="528">
        <v>173871.27</v>
      </c>
      <c r="K24" s="528">
        <v>19403.400000000001</v>
      </c>
      <c r="L24" s="528">
        <v>127659.55</v>
      </c>
      <c r="M24" s="491">
        <f t="shared" si="0"/>
        <v>2861171.0599999996</v>
      </c>
      <c r="N24" s="241">
        <v>82325.3</v>
      </c>
      <c r="O24" s="241">
        <v>6176.3</v>
      </c>
      <c r="P24" s="241">
        <v>92313.600000000006</v>
      </c>
      <c r="Q24" s="241">
        <v>6954.73</v>
      </c>
      <c r="R24" s="241">
        <v>88751.2</v>
      </c>
      <c r="S24" s="528">
        <v>11248.55</v>
      </c>
      <c r="T24" s="491">
        <f t="shared" si="1"/>
        <v>3148940.7399999993</v>
      </c>
      <c r="U24" s="237">
        <v>-56647.21</v>
      </c>
      <c r="V24" s="241"/>
      <c r="W24" s="241">
        <v>-61.34</v>
      </c>
      <c r="X24" s="533">
        <v>69</v>
      </c>
      <c r="Y24" s="536">
        <v>0.57999999999999996</v>
      </c>
      <c r="Z24" s="213">
        <v>1688</v>
      </c>
      <c r="AA24" s="265"/>
      <c r="AB24" s="235"/>
      <c r="AC24" s="436">
        <f>AB24/VPI!R24</f>
        <v>0</v>
      </c>
      <c r="AD24" s="438">
        <f t="shared" si="2"/>
        <v>0</v>
      </c>
      <c r="AE24" s="436">
        <f>AD24/VPI!R24</f>
        <v>0</v>
      </c>
      <c r="AF24" s="235"/>
      <c r="AG24" s="235"/>
      <c r="AH24" s="235"/>
      <c r="AI24" s="268"/>
      <c r="AJ24" s="8"/>
      <c r="AK24" s="436">
        <f>AJ24/VPI!R24</f>
        <v>0</v>
      </c>
      <c r="AL24" s="438">
        <f t="shared" si="3"/>
        <v>0</v>
      </c>
      <c r="AM24" s="436">
        <f>AL24/VPI!R24</f>
        <v>0</v>
      </c>
      <c r="AN24" s="8"/>
      <c r="AO24" s="268"/>
      <c r="AP24" s="522">
        <v>8.0471159904390568</v>
      </c>
      <c r="AR24" s="539">
        <v>0</v>
      </c>
    </row>
    <row r="25" spans="1:44" x14ac:dyDescent="0.25">
      <c r="A25" s="190">
        <v>5426</v>
      </c>
      <c r="B25" s="440" t="s">
        <v>65</v>
      </c>
      <c r="C25" s="528">
        <v>1920880.01</v>
      </c>
      <c r="D25" s="528">
        <v>681331.04</v>
      </c>
      <c r="E25" s="528"/>
      <c r="F25" s="529"/>
      <c r="G25" s="528">
        <v>24493.8</v>
      </c>
      <c r="H25" s="528">
        <v>3082.55</v>
      </c>
      <c r="I25" s="528">
        <v>1066523.6599999999</v>
      </c>
      <c r="J25" s="528">
        <v>35545.279999999999</v>
      </c>
      <c r="K25" s="528">
        <v>2681.7</v>
      </c>
      <c r="L25" s="528">
        <v>329767.59999999998</v>
      </c>
      <c r="M25" s="491">
        <f t="shared" si="0"/>
        <v>4064305.6399999997</v>
      </c>
      <c r="N25" s="241">
        <v>14437.65</v>
      </c>
      <c r="O25" s="241">
        <v>116610.8</v>
      </c>
      <c r="P25" s="241">
        <v>220528</v>
      </c>
      <c r="Q25" s="241"/>
      <c r="R25" s="241">
        <v>372045.25</v>
      </c>
      <c r="S25" s="528">
        <v>2609.1999999999998</v>
      </c>
      <c r="T25" s="491">
        <f t="shared" si="1"/>
        <v>4790536.54</v>
      </c>
      <c r="U25" s="237">
        <v>-10082.870000000001</v>
      </c>
      <c r="V25" s="241"/>
      <c r="W25" s="241">
        <v>-3803.7</v>
      </c>
      <c r="X25" s="533">
        <v>64.5</v>
      </c>
      <c r="Y25" s="536">
        <v>1.2</v>
      </c>
      <c r="Z25" s="213">
        <v>506</v>
      </c>
      <c r="AA25" s="265"/>
      <c r="AB25" s="235"/>
      <c r="AC25" s="436">
        <f>AB25/VPI!R25</f>
        <v>0</v>
      </c>
      <c r="AD25" s="438">
        <f t="shared" si="2"/>
        <v>0</v>
      </c>
      <c r="AE25" s="436">
        <f>AD25/VPI!R25</f>
        <v>0</v>
      </c>
      <c r="AF25" s="235"/>
      <c r="AG25" s="235"/>
      <c r="AH25" s="235"/>
      <c r="AI25" s="268"/>
      <c r="AJ25" s="8"/>
      <c r="AK25" s="436">
        <f>AJ25/VPI!R25</f>
        <v>0</v>
      </c>
      <c r="AL25" s="438">
        <f t="shared" si="3"/>
        <v>0</v>
      </c>
      <c r="AM25" s="436">
        <f>AL25/VPI!R25</f>
        <v>0</v>
      </c>
      <c r="AN25" s="8"/>
      <c r="AO25" s="268"/>
      <c r="AP25" s="522">
        <v>42.339138470643057</v>
      </c>
      <c r="AR25" s="539">
        <v>0</v>
      </c>
    </row>
    <row r="26" spans="1:44" x14ac:dyDescent="0.25">
      <c r="A26" s="190">
        <v>5427</v>
      </c>
      <c r="B26" s="440" t="s">
        <v>289</v>
      </c>
      <c r="C26" s="528">
        <v>3357930.85</v>
      </c>
      <c r="D26" s="528">
        <v>1037828.45</v>
      </c>
      <c r="E26" s="528"/>
      <c r="F26" s="529"/>
      <c r="G26" s="528">
        <v>41587.800000000003</v>
      </c>
      <c r="H26" s="528">
        <v>10488.35</v>
      </c>
      <c r="I26" s="528">
        <v>744144.35</v>
      </c>
      <c r="J26" s="528">
        <v>13997.29</v>
      </c>
      <c r="K26" s="528">
        <v>5658.95</v>
      </c>
      <c r="L26" s="528">
        <v>480025.3</v>
      </c>
      <c r="M26" s="491">
        <f t="shared" si="0"/>
        <v>5691661.3399999989</v>
      </c>
      <c r="N26" s="241">
        <v>11648.35</v>
      </c>
      <c r="O26" s="241">
        <v>0</v>
      </c>
      <c r="P26" s="241">
        <v>216118.15</v>
      </c>
      <c r="Q26" s="241"/>
      <c r="R26" s="241">
        <v>314012.7</v>
      </c>
      <c r="S26" s="528">
        <v>5442.23</v>
      </c>
      <c r="T26" s="491">
        <f t="shared" si="1"/>
        <v>6238882.7699999996</v>
      </c>
      <c r="U26" s="237">
        <v>-19.190000000000001</v>
      </c>
      <c r="V26" s="241"/>
      <c r="W26" s="241">
        <v>-20051.25</v>
      </c>
      <c r="X26" s="533">
        <v>64</v>
      </c>
      <c r="Y26" s="536">
        <v>1.3</v>
      </c>
      <c r="Z26" s="213">
        <v>887</v>
      </c>
      <c r="AA26" s="265"/>
      <c r="AB26" s="235"/>
      <c r="AC26" s="436">
        <f>AB26/VPI!R26</f>
        <v>0</v>
      </c>
      <c r="AD26" s="438">
        <f t="shared" si="2"/>
        <v>0</v>
      </c>
      <c r="AE26" s="436">
        <f>AD26/VPI!R26</f>
        <v>0</v>
      </c>
      <c r="AF26" s="235"/>
      <c r="AG26" s="235"/>
      <c r="AH26" s="235"/>
      <c r="AI26" s="268"/>
      <c r="AJ26" s="8"/>
      <c r="AK26" s="436">
        <f>AJ26/VPI!R26</f>
        <v>0</v>
      </c>
      <c r="AL26" s="438">
        <f t="shared" si="3"/>
        <v>0</v>
      </c>
      <c r="AM26" s="436">
        <f>AL26/VPI!R26</f>
        <v>0</v>
      </c>
      <c r="AN26" s="8"/>
      <c r="AO26" s="268"/>
      <c r="AP26" s="522">
        <v>40.583981406407261</v>
      </c>
      <c r="AR26" s="539">
        <v>0</v>
      </c>
    </row>
    <row r="27" spans="1:44" x14ac:dyDescent="0.25">
      <c r="A27" s="190">
        <v>5428</v>
      </c>
      <c r="B27" s="440" t="s">
        <v>290</v>
      </c>
      <c r="C27" s="528">
        <v>4215495.59</v>
      </c>
      <c r="D27" s="528">
        <v>526680.52</v>
      </c>
      <c r="E27" s="528"/>
      <c r="F27" s="529"/>
      <c r="G27" s="528">
        <v>28864</v>
      </c>
      <c r="H27" s="528">
        <v>14804.4</v>
      </c>
      <c r="I27" s="528"/>
      <c r="J27" s="528">
        <v>161676.75</v>
      </c>
      <c r="K27" s="528">
        <v>23087.1</v>
      </c>
      <c r="L27" s="528">
        <v>513280.05</v>
      </c>
      <c r="M27" s="491">
        <f t="shared" si="0"/>
        <v>5483888.4099999992</v>
      </c>
      <c r="N27" s="241">
        <v>239748.8</v>
      </c>
      <c r="O27" s="241">
        <v>196758.9</v>
      </c>
      <c r="P27" s="241">
        <v>271683.20000000001</v>
      </c>
      <c r="Q27" s="241">
        <v>26663.84</v>
      </c>
      <c r="R27" s="241">
        <v>283286.55</v>
      </c>
      <c r="S27" s="528">
        <v>4563.57</v>
      </c>
      <c r="T27" s="491">
        <f t="shared" si="1"/>
        <v>6506593.2699999996</v>
      </c>
      <c r="U27" s="237">
        <v>-113343</v>
      </c>
      <c r="V27" s="241"/>
      <c r="W27" s="241">
        <v>-85.84</v>
      </c>
      <c r="X27" s="533">
        <v>74.5</v>
      </c>
      <c r="Y27" s="536">
        <v>1.2</v>
      </c>
      <c r="Z27" s="213">
        <v>2414</v>
      </c>
      <c r="AA27" s="265"/>
      <c r="AB27" s="235"/>
      <c r="AC27" s="436">
        <f>AB27/VPI!R27</f>
        <v>0</v>
      </c>
      <c r="AD27" s="438">
        <f t="shared" si="2"/>
        <v>0</v>
      </c>
      <c r="AE27" s="436">
        <f>AD27/VPI!R27</f>
        <v>0</v>
      </c>
      <c r="AF27" s="235"/>
      <c r="AG27" s="235"/>
      <c r="AH27" s="235"/>
      <c r="AI27" s="268"/>
      <c r="AJ27" s="8"/>
      <c r="AK27" s="436">
        <f>AJ27/VPI!R27</f>
        <v>0</v>
      </c>
      <c r="AL27" s="438">
        <f t="shared" si="3"/>
        <v>0</v>
      </c>
      <c r="AM27" s="436">
        <f>AL27/VPI!R27</f>
        <v>0</v>
      </c>
      <c r="AN27" s="8"/>
      <c r="AO27" s="268"/>
      <c r="AP27" s="522">
        <v>7.7941035715866231</v>
      </c>
      <c r="AR27" s="539">
        <v>0</v>
      </c>
    </row>
    <row r="28" spans="1:44" x14ac:dyDescent="0.25">
      <c r="A28" s="190">
        <v>5429</v>
      </c>
      <c r="B28" s="440" t="s">
        <v>302</v>
      </c>
      <c r="C28" s="528">
        <v>1064813.8600000001</v>
      </c>
      <c r="D28" s="528">
        <v>143506.15</v>
      </c>
      <c r="E28" s="528"/>
      <c r="F28" s="529"/>
      <c r="G28" s="528">
        <v>33397.75</v>
      </c>
      <c r="H28" s="528">
        <v>4100.8</v>
      </c>
      <c r="I28" s="528"/>
      <c r="J28" s="528">
        <v>-731.21</v>
      </c>
      <c r="K28" s="528">
        <v>752.55</v>
      </c>
      <c r="L28" s="528">
        <v>111739.05</v>
      </c>
      <c r="M28" s="491">
        <f t="shared" si="0"/>
        <v>1357578.9500000002</v>
      </c>
      <c r="N28" s="241">
        <v>15883.15</v>
      </c>
      <c r="O28" s="241">
        <v>0</v>
      </c>
      <c r="P28" s="241">
        <v>32387</v>
      </c>
      <c r="Q28" s="241">
        <v>0</v>
      </c>
      <c r="R28" s="241">
        <v>79501.100000000006</v>
      </c>
      <c r="S28" s="528">
        <v>3918.79</v>
      </c>
      <c r="T28" s="491">
        <f t="shared" si="1"/>
        <v>1489268.9900000002</v>
      </c>
      <c r="U28" s="237">
        <v>-32963.19</v>
      </c>
      <c r="V28" s="241"/>
      <c r="W28" s="241">
        <v>0</v>
      </c>
      <c r="X28" s="533">
        <v>77.5</v>
      </c>
      <c r="Y28" s="536">
        <v>1</v>
      </c>
      <c r="Z28" s="213">
        <v>542</v>
      </c>
      <c r="AA28" s="265"/>
      <c r="AB28" s="235"/>
      <c r="AC28" s="436">
        <f>AB28/VPI!R28</f>
        <v>0</v>
      </c>
      <c r="AD28" s="438">
        <f t="shared" si="2"/>
        <v>0</v>
      </c>
      <c r="AE28" s="436">
        <f>AD28/VPI!R28</f>
        <v>0</v>
      </c>
      <c r="AF28" s="235"/>
      <c r="AG28" s="235"/>
      <c r="AH28" s="235"/>
      <c r="AI28" s="268"/>
      <c r="AJ28" s="8"/>
      <c r="AK28" s="436">
        <f>AJ28/VPI!R28</f>
        <v>0</v>
      </c>
      <c r="AL28" s="438">
        <f t="shared" si="3"/>
        <v>0</v>
      </c>
      <c r="AM28" s="436">
        <f>AL28/VPI!R28</f>
        <v>0</v>
      </c>
      <c r="AN28" s="8"/>
      <c r="AO28" s="268"/>
      <c r="AP28" s="522">
        <v>18.850790109901546</v>
      </c>
      <c r="AR28" s="539">
        <v>0</v>
      </c>
    </row>
    <row r="29" spans="1:44" x14ac:dyDescent="0.25">
      <c r="A29" s="190">
        <v>5430</v>
      </c>
      <c r="B29" s="440" t="s">
        <v>303</v>
      </c>
      <c r="C29" s="528">
        <v>1095883.99</v>
      </c>
      <c r="D29" s="528">
        <v>131569.31</v>
      </c>
      <c r="E29" s="528"/>
      <c r="F29" s="529"/>
      <c r="G29" s="528">
        <v>-783.5</v>
      </c>
      <c r="H29" s="528">
        <v>1960.55</v>
      </c>
      <c r="I29" s="528"/>
      <c r="J29" s="528">
        <v>7017.17</v>
      </c>
      <c r="K29" s="528">
        <v>-1384.5</v>
      </c>
      <c r="L29" s="528">
        <v>95036.5</v>
      </c>
      <c r="M29" s="491">
        <f t="shared" si="0"/>
        <v>1329299.52</v>
      </c>
      <c r="N29" s="241">
        <v>11206.4</v>
      </c>
      <c r="O29" s="241"/>
      <c r="P29" s="241">
        <v>49907</v>
      </c>
      <c r="Q29" s="241"/>
      <c r="R29" s="241">
        <v>64624.45</v>
      </c>
      <c r="S29" s="528">
        <v>123.01</v>
      </c>
      <c r="T29" s="491">
        <f t="shared" si="1"/>
        <v>1455160.38</v>
      </c>
      <c r="U29" s="237">
        <v>-2398.1999999999998</v>
      </c>
      <c r="V29" s="241"/>
      <c r="W29" s="241">
        <v>-91.38</v>
      </c>
      <c r="X29" s="533">
        <v>77.5</v>
      </c>
      <c r="Y29" s="536">
        <v>1</v>
      </c>
      <c r="Z29" s="213">
        <v>501</v>
      </c>
      <c r="AA29" s="265"/>
      <c r="AB29" s="235"/>
      <c r="AC29" s="436">
        <f>AB29/VPI!R29</f>
        <v>0</v>
      </c>
      <c r="AD29" s="438">
        <f t="shared" si="2"/>
        <v>0</v>
      </c>
      <c r="AE29" s="436">
        <f>AD29/VPI!R29</f>
        <v>0</v>
      </c>
      <c r="AF29" s="235"/>
      <c r="AG29" s="235"/>
      <c r="AH29" s="235"/>
      <c r="AI29" s="268"/>
      <c r="AJ29" s="8"/>
      <c r="AK29" s="436">
        <f>AJ29/VPI!R29</f>
        <v>0</v>
      </c>
      <c r="AL29" s="438">
        <f t="shared" si="3"/>
        <v>0</v>
      </c>
      <c r="AM29" s="436">
        <f>AL29/VPI!R29</f>
        <v>0</v>
      </c>
      <c r="AN29" s="8"/>
      <c r="AO29" s="268"/>
      <c r="AP29" s="522">
        <v>14.824200221946516</v>
      </c>
      <c r="AR29" s="539">
        <v>0</v>
      </c>
    </row>
    <row r="30" spans="1:44" x14ac:dyDescent="0.25">
      <c r="A30" s="190">
        <v>5431</v>
      </c>
      <c r="B30" s="440" t="s">
        <v>304</v>
      </c>
      <c r="C30" s="528">
        <v>531387.01</v>
      </c>
      <c r="D30" s="528">
        <v>79637.86</v>
      </c>
      <c r="E30" s="528"/>
      <c r="F30" s="529"/>
      <c r="G30" s="528">
        <v>-448.55</v>
      </c>
      <c r="H30" s="528">
        <v>327.7</v>
      </c>
      <c r="I30" s="528"/>
      <c r="J30" s="528">
        <v>38582.04</v>
      </c>
      <c r="K30" s="528">
        <v>799.5</v>
      </c>
      <c r="L30" s="528">
        <v>54478.400000000001</v>
      </c>
      <c r="M30" s="491">
        <f t="shared" si="0"/>
        <v>704763.96</v>
      </c>
      <c r="N30" s="241">
        <v>266.60000000000002</v>
      </c>
      <c r="O30" s="241"/>
      <c r="P30" s="241">
        <v>45650</v>
      </c>
      <c r="Q30" s="241"/>
      <c r="R30" s="241">
        <v>12397.6</v>
      </c>
      <c r="S30" s="528">
        <v>-12.63</v>
      </c>
      <c r="T30" s="491">
        <f t="shared" si="1"/>
        <v>763065.52999999991</v>
      </c>
      <c r="U30" s="237">
        <v>-762.06</v>
      </c>
      <c r="V30" s="241"/>
      <c r="W30" s="241">
        <v>-2835.6</v>
      </c>
      <c r="X30" s="533">
        <v>74</v>
      </c>
      <c r="Y30" s="536">
        <v>1</v>
      </c>
      <c r="Z30" s="213">
        <v>324</v>
      </c>
      <c r="AA30" s="265"/>
      <c r="AB30" s="235"/>
      <c r="AC30" s="436">
        <f>AB30/VPI!R30</f>
        <v>0</v>
      </c>
      <c r="AD30" s="438">
        <f t="shared" si="2"/>
        <v>0</v>
      </c>
      <c r="AE30" s="436">
        <f>AD30/VPI!R30</f>
        <v>0</v>
      </c>
      <c r="AF30" s="235"/>
      <c r="AG30" s="235"/>
      <c r="AH30" s="235"/>
      <c r="AI30" s="268"/>
      <c r="AJ30" s="8"/>
      <c r="AK30" s="436">
        <f>AJ30/VPI!R30</f>
        <v>0</v>
      </c>
      <c r="AL30" s="438">
        <f t="shared" si="3"/>
        <v>0</v>
      </c>
      <c r="AM30" s="436">
        <f>AL30/VPI!R30</f>
        <v>0</v>
      </c>
      <c r="AN30" s="8"/>
      <c r="AO30" s="268"/>
      <c r="AP30" s="522">
        <v>16.659379426441415</v>
      </c>
      <c r="AR30" s="539">
        <v>0</v>
      </c>
    </row>
    <row r="31" spans="1:44" x14ac:dyDescent="0.25">
      <c r="A31" s="190">
        <v>5434</v>
      </c>
      <c r="B31" s="440" t="s">
        <v>305</v>
      </c>
      <c r="C31" s="528">
        <v>2580536.2599999998</v>
      </c>
      <c r="D31" s="528">
        <v>0</v>
      </c>
      <c r="E31" s="528">
        <v>0</v>
      </c>
      <c r="F31" s="529">
        <v>0</v>
      </c>
      <c r="G31" s="528">
        <v>-1253.8</v>
      </c>
      <c r="H31" s="528">
        <v>3483.9</v>
      </c>
      <c r="I31" s="528">
        <v>0</v>
      </c>
      <c r="J31" s="528">
        <v>36211.4</v>
      </c>
      <c r="K31" s="528">
        <v>4647.2</v>
      </c>
      <c r="L31" s="528">
        <v>295266.05</v>
      </c>
      <c r="M31" s="491">
        <f t="shared" si="0"/>
        <v>2918891.01</v>
      </c>
      <c r="N31" s="241">
        <v>22601.85</v>
      </c>
      <c r="O31" s="241">
        <v>139609.20000000001</v>
      </c>
      <c r="P31" s="241">
        <v>322846.05</v>
      </c>
      <c r="Q31" s="241">
        <v>862.13</v>
      </c>
      <c r="R31" s="241">
        <v>203304.95</v>
      </c>
      <c r="S31" s="528">
        <v>233.06</v>
      </c>
      <c r="T31" s="491">
        <f t="shared" si="1"/>
        <v>3608348.25</v>
      </c>
      <c r="U31" s="237">
        <v>-10627.56</v>
      </c>
      <c r="V31" s="241"/>
      <c r="W31" s="241">
        <v>-3042.95</v>
      </c>
      <c r="X31" s="533">
        <v>69.5</v>
      </c>
      <c r="Y31" s="536">
        <v>1.2</v>
      </c>
      <c r="Z31" s="213">
        <v>1069</v>
      </c>
      <c r="AA31" s="265"/>
      <c r="AB31" s="235"/>
      <c r="AC31" s="436">
        <f>AB31/VPI!R31</f>
        <v>0</v>
      </c>
      <c r="AD31" s="438">
        <f t="shared" si="2"/>
        <v>0</v>
      </c>
      <c r="AE31" s="436">
        <f>AD31/VPI!R31</f>
        <v>0</v>
      </c>
      <c r="AF31" s="235"/>
      <c r="AG31" s="235"/>
      <c r="AH31" s="235"/>
      <c r="AI31" s="268"/>
      <c r="AJ31" s="8"/>
      <c r="AK31" s="436">
        <f>AJ31/VPI!R31</f>
        <v>0</v>
      </c>
      <c r="AL31" s="438">
        <f t="shared" si="3"/>
        <v>0</v>
      </c>
      <c r="AM31" s="436">
        <f>AL31/VPI!R31</f>
        <v>0</v>
      </c>
      <c r="AN31" s="8"/>
      <c r="AO31" s="268"/>
      <c r="AP31" s="522">
        <v>23.719047977736892</v>
      </c>
      <c r="AR31" s="539">
        <v>0</v>
      </c>
    </row>
    <row r="32" spans="1:44" x14ac:dyDescent="0.25">
      <c r="A32" s="190">
        <v>5435</v>
      </c>
      <c r="B32" s="440" t="s">
        <v>291</v>
      </c>
      <c r="C32" s="528">
        <v>1407184.07</v>
      </c>
      <c r="D32" s="528">
        <v>187388.19</v>
      </c>
      <c r="E32" s="528"/>
      <c r="F32" s="529"/>
      <c r="G32" s="528">
        <v>17704.150000000001</v>
      </c>
      <c r="H32" s="528">
        <v>232.35</v>
      </c>
      <c r="I32" s="528"/>
      <c r="J32" s="528">
        <v>15499.66</v>
      </c>
      <c r="K32" s="528"/>
      <c r="L32" s="528">
        <v>133937</v>
      </c>
      <c r="M32" s="491">
        <f t="shared" si="0"/>
        <v>1761945.42</v>
      </c>
      <c r="N32" s="241">
        <v>13664.5</v>
      </c>
      <c r="O32" s="241">
        <v>0</v>
      </c>
      <c r="P32" s="241">
        <v>289235.40000000002</v>
      </c>
      <c r="Q32" s="241">
        <v>309.2</v>
      </c>
      <c r="R32" s="241">
        <v>64137.7</v>
      </c>
      <c r="S32" s="528">
        <v>1874.46</v>
      </c>
      <c r="T32" s="491">
        <f t="shared" si="1"/>
        <v>2131166.6799999997</v>
      </c>
      <c r="U32" s="237">
        <v>-7116.05</v>
      </c>
      <c r="V32" s="241"/>
      <c r="W32" s="241">
        <v>-114.89</v>
      </c>
      <c r="X32" s="533">
        <v>69</v>
      </c>
      <c r="Y32" s="536">
        <v>1</v>
      </c>
      <c r="Z32" s="213">
        <v>698</v>
      </c>
      <c r="AA32" s="265"/>
      <c r="AB32" s="235"/>
      <c r="AC32" s="436">
        <f>AB32/VPI!R32</f>
        <v>0</v>
      </c>
      <c r="AD32" s="438">
        <f t="shared" si="2"/>
        <v>0</v>
      </c>
      <c r="AE32" s="436">
        <f>AD32/VPI!R32</f>
        <v>0</v>
      </c>
      <c r="AF32" s="235"/>
      <c r="AG32" s="235"/>
      <c r="AH32" s="235"/>
      <c r="AI32" s="268"/>
      <c r="AJ32" s="8"/>
      <c r="AK32" s="436">
        <f>AJ32/VPI!R32</f>
        <v>0</v>
      </c>
      <c r="AL32" s="438">
        <f t="shared" si="3"/>
        <v>0</v>
      </c>
      <c r="AM32" s="436">
        <f>AL32/VPI!R32</f>
        <v>0</v>
      </c>
      <c r="AN32" s="8"/>
      <c r="AO32" s="268"/>
      <c r="AP32" s="522">
        <v>22.627327698818849</v>
      </c>
      <c r="AR32" s="539">
        <v>0</v>
      </c>
    </row>
    <row r="33" spans="1:44" x14ac:dyDescent="0.25">
      <c r="A33" s="190">
        <v>5436</v>
      </c>
      <c r="B33" s="440" t="s">
        <v>292</v>
      </c>
      <c r="C33" s="528">
        <v>1157078.4099999999</v>
      </c>
      <c r="D33" s="528">
        <v>71073.45</v>
      </c>
      <c r="E33" s="528"/>
      <c r="F33" s="529"/>
      <c r="G33" s="528">
        <v>6882.65</v>
      </c>
      <c r="H33" s="528">
        <v>-653.85</v>
      </c>
      <c r="I33" s="528"/>
      <c r="J33" s="528">
        <v>-7518.66</v>
      </c>
      <c r="K33" s="528"/>
      <c r="L33" s="528">
        <v>73775.600000000006</v>
      </c>
      <c r="M33" s="491">
        <f t="shared" si="0"/>
        <v>1300637.5999999999</v>
      </c>
      <c r="N33" s="241">
        <v>851</v>
      </c>
      <c r="O33" s="241"/>
      <c r="P33" s="241">
        <v>9986.9500000000007</v>
      </c>
      <c r="Q33" s="241"/>
      <c r="R33" s="241">
        <v>33519.65</v>
      </c>
      <c r="S33" s="528">
        <v>650.94000000000005</v>
      </c>
      <c r="T33" s="491">
        <f t="shared" si="1"/>
        <v>1345646.1399999997</v>
      </c>
      <c r="U33" s="237">
        <v>-21037.62</v>
      </c>
      <c r="V33" s="241"/>
      <c r="W33" s="241">
        <v>-1090.45</v>
      </c>
      <c r="X33" s="533">
        <v>79</v>
      </c>
      <c r="Y33" s="536">
        <v>0.8</v>
      </c>
      <c r="Z33" s="213">
        <v>456</v>
      </c>
      <c r="AA33" s="265"/>
      <c r="AB33" s="235"/>
      <c r="AC33" s="436">
        <f>AB33/VPI!R33</f>
        <v>0</v>
      </c>
      <c r="AD33" s="438">
        <f t="shared" si="2"/>
        <v>0</v>
      </c>
      <c r="AE33" s="436">
        <f>AD33/VPI!R33</f>
        <v>0</v>
      </c>
      <c r="AF33" s="235"/>
      <c r="AG33" s="235"/>
      <c r="AH33" s="235"/>
      <c r="AI33" s="268"/>
      <c r="AJ33" s="8"/>
      <c r="AK33" s="436">
        <f>AJ33/VPI!R33</f>
        <v>0</v>
      </c>
      <c r="AL33" s="438">
        <f t="shared" si="3"/>
        <v>0</v>
      </c>
      <c r="AM33" s="436">
        <f>AL33/VPI!R33</f>
        <v>0</v>
      </c>
      <c r="AN33" s="8"/>
      <c r="AO33" s="268"/>
      <c r="AP33" s="522">
        <v>19.240468772638589</v>
      </c>
      <c r="AR33" s="539">
        <v>0</v>
      </c>
    </row>
    <row r="34" spans="1:44" x14ac:dyDescent="0.25">
      <c r="A34" s="190">
        <v>5437</v>
      </c>
      <c r="B34" s="440" t="s">
        <v>293</v>
      </c>
      <c r="C34" s="528">
        <v>845950.34</v>
      </c>
      <c r="D34" s="528">
        <v>86086.080000000002</v>
      </c>
      <c r="E34" s="528"/>
      <c r="F34" s="529"/>
      <c r="G34" s="528">
        <v>-4928.3999999999996</v>
      </c>
      <c r="H34" s="528">
        <v>2441.8000000000002</v>
      </c>
      <c r="I34" s="528"/>
      <c r="J34" s="528">
        <v>14839.82</v>
      </c>
      <c r="K34" s="528">
        <v>3141.85</v>
      </c>
      <c r="L34" s="528">
        <v>76554.8</v>
      </c>
      <c r="M34" s="491">
        <f t="shared" si="0"/>
        <v>1024086.2899999999</v>
      </c>
      <c r="N34" s="241">
        <v>0</v>
      </c>
      <c r="O34" s="241"/>
      <c r="P34" s="241">
        <v>81643.7</v>
      </c>
      <c r="Q34" s="241">
        <v>4123.3</v>
      </c>
      <c r="R34" s="241">
        <v>87754.9</v>
      </c>
      <c r="S34" s="528">
        <v>-259.86</v>
      </c>
      <c r="T34" s="491">
        <f t="shared" si="1"/>
        <v>1197348.3299999998</v>
      </c>
      <c r="U34" s="237">
        <v>-57716.35</v>
      </c>
      <c r="V34" s="241"/>
      <c r="W34" s="241">
        <v>0</v>
      </c>
      <c r="X34" s="533">
        <v>80</v>
      </c>
      <c r="Y34" s="536">
        <v>1</v>
      </c>
      <c r="Z34" s="213">
        <v>449</v>
      </c>
      <c r="AA34" s="265"/>
      <c r="AB34" s="235"/>
      <c r="AC34" s="436">
        <f>AB34/VPI!R34</f>
        <v>0</v>
      </c>
      <c r="AD34" s="438">
        <f t="shared" si="2"/>
        <v>0</v>
      </c>
      <c r="AE34" s="436">
        <f>AD34/VPI!R34</f>
        <v>0</v>
      </c>
      <c r="AF34" s="235"/>
      <c r="AG34" s="235"/>
      <c r="AH34" s="235"/>
      <c r="AI34" s="268"/>
      <c r="AJ34" s="8"/>
      <c r="AK34" s="436">
        <f>AJ34/VPI!R34</f>
        <v>0</v>
      </c>
      <c r="AL34" s="438">
        <f t="shared" si="3"/>
        <v>0</v>
      </c>
      <c r="AM34" s="436">
        <f>AL34/VPI!R34</f>
        <v>0</v>
      </c>
      <c r="AN34" s="8"/>
      <c r="AO34" s="268"/>
      <c r="AP34" s="522">
        <v>11.80107091244011</v>
      </c>
      <c r="AR34" s="539">
        <v>0</v>
      </c>
    </row>
    <row r="35" spans="1:44" x14ac:dyDescent="0.25">
      <c r="A35" s="190">
        <v>5451</v>
      </c>
      <c r="B35" s="440" t="s">
        <v>294</v>
      </c>
      <c r="C35" s="528">
        <v>5152890.21</v>
      </c>
      <c r="D35" s="528">
        <v>545375.56000000006</v>
      </c>
      <c r="E35" s="528"/>
      <c r="F35" s="529"/>
      <c r="G35" s="528">
        <v>2158979.0499999998</v>
      </c>
      <c r="H35" s="528">
        <v>62490.8</v>
      </c>
      <c r="I35" s="528"/>
      <c r="J35" s="528">
        <v>429329.45</v>
      </c>
      <c r="K35" s="528">
        <v>122620.35</v>
      </c>
      <c r="L35" s="528">
        <v>1510091.2</v>
      </c>
      <c r="M35" s="491">
        <f t="shared" si="0"/>
        <v>9981776.6199999992</v>
      </c>
      <c r="N35" s="241">
        <v>576515.75</v>
      </c>
      <c r="O35" s="241">
        <v>44969.4</v>
      </c>
      <c r="P35" s="241">
        <v>521329.3</v>
      </c>
      <c r="Q35" s="241">
        <v>136481.04999999999</v>
      </c>
      <c r="R35" s="241">
        <v>291093.59999999998</v>
      </c>
      <c r="S35" s="528">
        <v>232155</v>
      </c>
      <c r="T35" s="491">
        <f t="shared" si="1"/>
        <v>11784320.720000001</v>
      </c>
      <c r="U35" s="237">
        <v>-361384.15</v>
      </c>
      <c r="V35" s="241"/>
      <c r="W35" s="241">
        <v>-562.54</v>
      </c>
      <c r="X35" s="533">
        <v>66.5</v>
      </c>
      <c r="Y35" s="536">
        <v>1.5</v>
      </c>
      <c r="Z35" s="213">
        <v>4699</v>
      </c>
      <c r="AA35" s="265"/>
      <c r="AB35" s="235"/>
      <c r="AC35" s="436">
        <f>AB35/VPI!R35</f>
        <v>0</v>
      </c>
      <c r="AD35" s="438">
        <f t="shared" si="2"/>
        <v>0</v>
      </c>
      <c r="AE35" s="436">
        <f>AD35/VPI!R35</f>
        <v>0</v>
      </c>
      <c r="AF35" s="235"/>
      <c r="AG35" s="235"/>
      <c r="AH35" s="235"/>
      <c r="AI35" s="268"/>
      <c r="AJ35" s="8"/>
      <c r="AK35" s="436">
        <f>AJ35/VPI!R35</f>
        <v>0</v>
      </c>
      <c r="AL35" s="438">
        <f t="shared" si="3"/>
        <v>0</v>
      </c>
      <c r="AM35" s="436">
        <f>AL35/VPI!R35</f>
        <v>0</v>
      </c>
      <c r="AN35" s="8"/>
      <c r="AO35" s="268"/>
      <c r="AP35" s="522">
        <v>8.0841964090713176</v>
      </c>
      <c r="AR35" s="539">
        <v>0</v>
      </c>
    </row>
    <row r="36" spans="1:44" x14ac:dyDescent="0.25">
      <c r="A36" s="190">
        <v>5456</v>
      </c>
      <c r="B36" s="440" t="s">
        <v>295</v>
      </c>
      <c r="C36" s="528">
        <v>2992922.87</v>
      </c>
      <c r="D36" s="528">
        <v>333421.40999999997</v>
      </c>
      <c r="E36" s="528"/>
      <c r="F36" s="529"/>
      <c r="G36" s="528">
        <v>60766.2</v>
      </c>
      <c r="H36" s="528">
        <v>3213.7</v>
      </c>
      <c r="I36" s="528"/>
      <c r="J36" s="528">
        <v>28027.279999999999</v>
      </c>
      <c r="K36" s="528">
        <v>11289.55</v>
      </c>
      <c r="L36" s="528">
        <v>552212.85</v>
      </c>
      <c r="M36" s="491">
        <f t="shared" si="0"/>
        <v>3981853.8600000003</v>
      </c>
      <c r="N36" s="241">
        <v>1727.7</v>
      </c>
      <c r="O36" s="241">
        <v>157402.4</v>
      </c>
      <c r="P36" s="241">
        <v>293421.75</v>
      </c>
      <c r="Q36" s="241">
        <v>-11425.02</v>
      </c>
      <c r="R36" s="241">
        <v>195572.25</v>
      </c>
      <c r="S36" s="528">
        <v>6686.23</v>
      </c>
      <c r="T36" s="491">
        <f t="shared" si="1"/>
        <v>4625239.1700000018</v>
      </c>
      <c r="U36" s="237">
        <v>-13342.6</v>
      </c>
      <c r="V36" s="241"/>
      <c r="W36" s="241">
        <v>-138.75</v>
      </c>
      <c r="X36" s="533">
        <v>59</v>
      </c>
      <c r="Y36" s="536">
        <v>1.5</v>
      </c>
      <c r="Z36" s="213">
        <v>1876</v>
      </c>
      <c r="AA36" s="265"/>
      <c r="AB36" s="235"/>
      <c r="AC36" s="436">
        <f>AB36/VPI!R36</f>
        <v>0</v>
      </c>
      <c r="AD36" s="438">
        <f t="shared" si="2"/>
        <v>0</v>
      </c>
      <c r="AE36" s="436">
        <f>AD36/VPI!R36</f>
        <v>0</v>
      </c>
      <c r="AF36" s="235"/>
      <c r="AG36" s="235"/>
      <c r="AH36" s="235"/>
      <c r="AI36" s="268"/>
      <c r="AJ36" s="8"/>
      <c r="AK36" s="436">
        <f>AJ36/VPI!R36</f>
        <v>0</v>
      </c>
      <c r="AL36" s="438">
        <f t="shared" si="3"/>
        <v>0</v>
      </c>
      <c r="AM36" s="436">
        <f>AL36/VPI!R36</f>
        <v>0</v>
      </c>
      <c r="AN36" s="8"/>
      <c r="AO36" s="268"/>
      <c r="AP36" s="522">
        <v>19.000925518519384</v>
      </c>
      <c r="AR36" s="539">
        <v>0</v>
      </c>
    </row>
    <row r="37" spans="1:44" x14ac:dyDescent="0.25">
      <c r="A37" s="190">
        <v>5458</v>
      </c>
      <c r="B37" s="440" t="s">
        <v>296</v>
      </c>
      <c r="C37" s="528">
        <v>1563109.5</v>
      </c>
      <c r="D37" s="528">
        <v>297452.43</v>
      </c>
      <c r="E37" s="528"/>
      <c r="F37" s="529"/>
      <c r="G37" s="528">
        <v>22083.3</v>
      </c>
      <c r="H37" s="528">
        <v>879.7</v>
      </c>
      <c r="I37" s="528"/>
      <c r="J37" s="528">
        <v>55674.5</v>
      </c>
      <c r="K37" s="528">
        <v>13000.75</v>
      </c>
      <c r="L37" s="528">
        <v>290191.40000000002</v>
      </c>
      <c r="M37" s="491">
        <f t="shared" si="0"/>
        <v>2242391.58</v>
      </c>
      <c r="N37" s="241">
        <v>3372.25</v>
      </c>
      <c r="O37" s="241">
        <v>1540.4</v>
      </c>
      <c r="P37" s="241">
        <v>96690</v>
      </c>
      <c r="Q37" s="241"/>
      <c r="R37" s="241">
        <v>62069.1</v>
      </c>
      <c r="S37" s="528">
        <v>2399.75</v>
      </c>
      <c r="T37" s="491">
        <f t="shared" si="1"/>
        <v>2408463.08</v>
      </c>
      <c r="U37" s="237">
        <v>-26814.48</v>
      </c>
      <c r="V37" s="241"/>
      <c r="W37" s="241">
        <v>-236.55</v>
      </c>
      <c r="X37" s="533">
        <v>65</v>
      </c>
      <c r="Y37" s="536">
        <v>1.5</v>
      </c>
      <c r="Z37" s="213">
        <v>904</v>
      </c>
      <c r="AA37" s="265"/>
      <c r="AB37" s="235"/>
      <c r="AC37" s="436">
        <f>AB37/VPI!R37</f>
        <v>0</v>
      </c>
      <c r="AD37" s="438">
        <f t="shared" si="2"/>
        <v>0</v>
      </c>
      <c r="AE37" s="436">
        <f>AD37/VPI!R37</f>
        <v>0</v>
      </c>
      <c r="AF37" s="235"/>
      <c r="AG37" s="235"/>
      <c r="AH37" s="235"/>
      <c r="AI37" s="268"/>
      <c r="AJ37" s="8"/>
      <c r="AK37" s="436">
        <f>AJ37/VPI!R37</f>
        <v>0</v>
      </c>
      <c r="AL37" s="438">
        <f t="shared" si="3"/>
        <v>0</v>
      </c>
      <c r="AM37" s="436">
        <f>AL37/VPI!R37</f>
        <v>0</v>
      </c>
      <c r="AN37" s="8"/>
      <c r="AO37" s="268"/>
      <c r="AP37" s="522">
        <v>24.248507982393967</v>
      </c>
      <c r="AR37" s="539">
        <v>0</v>
      </c>
    </row>
    <row r="38" spans="1:44" x14ac:dyDescent="0.25">
      <c r="A38" s="190">
        <v>5464</v>
      </c>
      <c r="B38" s="440" t="s">
        <v>344</v>
      </c>
      <c r="C38" s="528">
        <v>5718811.5</v>
      </c>
      <c r="D38" s="528">
        <v>1149532.08</v>
      </c>
      <c r="E38" s="528"/>
      <c r="F38" s="529"/>
      <c r="G38" s="528">
        <v>81691.25</v>
      </c>
      <c r="H38" s="528">
        <v>6859</v>
      </c>
      <c r="I38" s="528">
        <v>66178.7</v>
      </c>
      <c r="J38" s="528">
        <v>156752.70000000001</v>
      </c>
      <c r="K38" s="528">
        <v>10687.4</v>
      </c>
      <c r="L38" s="528">
        <v>1119010.6499999999</v>
      </c>
      <c r="M38" s="491">
        <f t="shared" si="0"/>
        <v>8309523.2800000012</v>
      </c>
      <c r="N38" s="241">
        <v>4335.55</v>
      </c>
      <c r="O38" s="241">
        <v>22233.4</v>
      </c>
      <c r="P38" s="241">
        <v>530402.15</v>
      </c>
      <c r="Q38" s="241">
        <v>34715.74</v>
      </c>
      <c r="R38" s="241">
        <v>481524.45</v>
      </c>
      <c r="S38" s="528">
        <v>9253.9599999999991</v>
      </c>
      <c r="T38" s="491">
        <f t="shared" si="1"/>
        <v>9391988.5300000012</v>
      </c>
      <c r="U38" s="237">
        <v>-78050.41</v>
      </c>
      <c r="V38" s="241"/>
      <c r="W38" s="241">
        <v>-898.05</v>
      </c>
      <c r="X38" s="533">
        <v>67</v>
      </c>
      <c r="Y38" s="536">
        <v>1.5</v>
      </c>
      <c r="Z38" s="213">
        <v>3543</v>
      </c>
      <c r="AA38" s="265"/>
      <c r="AB38" s="235"/>
      <c r="AC38" s="436">
        <f>AB38/VPI!R38</f>
        <v>0</v>
      </c>
      <c r="AD38" s="438">
        <f t="shared" si="2"/>
        <v>0</v>
      </c>
      <c r="AE38" s="436">
        <f>AD38/VPI!R38</f>
        <v>0</v>
      </c>
      <c r="AF38" s="235"/>
      <c r="AG38" s="235"/>
      <c r="AH38" s="235"/>
      <c r="AI38" s="268"/>
      <c r="AJ38" s="8"/>
      <c r="AK38" s="436">
        <f>AJ38/VPI!R38</f>
        <v>0</v>
      </c>
      <c r="AL38" s="438">
        <f t="shared" si="3"/>
        <v>0</v>
      </c>
      <c r="AM38" s="436">
        <f>AL38/VPI!R38</f>
        <v>0</v>
      </c>
      <c r="AN38" s="8"/>
      <c r="AO38" s="268"/>
      <c r="AP38" s="522">
        <v>14.698518660763845</v>
      </c>
      <c r="AR38" s="539">
        <v>0</v>
      </c>
    </row>
    <row r="39" spans="1:44" x14ac:dyDescent="0.25">
      <c r="A39" s="190">
        <v>5471</v>
      </c>
      <c r="B39" s="440" t="s">
        <v>297</v>
      </c>
      <c r="C39" s="528">
        <v>1257740.8999999999</v>
      </c>
      <c r="D39" s="528">
        <v>145639.14000000001</v>
      </c>
      <c r="E39" s="528"/>
      <c r="F39" s="529"/>
      <c r="G39" s="528">
        <v>18437.349999999999</v>
      </c>
      <c r="H39" s="528">
        <v>3698.4</v>
      </c>
      <c r="I39" s="528"/>
      <c r="J39" s="528">
        <v>23462.41</v>
      </c>
      <c r="K39" s="528">
        <v>4233.25</v>
      </c>
      <c r="L39" s="528">
        <v>123461.45</v>
      </c>
      <c r="M39" s="491">
        <f t="shared" si="0"/>
        <v>1576672.9</v>
      </c>
      <c r="N39" s="241">
        <v>13213</v>
      </c>
      <c r="O39" s="241"/>
      <c r="P39" s="241">
        <v>50509.1</v>
      </c>
      <c r="Q39" s="241">
        <v>1223.46</v>
      </c>
      <c r="R39" s="241">
        <v>18159.45</v>
      </c>
      <c r="S39" s="528">
        <v>2313.3000000000002</v>
      </c>
      <c r="T39" s="491">
        <f t="shared" si="1"/>
        <v>1662091.21</v>
      </c>
      <c r="U39" s="237">
        <v>-5274.52</v>
      </c>
      <c r="V39" s="241"/>
      <c r="W39" s="241">
        <v>-192.96</v>
      </c>
      <c r="X39" s="533">
        <v>70</v>
      </c>
      <c r="Y39" s="536">
        <v>0.9</v>
      </c>
      <c r="Z39" s="213">
        <v>650</v>
      </c>
      <c r="AA39" s="265"/>
      <c r="AB39" s="235"/>
      <c r="AC39" s="436">
        <f>AB39/VPI!R39</f>
        <v>0</v>
      </c>
      <c r="AD39" s="438">
        <f t="shared" si="2"/>
        <v>0</v>
      </c>
      <c r="AE39" s="436">
        <f>AD39/VPI!R39</f>
        <v>0</v>
      </c>
      <c r="AF39" s="235"/>
      <c r="AG39" s="235"/>
      <c r="AH39" s="235"/>
      <c r="AI39" s="268"/>
      <c r="AJ39" s="8"/>
      <c r="AK39" s="436">
        <f>AJ39/VPI!R39</f>
        <v>0</v>
      </c>
      <c r="AL39" s="438">
        <f t="shared" si="3"/>
        <v>0</v>
      </c>
      <c r="AM39" s="436">
        <f>AL39/VPI!R39</f>
        <v>0</v>
      </c>
      <c r="AN39" s="8"/>
      <c r="AO39" s="268"/>
      <c r="AP39" s="522">
        <v>21.115282187555799</v>
      </c>
      <c r="AR39" s="539">
        <v>0</v>
      </c>
    </row>
    <row r="40" spans="1:44" x14ac:dyDescent="0.25">
      <c r="A40" s="190">
        <v>5472</v>
      </c>
      <c r="B40" s="440" t="s">
        <v>298</v>
      </c>
      <c r="C40" s="528">
        <v>1129838.18</v>
      </c>
      <c r="D40" s="528">
        <v>121155.13</v>
      </c>
      <c r="E40" s="528"/>
      <c r="F40" s="529"/>
      <c r="G40" s="528">
        <v>1007.7</v>
      </c>
      <c r="H40" s="528">
        <v>652.04999999999995</v>
      </c>
      <c r="I40" s="528"/>
      <c r="J40" s="528">
        <v>-2898.71</v>
      </c>
      <c r="K40" s="528">
        <v>516.5</v>
      </c>
      <c r="L40" s="528">
        <v>115912.35</v>
      </c>
      <c r="M40" s="491">
        <f t="shared" si="0"/>
        <v>1366183.2000000002</v>
      </c>
      <c r="N40" s="241">
        <v>0</v>
      </c>
      <c r="O40" s="241"/>
      <c r="P40" s="241">
        <v>74159.5</v>
      </c>
      <c r="Q40" s="241"/>
      <c r="R40" s="241">
        <v>68811.55</v>
      </c>
      <c r="S40" s="528">
        <v>173.45</v>
      </c>
      <c r="T40" s="491">
        <f t="shared" si="1"/>
        <v>1509327.7000000002</v>
      </c>
      <c r="U40" s="237">
        <v>-7354</v>
      </c>
      <c r="V40" s="241"/>
      <c r="W40" s="241">
        <v>-713.76</v>
      </c>
      <c r="X40" s="533">
        <v>68</v>
      </c>
      <c r="Y40" s="536">
        <v>1</v>
      </c>
      <c r="Z40" s="213">
        <v>514</v>
      </c>
      <c r="AA40" s="265"/>
      <c r="AB40" s="235"/>
      <c r="AC40" s="436">
        <f>AB40/VPI!R40</f>
        <v>0</v>
      </c>
      <c r="AD40" s="438">
        <f t="shared" si="2"/>
        <v>0</v>
      </c>
      <c r="AE40" s="436">
        <f>AD40/VPI!R40</f>
        <v>0</v>
      </c>
      <c r="AF40" s="235"/>
      <c r="AG40" s="235"/>
      <c r="AH40" s="235"/>
      <c r="AI40" s="268"/>
      <c r="AJ40" s="8"/>
      <c r="AK40" s="436">
        <f>AJ40/VPI!R40</f>
        <v>0</v>
      </c>
      <c r="AL40" s="438">
        <f t="shared" si="3"/>
        <v>0</v>
      </c>
      <c r="AM40" s="436">
        <f>AL40/VPI!R40</f>
        <v>0</v>
      </c>
      <c r="AN40" s="8"/>
      <c r="AO40" s="268"/>
      <c r="AP40" s="522">
        <v>25.801092099888585</v>
      </c>
      <c r="AR40" s="539">
        <v>0</v>
      </c>
    </row>
    <row r="41" spans="1:44" x14ac:dyDescent="0.25">
      <c r="A41" s="190">
        <v>5473</v>
      </c>
      <c r="B41" s="440" t="s">
        <v>188</v>
      </c>
      <c r="C41" s="528">
        <v>2257223.75</v>
      </c>
      <c r="D41" s="528">
        <v>258995.71</v>
      </c>
      <c r="E41" s="528"/>
      <c r="F41" s="529"/>
      <c r="G41" s="528">
        <v>34170.199999999997</v>
      </c>
      <c r="H41" s="528">
        <v>3257.95</v>
      </c>
      <c r="I41" s="528"/>
      <c r="J41" s="528">
        <v>19304.5</v>
      </c>
      <c r="K41" s="528">
        <v>6131.35</v>
      </c>
      <c r="L41" s="528">
        <v>196363</v>
      </c>
      <c r="M41" s="491">
        <f t="shared" si="0"/>
        <v>2775446.4600000004</v>
      </c>
      <c r="N41" s="241">
        <v>3562.05</v>
      </c>
      <c r="O41" s="241">
        <v>21026.799999999999</v>
      </c>
      <c r="P41" s="241">
        <v>102850</v>
      </c>
      <c r="Q41" s="241">
        <v>1344.55</v>
      </c>
      <c r="R41" s="241">
        <v>95465.600000000006</v>
      </c>
      <c r="S41" s="528">
        <v>3911.43</v>
      </c>
      <c r="T41" s="491">
        <f t="shared" si="1"/>
        <v>3003606.89</v>
      </c>
      <c r="U41" s="237">
        <v>-7258.88</v>
      </c>
      <c r="V41" s="241"/>
      <c r="W41" s="241">
        <v>-316.5</v>
      </c>
      <c r="X41" s="533">
        <v>66</v>
      </c>
      <c r="Y41" s="536">
        <v>1</v>
      </c>
      <c r="Z41" s="213">
        <v>1010</v>
      </c>
      <c r="AA41" s="265"/>
      <c r="AB41" s="235"/>
      <c r="AC41" s="436">
        <f>AB41/VPI!R41</f>
        <v>0</v>
      </c>
      <c r="AD41" s="438">
        <f t="shared" si="2"/>
        <v>0</v>
      </c>
      <c r="AE41" s="436">
        <f>AD41/VPI!R41</f>
        <v>0</v>
      </c>
      <c r="AF41" s="235"/>
      <c r="AG41" s="235"/>
      <c r="AH41" s="235"/>
      <c r="AI41" s="268"/>
      <c r="AJ41" s="8"/>
      <c r="AK41" s="436">
        <f>AJ41/VPI!R41</f>
        <v>0</v>
      </c>
      <c r="AL41" s="438">
        <f t="shared" si="3"/>
        <v>0</v>
      </c>
      <c r="AM41" s="436">
        <f>AL41/VPI!R41</f>
        <v>0</v>
      </c>
      <c r="AN41" s="8"/>
      <c r="AO41" s="268"/>
      <c r="AP41" s="522">
        <v>21.888253981031689</v>
      </c>
      <c r="AR41" s="539">
        <v>0</v>
      </c>
    </row>
    <row r="42" spans="1:44" x14ac:dyDescent="0.25">
      <c r="A42" s="190">
        <v>5474</v>
      </c>
      <c r="B42" s="440" t="s">
        <v>189</v>
      </c>
      <c r="C42" s="528">
        <v>885402.24</v>
      </c>
      <c r="D42" s="528">
        <v>113382.9</v>
      </c>
      <c r="E42" s="528"/>
      <c r="F42" s="529"/>
      <c r="G42" s="528">
        <v>6401.15</v>
      </c>
      <c r="H42" s="528">
        <v>6039.25</v>
      </c>
      <c r="I42" s="528">
        <v>-37654</v>
      </c>
      <c r="J42" s="528">
        <v>5133.25</v>
      </c>
      <c r="K42" s="528">
        <v>-725.5</v>
      </c>
      <c r="L42" s="528">
        <v>90392.35</v>
      </c>
      <c r="M42" s="491">
        <f t="shared" si="0"/>
        <v>1068371.6400000001</v>
      </c>
      <c r="N42" s="241">
        <v>3011.65</v>
      </c>
      <c r="O42" s="241">
        <v>1949.5</v>
      </c>
      <c r="P42" s="241">
        <v>46347.25</v>
      </c>
      <c r="Q42" s="241"/>
      <c r="R42" s="241">
        <v>40659.85</v>
      </c>
      <c r="S42" s="528">
        <v>1300.0899999999999</v>
      </c>
      <c r="T42" s="491">
        <f t="shared" si="1"/>
        <v>1161639.9800000002</v>
      </c>
      <c r="U42" s="237">
        <v>-750.54</v>
      </c>
      <c r="V42" s="241"/>
      <c r="W42" s="241">
        <v>-304.55</v>
      </c>
      <c r="X42" s="533">
        <v>76</v>
      </c>
      <c r="Y42" s="536">
        <v>1.2</v>
      </c>
      <c r="Z42" s="213">
        <v>412</v>
      </c>
      <c r="AA42" s="265"/>
      <c r="AB42" s="235"/>
      <c r="AC42" s="436">
        <f>AB42/VPI!R42</f>
        <v>0</v>
      </c>
      <c r="AD42" s="438">
        <f t="shared" si="2"/>
        <v>0</v>
      </c>
      <c r="AE42" s="436">
        <f>AD42/VPI!R42</f>
        <v>0</v>
      </c>
      <c r="AF42" s="235"/>
      <c r="AG42" s="235"/>
      <c r="AH42" s="235"/>
      <c r="AI42" s="268"/>
      <c r="AJ42" s="8"/>
      <c r="AK42" s="436">
        <f>AJ42/VPI!R42</f>
        <v>0</v>
      </c>
      <c r="AL42" s="438">
        <f t="shared" si="3"/>
        <v>0</v>
      </c>
      <c r="AM42" s="436">
        <f>AL42/VPI!R42</f>
        <v>0</v>
      </c>
      <c r="AN42" s="8"/>
      <c r="AO42" s="268"/>
      <c r="AP42" s="522">
        <v>15.645858169142969</v>
      </c>
      <c r="AR42" s="539">
        <v>0</v>
      </c>
    </row>
    <row r="43" spans="1:44" x14ac:dyDescent="0.25">
      <c r="A43" s="190">
        <v>5475</v>
      </c>
      <c r="B43" s="440" t="s">
        <v>306</v>
      </c>
      <c r="C43" s="528">
        <v>235601.32</v>
      </c>
      <c r="D43" s="528">
        <v>46788.68</v>
      </c>
      <c r="E43" s="528"/>
      <c r="F43" s="529"/>
      <c r="G43" s="528">
        <v>4742.2</v>
      </c>
      <c r="H43" s="528">
        <v>12.65</v>
      </c>
      <c r="I43" s="528"/>
      <c r="J43" s="528">
        <v>8839.4500000000007</v>
      </c>
      <c r="K43" s="528"/>
      <c r="L43" s="528">
        <v>25625.3</v>
      </c>
      <c r="M43" s="491">
        <f t="shared" si="0"/>
        <v>321609.60000000003</v>
      </c>
      <c r="N43" s="241">
        <v>0</v>
      </c>
      <c r="O43" s="241"/>
      <c r="P43" s="241">
        <v>22220</v>
      </c>
      <c r="Q43" s="241">
        <v>-25.04</v>
      </c>
      <c r="R43" s="241"/>
      <c r="S43" s="528">
        <v>496.91</v>
      </c>
      <c r="T43" s="491">
        <f t="shared" si="1"/>
        <v>344301.47000000003</v>
      </c>
      <c r="U43" s="237">
        <v>208.89</v>
      </c>
      <c r="V43" s="241"/>
      <c r="W43" s="241">
        <v>0</v>
      </c>
      <c r="X43" s="533">
        <v>75</v>
      </c>
      <c r="Y43" s="536">
        <v>1</v>
      </c>
      <c r="Z43" s="213">
        <v>163</v>
      </c>
      <c r="AA43" s="265"/>
      <c r="AB43" s="235"/>
      <c r="AC43" s="436">
        <f>AB43/VPI!R43</f>
        <v>0</v>
      </c>
      <c r="AD43" s="438">
        <f t="shared" si="2"/>
        <v>0</v>
      </c>
      <c r="AE43" s="436">
        <f>AD43/VPI!R43</f>
        <v>0</v>
      </c>
      <c r="AF43" s="235"/>
      <c r="AG43" s="235"/>
      <c r="AH43" s="235"/>
      <c r="AI43" s="268"/>
      <c r="AJ43" s="8"/>
      <c r="AK43" s="436">
        <f>AJ43/VPI!R43</f>
        <v>0</v>
      </c>
      <c r="AL43" s="438">
        <f t="shared" si="3"/>
        <v>0</v>
      </c>
      <c r="AM43" s="436">
        <f>AL43/VPI!R43</f>
        <v>0</v>
      </c>
      <c r="AN43" s="8"/>
      <c r="AO43" s="268"/>
      <c r="AP43" s="522">
        <v>9.4020456338882763</v>
      </c>
      <c r="AR43" s="539">
        <v>0</v>
      </c>
    </row>
    <row r="44" spans="1:44" x14ac:dyDescent="0.25">
      <c r="A44" s="190">
        <v>5476</v>
      </c>
      <c r="B44" s="440" t="s">
        <v>307</v>
      </c>
      <c r="C44" s="528">
        <v>793889.55</v>
      </c>
      <c r="D44" s="528">
        <v>128195.48</v>
      </c>
      <c r="E44" s="528"/>
      <c r="F44" s="529"/>
      <c r="G44" s="528">
        <v>-3.75</v>
      </c>
      <c r="H44" s="528">
        <v>399.65</v>
      </c>
      <c r="I44" s="528"/>
      <c r="J44" s="528">
        <v>4675.37</v>
      </c>
      <c r="K44" s="528">
        <v>0</v>
      </c>
      <c r="L44" s="528">
        <v>62237.8</v>
      </c>
      <c r="M44" s="491">
        <f t="shared" si="0"/>
        <v>989394.10000000009</v>
      </c>
      <c r="N44" s="241">
        <v>0</v>
      </c>
      <c r="O44" s="241">
        <v>0</v>
      </c>
      <c r="P44" s="241">
        <v>38247.800000000003</v>
      </c>
      <c r="Q44" s="241">
        <v>0</v>
      </c>
      <c r="R44" s="241">
        <v>20128.7</v>
      </c>
      <c r="S44" s="528">
        <v>41.37</v>
      </c>
      <c r="T44" s="491">
        <f t="shared" si="1"/>
        <v>1047811.9700000001</v>
      </c>
      <c r="U44" s="237">
        <v>-6447.63</v>
      </c>
      <c r="V44" s="241"/>
      <c r="W44" s="241">
        <v>0</v>
      </c>
      <c r="X44" s="533">
        <v>72.5</v>
      </c>
      <c r="Y44" s="536">
        <v>1</v>
      </c>
      <c r="Z44" s="213">
        <v>331</v>
      </c>
      <c r="AA44" s="265"/>
      <c r="AB44" s="235"/>
      <c r="AC44" s="436">
        <f>AB44/VPI!R44</f>
        <v>0</v>
      </c>
      <c r="AD44" s="438">
        <f t="shared" si="2"/>
        <v>0</v>
      </c>
      <c r="AE44" s="436">
        <f>AD44/VPI!R44</f>
        <v>0</v>
      </c>
      <c r="AF44" s="235"/>
      <c r="AG44" s="235"/>
      <c r="AH44" s="235"/>
      <c r="AI44" s="268"/>
      <c r="AJ44" s="8"/>
      <c r="AK44" s="436">
        <f>AJ44/VPI!R44</f>
        <v>0</v>
      </c>
      <c r="AL44" s="438">
        <f t="shared" si="3"/>
        <v>0</v>
      </c>
      <c r="AM44" s="436">
        <f>AL44/VPI!R44</f>
        <v>0</v>
      </c>
      <c r="AN44" s="8"/>
      <c r="AO44" s="268"/>
      <c r="AP44" s="522">
        <v>21.429469990882666</v>
      </c>
      <c r="AR44" s="539">
        <v>0</v>
      </c>
    </row>
    <row r="45" spans="1:44" x14ac:dyDescent="0.25">
      <c r="A45" s="190">
        <v>5477</v>
      </c>
      <c r="B45" s="440" t="s">
        <v>308</v>
      </c>
      <c r="C45" s="528">
        <v>7724815.7400000002</v>
      </c>
      <c r="D45" s="528">
        <v>1178168.01</v>
      </c>
      <c r="E45" s="528"/>
      <c r="F45" s="529"/>
      <c r="G45" s="528">
        <v>430747.7</v>
      </c>
      <c r="H45" s="528">
        <v>12246.8</v>
      </c>
      <c r="I45" s="528">
        <v>0</v>
      </c>
      <c r="J45" s="528">
        <v>177524.42</v>
      </c>
      <c r="K45" s="528">
        <v>48032.55</v>
      </c>
      <c r="L45" s="528">
        <v>755157.25</v>
      </c>
      <c r="M45" s="491">
        <f t="shared" si="0"/>
        <v>10326692.470000001</v>
      </c>
      <c r="N45" s="241">
        <v>98390.45</v>
      </c>
      <c r="O45" s="241">
        <v>614394.19999999995</v>
      </c>
      <c r="P45" s="241">
        <v>496044.45</v>
      </c>
      <c r="Q45" s="241">
        <v>7693.11</v>
      </c>
      <c r="R45" s="241">
        <v>364819.4</v>
      </c>
      <c r="S45" s="528">
        <v>46295.199999999997</v>
      </c>
      <c r="T45" s="491">
        <f t="shared" si="1"/>
        <v>11954329.279999997</v>
      </c>
      <c r="U45" s="237">
        <v>-78338.600000000006</v>
      </c>
      <c r="V45" s="241"/>
      <c r="W45" s="241">
        <v>-986.22</v>
      </c>
      <c r="X45" s="533">
        <v>68</v>
      </c>
      <c r="Y45" s="536">
        <v>1</v>
      </c>
      <c r="Z45" s="213">
        <v>4390</v>
      </c>
      <c r="AA45" s="265"/>
      <c r="AB45" s="235"/>
      <c r="AC45" s="436">
        <f>AB45/VPI!R45</f>
        <v>0</v>
      </c>
      <c r="AD45" s="438">
        <f t="shared" si="2"/>
        <v>0</v>
      </c>
      <c r="AE45" s="436">
        <f>AD45/VPI!R45</f>
        <v>0</v>
      </c>
      <c r="AF45" s="235"/>
      <c r="AG45" s="235"/>
      <c r="AH45" s="235"/>
      <c r="AI45" s="268"/>
      <c r="AJ45" s="8"/>
      <c r="AK45" s="436">
        <f>AJ45/VPI!R45</f>
        <v>0</v>
      </c>
      <c r="AL45" s="438">
        <f t="shared" si="3"/>
        <v>0</v>
      </c>
      <c r="AM45" s="436">
        <f>AL45/VPI!R45</f>
        <v>0</v>
      </c>
      <c r="AN45" s="8"/>
      <c r="AO45" s="268"/>
      <c r="AP45" s="522">
        <v>11.409098154636498</v>
      </c>
      <c r="AR45" s="539">
        <v>0</v>
      </c>
    </row>
    <row r="46" spans="1:44" x14ac:dyDescent="0.25">
      <c r="A46" s="190">
        <v>5479</v>
      </c>
      <c r="B46" s="440" t="s">
        <v>214</v>
      </c>
      <c r="C46" s="528">
        <v>873307.84</v>
      </c>
      <c r="D46" s="528">
        <v>115556.62</v>
      </c>
      <c r="E46" s="528"/>
      <c r="F46" s="529"/>
      <c r="G46" s="528">
        <v>26138.2</v>
      </c>
      <c r="H46" s="528">
        <v>663</v>
      </c>
      <c r="I46" s="528"/>
      <c r="J46" s="528">
        <v>20361.759999999998</v>
      </c>
      <c r="K46" s="528">
        <v>1640.55</v>
      </c>
      <c r="L46" s="528">
        <v>96364.95</v>
      </c>
      <c r="M46" s="491">
        <f t="shared" si="0"/>
        <v>1134032.92</v>
      </c>
      <c r="N46" s="241">
        <v>8152</v>
      </c>
      <c r="O46" s="241"/>
      <c r="P46" s="241">
        <v>47908.5</v>
      </c>
      <c r="Q46" s="241">
        <v>1193.68</v>
      </c>
      <c r="R46" s="241">
        <v>63203.9</v>
      </c>
      <c r="S46" s="528">
        <v>2800.86</v>
      </c>
      <c r="T46" s="491">
        <f t="shared" si="1"/>
        <v>1257291.8599999999</v>
      </c>
      <c r="U46" s="237">
        <v>-34030.400000000001</v>
      </c>
      <c r="V46" s="241"/>
      <c r="W46" s="241">
        <v>-484.05</v>
      </c>
      <c r="X46" s="533">
        <v>77</v>
      </c>
      <c r="Y46" s="536">
        <v>1</v>
      </c>
      <c r="Z46" s="213">
        <v>545</v>
      </c>
      <c r="AA46" s="265"/>
      <c r="AB46" s="235"/>
      <c r="AC46" s="436">
        <f>AB46/VPI!R46</f>
        <v>0</v>
      </c>
      <c r="AD46" s="438">
        <f t="shared" si="2"/>
        <v>0</v>
      </c>
      <c r="AE46" s="436">
        <f>AD46/VPI!R46</f>
        <v>0</v>
      </c>
      <c r="AF46" s="235"/>
      <c r="AG46" s="235"/>
      <c r="AH46" s="235"/>
      <c r="AI46" s="268"/>
      <c r="AJ46" s="8"/>
      <c r="AK46" s="436">
        <f>AJ46/VPI!R46</f>
        <v>0</v>
      </c>
      <c r="AL46" s="438">
        <f t="shared" si="3"/>
        <v>0</v>
      </c>
      <c r="AM46" s="436">
        <f>AL46/VPI!R46</f>
        <v>0</v>
      </c>
      <c r="AN46" s="8"/>
      <c r="AO46" s="268"/>
      <c r="AP46" s="522">
        <v>17.017004379976395</v>
      </c>
      <c r="AR46" s="539">
        <v>0</v>
      </c>
    </row>
    <row r="47" spans="1:44" x14ac:dyDescent="0.25">
      <c r="A47" s="190">
        <v>5480</v>
      </c>
      <c r="B47" s="440" t="s">
        <v>215</v>
      </c>
      <c r="C47" s="528">
        <v>2151349.85</v>
      </c>
      <c r="D47" s="528">
        <v>323734.49</v>
      </c>
      <c r="E47" s="528"/>
      <c r="F47" s="529"/>
      <c r="G47" s="528">
        <v>-32230.7</v>
      </c>
      <c r="H47" s="528">
        <v>19085.900000000001</v>
      </c>
      <c r="I47" s="528"/>
      <c r="J47" s="528">
        <v>42307.86</v>
      </c>
      <c r="K47" s="528">
        <v>13103.7</v>
      </c>
      <c r="L47" s="528">
        <v>397690.9</v>
      </c>
      <c r="M47" s="491">
        <f t="shared" si="0"/>
        <v>2915041.9999999995</v>
      </c>
      <c r="N47" s="241">
        <v>226810.45</v>
      </c>
      <c r="O47" s="241">
        <v>514650</v>
      </c>
      <c r="P47" s="241">
        <v>113415.5</v>
      </c>
      <c r="Q47" s="241">
        <v>10741.02</v>
      </c>
      <c r="R47" s="241">
        <v>116838.65</v>
      </c>
      <c r="S47" s="528">
        <v>-1373.7</v>
      </c>
      <c r="T47" s="491">
        <f t="shared" si="1"/>
        <v>3896123.9199999995</v>
      </c>
      <c r="U47" s="237">
        <v>-37786.35</v>
      </c>
      <c r="V47" s="241"/>
      <c r="W47" s="241">
        <v>-803.63</v>
      </c>
      <c r="X47" s="533">
        <v>66</v>
      </c>
      <c r="Y47" s="536">
        <v>1.2</v>
      </c>
      <c r="Z47" s="213">
        <v>1057</v>
      </c>
      <c r="AA47" s="265"/>
      <c r="AB47" s="235"/>
      <c r="AC47" s="436">
        <f>AB47/VPI!R47</f>
        <v>0</v>
      </c>
      <c r="AD47" s="438">
        <f t="shared" si="2"/>
        <v>0</v>
      </c>
      <c r="AE47" s="436">
        <f>AD47/VPI!R47</f>
        <v>0</v>
      </c>
      <c r="AF47" s="235"/>
      <c r="AG47" s="235"/>
      <c r="AH47" s="235"/>
      <c r="AI47" s="268"/>
      <c r="AJ47" s="8"/>
      <c r="AK47" s="436">
        <f>AJ47/VPI!R47</f>
        <v>0</v>
      </c>
      <c r="AL47" s="438">
        <f t="shared" si="3"/>
        <v>0</v>
      </c>
      <c r="AM47" s="436">
        <f>AL47/VPI!R47</f>
        <v>0</v>
      </c>
      <c r="AN47" s="8"/>
      <c r="AO47" s="268"/>
      <c r="AP47" s="522">
        <v>23.364147660791311</v>
      </c>
      <c r="AR47" s="539">
        <v>0</v>
      </c>
    </row>
    <row r="48" spans="1:44" x14ac:dyDescent="0.25">
      <c r="A48" s="190">
        <v>5481</v>
      </c>
      <c r="B48" s="440" t="s">
        <v>216</v>
      </c>
      <c r="C48" s="528">
        <v>441344.57</v>
      </c>
      <c r="D48" s="528">
        <v>85978.85</v>
      </c>
      <c r="E48" s="528"/>
      <c r="F48" s="529"/>
      <c r="G48" s="528">
        <v>61552.6</v>
      </c>
      <c r="H48" s="528">
        <v>197.85</v>
      </c>
      <c r="I48" s="528"/>
      <c r="J48" s="528">
        <v>3040.76</v>
      </c>
      <c r="K48" s="528"/>
      <c r="L48" s="528">
        <v>39166.15</v>
      </c>
      <c r="M48" s="491">
        <f t="shared" si="0"/>
        <v>631280.78</v>
      </c>
      <c r="N48" s="241">
        <v>0</v>
      </c>
      <c r="O48" s="241"/>
      <c r="P48" s="241">
        <v>21282.45</v>
      </c>
      <c r="Q48" s="241">
        <v>5315.58</v>
      </c>
      <c r="R48" s="241">
        <v>21690.799999999999</v>
      </c>
      <c r="S48" s="528">
        <v>6453.24</v>
      </c>
      <c r="T48" s="491">
        <f t="shared" si="1"/>
        <v>686022.85</v>
      </c>
      <c r="U48" s="237">
        <v>-1595.93</v>
      </c>
      <c r="V48" s="241"/>
      <c r="W48" s="241">
        <v>0</v>
      </c>
      <c r="X48" s="533">
        <v>75</v>
      </c>
      <c r="Y48" s="536">
        <v>1</v>
      </c>
      <c r="Z48" s="213">
        <v>232</v>
      </c>
      <c r="AA48" s="265"/>
      <c r="AB48" s="235"/>
      <c r="AC48" s="436">
        <f>AB48/VPI!R48</f>
        <v>0</v>
      </c>
      <c r="AD48" s="438">
        <f t="shared" si="2"/>
        <v>0</v>
      </c>
      <c r="AE48" s="436">
        <f>AD48/VPI!R48</f>
        <v>0</v>
      </c>
      <c r="AF48" s="235"/>
      <c r="AG48" s="235"/>
      <c r="AH48" s="235"/>
      <c r="AI48" s="268"/>
      <c r="AJ48" s="8"/>
      <c r="AK48" s="436">
        <f>AJ48/VPI!R48</f>
        <v>0</v>
      </c>
      <c r="AL48" s="438">
        <f t="shared" si="3"/>
        <v>0</v>
      </c>
      <c r="AM48" s="436">
        <f>AL48/VPI!R48</f>
        <v>0</v>
      </c>
      <c r="AN48" s="8"/>
      <c r="AO48" s="268"/>
      <c r="AP48" s="522">
        <v>19.741164695155366</v>
      </c>
      <c r="AR48" s="539">
        <v>0</v>
      </c>
    </row>
    <row r="49" spans="1:44" x14ac:dyDescent="0.25">
      <c r="A49" s="190">
        <v>5482</v>
      </c>
      <c r="B49" s="440" t="s">
        <v>217</v>
      </c>
      <c r="C49" s="528">
        <v>1360639.32</v>
      </c>
      <c r="D49" s="528">
        <v>169271.49</v>
      </c>
      <c r="E49" s="528"/>
      <c r="F49" s="529"/>
      <c r="G49" s="528">
        <v>131005.75</v>
      </c>
      <c r="H49" s="528">
        <v>24516.25</v>
      </c>
      <c r="I49" s="528"/>
      <c r="J49" s="528">
        <v>77595.570000000007</v>
      </c>
      <c r="K49" s="528">
        <v>20132.7</v>
      </c>
      <c r="L49" s="528">
        <v>442642.7</v>
      </c>
      <c r="M49" s="491">
        <f t="shared" si="0"/>
        <v>2225803.7800000003</v>
      </c>
      <c r="N49" s="241">
        <v>483265.35</v>
      </c>
      <c r="O49" s="241">
        <v>22632.5</v>
      </c>
      <c r="P49" s="241">
        <v>47345.75</v>
      </c>
      <c r="Q49" s="241">
        <v>5995.82</v>
      </c>
      <c r="R49" s="241">
        <v>80115.55</v>
      </c>
      <c r="S49" s="528">
        <v>16252.85</v>
      </c>
      <c r="T49" s="491">
        <f t="shared" si="1"/>
        <v>2881411.6</v>
      </c>
      <c r="U49" s="237">
        <v>-24600.62</v>
      </c>
      <c r="V49" s="241"/>
      <c r="W49" s="241">
        <v>-982.8</v>
      </c>
      <c r="X49" s="533">
        <v>46</v>
      </c>
      <c r="Y49" s="536">
        <v>1</v>
      </c>
      <c r="Z49" s="213">
        <v>1199</v>
      </c>
      <c r="AA49" s="265"/>
      <c r="AB49" s="235"/>
      <c r="AC49" s="436">
        <f>AB49/VPI!R49</f>
        <v>0</v>
      </c>
      <c r="AD49" s="438">
        <f t="shared" si="2"/>
        <v>0</v>
      </c>
      <c r="AE49" s="436">
        <f>AD49/VPI!R49</f>
        <v>0</v>
      </c>
      <c r="AF49" s="235"/>
      <c r="AG49" s="235"/>
      <c r="AH49" s="235"/>
      <c r="AI49" s="268"/>
      <c r="AJ49" s="8"/>
      <c r="AK49" s="436">
        <f>AJ49/VPI!R49</f>
        <v>0</v>
      </c>
      <c r="AL49" s="438">
        <f t="shared" si="3"/>
        <v>0</v>
      </c>
      <c r="AM49" s="436">
        <f>AL49/VPI!R49</f>
        <v>0</v>
      </c>
      <c r="AN49" s="8"/>
      <c r="AO49" s="268"/>
      <c r="AP49" s="522">
        <v>26.684512482806088</v>
      </c>
      <c r="AR49" s="539">
        <v>0</v>
      </c>
    </row>
    <row r="50" spans="1:44" x14ac:dyDescent="0.25">
      <c r="A50" s="190">
        <v>5483</v>
      </c>
      <c r="B50" s="440" t="s">
        <v>125</v>
      </c>
      <c r="C50" s="528">
        <v>643859.4</v>
      </c>
      <c r="D50" s="528">
        <v>70751.89</v>
      </c>
      <c r="E50" s="528"/>
      <c r="F50" s="529"/>
      <c r="G50" s="528">
        <v>6935.2</v>
      </c>
      <c r="H50" s="528">
        <v>990.4</v>
      </c>
      <c r="I50" s="528"/>
      <c r="J50" s="528">
        <v>2104.39</v>
      </c>
      <c r="K50" s="528">
        <v>175.5</v>
      </c>
      <c r="L50" s="528">
        <v>60060.4</v>
      </c>
      <c r="M50" s="491">
        <f t="shared" si="0"/>
        <v>784877.18</v>
      </c>
      <c r="N50" s="241">
        <v>0</v>
      </c>
      <c r="O50" s="241"/>
      <c r="P50" s="241">
        <v>4070</v>
      </c>
      <c r="Q50" s="241"/>
      <c r="R50" s="241">
        <v>7380.3</v>
      </c>
      <c r="S50" s="528">
        <v>828.27</v>
      </c>
      <c r="T50" s="491">
        <f t="shared" si="1"/>
        <v>797155.75000000012</v>
      </c>
      <c r="U50" s="237">
        <v>-3086.18</v>
      </c>
      <c r="V50" s="241"/>
      <c r="W50" s="241">
        <v>-1013.74</v>
      </c>
      <c r="X50" s="533">
        <v>76</v>
      </c>
      <c r="Y50" s="536">
        <v>1</v>
      </c>
      <c r="Z50" s="213">
        <v>308</v>
      </c>
      <c r="AA50" s="265"/>
      <c r="AB50" s="235"/>
      <c r="AC50" s="436">
        <f>AB50/VPI!R50</f>
        <v>0</v>
      </c>
      <c r="AD50" s="438">
        <f t="shared" si="2"/>
        <v>0</v>
      </c>
      <c r="AE50" s="436">
        <f>AD50/VPI!R50</f>
        <v>0</v>
      </c>
      <c r="AF50" s="235"/>
      <c r="AG50" s="235"/>
      <c r="AH50" s="235"/>
      <c r="AI50" s="268"/>
      <c r="AJ50" s="8"/>
      <c r="AK50" s="436">
        <f>AJ50/VPI!R50</f>
        <v>0</v>
      </c>
      <c r="AL50" s="438">
        <f t="shared" si="3"/>
        <v>0</v>
      </c>
      <c r="AM50" s="436">
        <f>AL50/VPI!R50</f>
        <v>0</v>
      </c>
      <c r="AN50" s="8"/>
      <c r="AO50" s="268"/>
      <c r="AP50" s="522">
        <v>16.349271725099289</v>
      </c>
      <c r="AR50" s="539">
        <v>0</v>
      </c>
    </row>
    <row r="51" spans="1:44" x14ac:dyDescent="0.25">
      <c r="A51" s="190">
        <v>5484</v>
      </c>
      <c r="B51" s="440" t="s">
        <v>126</v>
      </c>
      <c r="C51" s="528">
        <v>1930383.18</v>
      </c>
      <c r="D51" s="528">
        <v>226514</v>
      </c>
      <c r="E51" s="528"/>
      <c r="F51" s="529"/>
      <c r="G51" s="528">
        <v>45709.3</v>
      </c>
      <c r="H51" s="528">
        <v>2770</v>
      </c>
      <c r="I51" s="528"/>
      <c r="J51" s="528">
        <v>19714.080000000002</v>
      </c>
      <c r="K51" s="528">
        <v>6304.65</v>
      </c>
      <c r="L51" s="528">
        <v>196784.3</v>
      </c>
      <c r="M51" s="491">
        <f t="shared" si="0"/>
        <v>2428179.5099999993</v>
      </c>
      <c r="N51" s="241">
        <v>32016.55</v>
      </c>
      <c r="O51" s="241">
        <v>7846.2</v>
      </c>
      <c r="P51" s="241">
        <v>131062.95</v>
      </c>
      <c r="Q51" s="241">
        <v>766.99</v>
      </c>
      <c r="R51" s="241">
        <v>63765.8</v>
      </c>
      <c r="S51" s="528">
        <v>5066.34</v>
      </c>
      <c r="T51" s="491">
        <f t="shared" si="1"/>
        <v>2668704.3399999994</v>
      </c>
      <c r="U51" s="237">
        <v>-21376.39</v>
      </c>
      <c r="V51" s="241"/>
      <c r="W51" s="241">
        <v>-112.8</v>
      </c>
      <c r="X51" s="533">
        <v>74</v>
      </c>
      <c r="Y51" s="536">
        <v>1</v>
      </c>
      <c r="Z51" s="213">
        <v>1037</v>
      </c>
      <c r="AA51" s="265"/>
      <c r="AB51" s="235"/>
      <c r="AC51" s="436">
        <f>AB51/VPI!R51</f>
        <v>0</v>
      </c>
      <c r="AD51" s="438">
        <f t="shared" si="2"/>
        <v>0</v>
      </c>
      <c r="AE51" s="436">
        <f>AD51/VPI!R51</f>
        <v>0</v>
      </c>
      <c r="AF51" s="235"/>
      <c r="AG51" s="235"/>
      <c r="AH51" s="235"/>
      <c r="AI51" s="268"/>
      <c r="AJ51" s="8"/>
      <c r="AK51" s="436">
        <f>AJ51/VPI!R51</f>
        <v>0</v>
      </c>
      <c r="AL51" s="438">
        <f t="shared" si="3"/>
        <v>0</v>
      </c>
      <c r="AM51" s="436">
        <f>AL51/VPI!R51</f>
        <v>0</v>
      </c>
      <c r="AN51" s="8"/>
      <c r="AO51" s="268"/>
      <c r="AP51" s="522">
        <v>19.109505194959223</v>
      </c>
      <c r="AR51" s="539">
        <v>0</v>
      </c>
    </row>
    <row r="52" spans="1:44" x14ac:dyDescent="0.25">
      <c r="A52" s="190">
        <v>5485</v>
      </c>
      <c r="B52" s="440" t="s">
        <v>127</v>
      </c>
      <c r="C52" s="528">
        <v>1032776.12</v>
      </c>
      <c r="D52" s="528">
        <v>169867.35</v>
      </c>
      <c r="E52" s="528"/>
      <c r="F52" s="529"/>
      <c r="G52" s="528">
        <v>20659.150000000001</v>
      </c>
      <c r="H52" s="528">
        <v>6204.6</v>
      </c>
      <c r="I52" s="528"/>
      <c r="J52" s="528">
        <v>7958.97</v>
      </c>
      <c r="K52" s="528">
        <v>74.8</v>
      </c>
      <c r="L52" s="528">
        <v>91269.1</v>
      </c>
      <c r="M52" s="491">
        <f t="shared" si="0"/>
        <v>1328810.0900000001</v>
      </c>
      <c r="N52" s="241">
        <v>5968.6</v>
      </c>
      <c r="O52" s="241">
        <v>4988.6000000000004</v>
      </c>
      <c r="P52" s="241">
        <v>61818.35</v>
      </c>
      <c r="Q52" s="241">
        <v>150.24</v>
      </c>
      <c r="R52" s="241">
        <v>11571.35</v>
      </c>
      <c r="S52" s="528">
        <v>2807.4</v>
      </c>
      <c r="T52" s="491">
        <f t="shared" si="1"/>
        <v>1416114.6300000004</v>
      </c>
      <c r="U52" s="237">
        <v>-4270.97</v>
      </c>
      <c r="V52" s="241"/>
      <c r="W52" s="241">
        <v>-200.13</v>
      </c>
      <c r="X52" s="533">
        <v>70</v>
      </c>
      <c r="Y52" s="536">
        <v>1</v>
      </c>
      <c r="Z52" s="213">
        <v>490</v>
      </c>
      <c r="AA52" s="265"/>
      <c r="AB52" s="235"/>
      <c r="AC52" s="436">
        <f>AB52/VPI!R52</f>
        <v>0</v>
      </c>
      <c r="AD52" s="438">
        <f t="shared" si="2"/>
        <v>0</v>
      </c>
      <c r="AE52" s="436">
        <f>AD52/VPI!R52</f>
        <v>0</v>
      </c>
      <c r="AF52" s="235"/>
      <c r="AG52" s="235"/>
      <c r="AH52" s="235"/>
      <c r="AI52" s="268"/>
      <c r="AJ52" s="8"/>
      <c r="AK52" s="436">
        <f>AJ52/VPI!R52</f>
        <v>0</v>
      </c>
      <c r="AL52" s="438">
        <f t="shared" si="3"/>
        <v>0</v>
      </c>
      <c r="AM52" s="436">
        <f>AL52/VPI!R52</f>
        <v>0</v>
      </c>
      <c r="AN52" s="8"/>
      <c r="AO52" s="268"/>
      <c r="AP52" s="522">
        <v>30.273728402939177</v>
      </c>
      <c r="AR52" s="539">
        <v>0</v>
      </c>
    </row>
    <row r="53" spans="1:44" x14ac:dyDescent="0.25">
      <c r="A53" s="190">
        <v>5486</v>
      </c>
      <c r="B53" s="440" t="s">
        <v>0</v>
      </c>
      <c r="C53" s="528">
        <v>1871161.04</v>
      </c>
      <c r="D53" s="528">
        <v>433203.85</v>
      </c>
      <c r="E53" s="528"/>
      <c r="F53" s="529"/>
      <c r="G53" s="528">
        <v>62270.6</v>
      </c>
      <c r="H53" s="528">
        <v>1711.6</v>
      </c>
      <c r="I53" s="528"/>
      <c r="J53" s="528">
        <v>33904.49</v>
      </c>
      <c r="K53" s="528">
        <v>11661.2</v>
      </c>
      <c r="L53" s="528">
        <v>203693.1</v>
      </c>
      <c r="M53" s="491">
        <f t="shared" si="0"/>
        <v>2617605.8800000008</v>
      </c>
      <c r="N53" s="241">
        <v>89687.85</v>
      </c>
      <c r="O53" s="241">
        <v>12584.3</v>
      </c>
      <c r="P53" s="241">
        <v>195518.9</v>
      </c>
      <c r="Q53" s="241">
        <v>424.79</v>
      </c>
      <c r="R53" s="241">
        <v>100886.1</v>
      </c>
      <c r="S53" s="528">
        <v>6686.47</v>
      </c>
      <c r="T53" s="491">
        <f t="shared" si="1"/>
        <v>3023394.290000001</v>
      </c>
      <c r="U53" s="237">
        <v>-18000.98</v>
      </c>
      <c r="V53" s="241"/>
      <c r="W53" s="241">
        <v>0</v>
      </c>
      <c r="X53" s="533">
        <v>75</v>
      </c>
      <c r="Y53" s="536">
        <v>1</v>
      </c>
      <c r="Z53" s="213">
        <v>1095</v>
      </c>
      <c r="AA53" s="265"/>
      <c r="AB53" s="235"/>
      <c r="AC53" s="436">
        <f>AB53/VPI!R53</f>
        <v>0</v>
      </c>
      <c r="AD53" s="438">
        <f t="shared" si="2"/>
        <v>0</v>
      </c>
      <c r="AE53" s="436">
        <f>AD53/VPI!R53</f>
        <v>0</v>
      </c>
      <c r="AF53" s="235"/>
      <c r="AG53" s="235"/>
      <c r="AH53" s="235"/>
      <c r="AI53" s="268"/>
      <c r="AJ53" s="8"/>
      <c r="AK53" s="436">
        <f>AJ53/VPI!R53</f>
        <v>0</v>
      </c>
      <c r="AL53" s="438">
        <f t="shared" si="3"/>
        <v>0</v>
      </c>
      <c r="AM53" s="436">
        <f>AL53/VPI!R53</f>
        <v>0</v>
      </c>
      <c r="AN53" s="8"/>
      <c r="AO53" s="268"/>
      <c r="AP53" s="522">
        <v>7.9764575355719494</v>
      </c>
      <c r="AR53" s="539">
        <v>0</v>
      </c>
    </row>
    <row r="54" spans="1:44" x14ac:dyDescent="0.25">
      <c r="A54" s="190">
        <v>5487</v>
      </c>
      <c r="B54" s="440" t="s">
        <v>1</v>
      </c>
      <c r="C54" s="528">
        <v>738968.87</v>
      </c>
      <c r="D54" s="528">
        <v>74988.84</v>
      </c>
      <c r="E54" s="528"/>
      <c r="F54" s="529"/>
      <c r="G54" s="528">
        <v>3473.8</v>
      </c>
      <c r="H54" s="528">
        <v>71.8</v>
      </c>
      <c r="I54" s="528"/>
      <c r="J54" s="528">
        <v>3474.05</v>
      </c>
      <c r="K54" s="528">
        <v>993.25</v>
      </c>
      <c r="L54" s="528">
        <v>82655.350000000006</v>
      </c>
      <c r="M54" s="491">
        <f t="shared" si="0"/>
        <v>904625.96000000008</v>
      </c>
      <c r="N54" s="241">
        <v>0</v>
      </c>
      <c r="O54" s="241">
        <v>661.9</v>
      </c>
      <c r="P54" s="241">
        <v>36901.9</v>
      </c>
      <c r="Q54" s="241">
        <v>13814.44</v>
      </c>
      <c r="R54" s="241">
        <v>46740.1</v>
      </c>
      <c r="S54" s="528">
        <v>370.53</v>
      </c>
      <c r="T54" s="491">
        <f t="shared" si="1"/>
        <v>1003114.8300000001</v>
      </c>
      <c r="U54" s="237">
        <v>-15614.44</v>
      </c>
      <c r="V54" s="241"/>
      <c r="W54" s="241">
        <v>0</v>
      </c>
      <c r="X54" s="533">
        <v>75</v>
      </c>
      <c r="Y54" s="536">
        <v>1</v>
      </c>
      <c r="Z54" s="213">
        <v>482</v>
      </c>
      <c r="AA54" s="265"/>
      <c r="AB54" s="235"/>
      <c r="AC54" s="436">
        <f>AB54/VPI!R54</f>
        <v>0</v>
      </c>
      <c r="AD54" s="438">
        <f t="shared" si="2"/>
        <v>0</v>
      </c>
      <c r="AE54" s="436">
        <f>AD54/VPI!R54</f>
        <v>0</v>
      </c>
      <c r="AF54" s="235"/>
      <c r="AG54" s="235"/>
      <c r="AH54" s="235"/>
      <c r="AI54" s="268"/>
      <c r="AJ54" s="8"/>
      <c r="AK54" s="436">
        <f>AJ54/VPI!R54</f>
        <v>0</v>
      </c>
      <c r="AL54" s="438">
        <f t="shared" si="3"/>
        <v>0</v>
      </c>
      <c r="AM54" s="436">
        <f>AL54/VPI!R54</f>
        <v>0</v>
      </c>
      <c r="AN54" s="8"/>
      <c r="AO54" s="268"/>
      <c r="AP54" s="522">
        <v>18.68747302601092</v>
      </c>
      <c r="AR54" s="539">
        <v>0</v>
      </c>
    </row>
    <row r="55" spans="1:44" x14ac:dyDescent="0.25">
      <c r="A55" s="190">
        <v>5488</v>
      </c>
      <c r="B55" s="440" t="s">
        <v>2</v>
      </c>
      <c r="C55" s="528">
        <v>142423.89000000001</v>
      </c>
      <c r="D55" s="528">
        <v>14587.1</v>
      </c>
      <c r="E55" s="528"/>
      <c r="F55" s="529"/>
      <c r="G55" s="528">
        <v>-135.6</v>
      </c>
      <c r="H55" s="528">
        <v>234.75</v>
      </c>
      <c r="I55" s="528"/>
      <c r="J55" s="528">
        <v>458</v>
      </c>
      <c r="K55" s="528"/>
      <c r="L55" s="528">
        <v>8987</v>
      </c>
      <c r="M55" s="491">
        <f t="shared" si="0"/>
        <v>166555.14000000001</v>
      </c>
      <c r="N55" s="241">
        <v>0</v>
      </c>
      <c r="O55" s="241"/>
      <c r="P55" s="241"/>
      <c r="Q55" s="241"/>
      <c r="R55" s="241">
        <v>38854.550000000003</v>
      </c>
      <c r="S55" s="528">
        <v>10.36</v>
      </c>
      <c r="T55" s="491">
        <f t="shared" si="1"/>
        <v>205420.05</v>
      </c>
      <c r="U55" s="237">
        <v>-2431.8200000000002</v>
      </c>
      <c r="V55" s="241"/>
      <c r="W55" s="241">
        <v>0</v>
      </c>
      <c r="X55" s="533">
        <v>77</v>
      </c>
      <c r="Y55" s="536">
        <v>1</v>
      </c>
      <c r="Z55" s="213">
        <v>65</v>
      </c>
      <c r="AA55" s="265"/>
      <c r="AB55" s="235"/>
      <c r="AC55" s="436">
        <f>AB55/VPI!R55</f>
        <v>0</v>
      </c>
      <c r="AD55" s="438">
        <f t="shared" si="2"/>
        <v>0</v>
      </c>
      <c r="AE55" s="436">
        <f>AD55/VPI!R55</f>
        <v>0</v>
      </c>
      <c r="AF55" s="235"/>
      <c r="AG55" s="235"/>
      <c r="AH55" s="235"/>
      <c r="AI55" s="268"/>
      <c r="AJ55" s="8"/>
      <c r="AK55" s="436">
        <f>AJ55/VPI!R55</f>
        <v>0</v>
      </c>
      <c r="AL55" s="438">
        <f t="shared" si="3"/>
        <v>0</v>
      </c>
      <c r="AM55" s="436">
        <f>AL55/VPI!R55</f>
        <v>0</v>
      </c>
      <c r="AN55" s="8"/>
      <c r="AO55" s="268"/>
      <c r="AP55" s="522">
        <v>10.443437487039191</v>
      </c>
      <c r="AR55" s="539">
        <v>0</v>
      </c>
    </row>
    <row r="56" spans="1:44" x14ac:dyDescent="0.25">
      <c r="A56" s="190">
        <v>5489</v>
      </c>
      <c r="B56" s="440" t="s">
        <v>3</v>
      </c>
      <c r="C56" s="528">
        <v>2257272.61</v>
      </c>
      <c r="D56" s="528">
        <v>458949.52</v>
      </c>
      <c r="E56" s="528"/>
      <c r="F56" s="529"/>
      <c r="G56" s="528">
        <v>394869.1</v>
      </c>
      <c r="H56" s="528">
        <v>102076.15</v>
      </c>
      <c r="I56" s="528"/>
      <c r="J56" s="528">
        <v>55715.49</v>
      </c>
      <c r="K56" s="528">
        <v>6151.5</v>
      </c>
      <c r="L56" s="528">
        <v>304202.90000000002</v>
      </c>
      <c r="M56" s="491">
        <f t="shared" si="0"/>
        <v>3579237.27</v>
      </c>
      <c r="N56" s="241">
        <v>190350.55</v>
      </c>
      <c r="O56" s="241"/>
      <c r="P56" s="241">
        <v>37858.449999999997</v>
      </c>
      <c r="Q56" s="241">
        <v>1794.24</v>
      </c>
      <c r="R56" s="241">
        <v>296503.05</v>
      </c>
      <c r="S56" s="528">
        <v>51933.33</v>
      </c>
      <c r="T56" s="491">
        <f t="shared" si="1"/>
        <v>4157676.89</v>
      </c>
      <c r="U56" s="237">
        <v>-15246.03</v>
      </c>
      <c r="V56" s="241"/>
      <c r="W56" s="241">
        <v>-3666.91</v>
      </c>
      <c r="X56" s="533">
        <v>59.5</v>
      </c>
      <c r="Y56" s="536">
        <v>1</v>
      </c>
      <c r="Z56" s="213">
        <v>817</v>
      </c>
      <c r="AA56" s="265"/>
      <c r="AB56" s="235"/>
      <c r="AC56" s="436">
        <f>AB56/VPI!R56</f>
        <v>0</v>
      </c>
      <c r="AD56" s="438">
        <f t="shared" si="2"/>
        <v>0</v>
      </c>
      <c r="AE56" s="436">
        <f>AD56/VPI!R56</f>
        <v>0</v>
      </c>
      <c r="AF56" s="235"/>
      <c r="AG56" s="235"/>
      <c r="AH56" s="235"/>
      <c r="AI56" s="268"/>
      <c r="AJ56" s="8"/>
      <c r="AK56" s="436">
        <f>AJ56/VPI!R56</f>
        <v>0</v>
      </c>
      <c r="AL56" s="438">
        <f t="shared" si="3"/>
        <v>0</v>
      </c>
      <c r="AM56" s="436">
        <f>AL56/VPI!R56</f>
        <v>0</v>
      </c>
      <c r="AN56" s="8"/>
      <c r="AO56" s="268"/>
      <c r="AP56" s="522">
        <v>32.356047299372158</v>
      </c>
      <c r="AR56" s="539">
        <v>0</v>
      </c>
    </row>
    <row r="57" spans="1:44" x14ac:dyDescent="0.25">
      <c r="A57" s="190">
        <v>5490</v>
      </c>
      <c r="B57" s="440" t="s">
        <v>4</v>
      </c>
      <c r="C57" s="528">
        <v>535366.05000000005</v>
      </c>
      <c r="D57" s="528">
        <v>74676.56</v>
      </c>
      <c r="E57" s="528"/>
      <c r="F57" s="529"/>
      <c r="G57" s="528">
        <v>288.3</v>
      </c>
      <c r="H57" s="528">
        <v>761.1</v>
      </c>
      <c r="I57" s="528"/>
      <c r="J57" s="528">
        <v>1091.75</v>
      </c>
      <c r="K57" s="528"/>
      <c r="L57" s="528">
        <v>47956</v>
      </c>
      <c r="M57" s="491">
        <f t="shared" si="0"/>
        <v>660139.76000000013</v>
      </c>
      <c r="N57" s="241">
        <v>0</v>
      </c>
      <c r="O57" s="241">
        <v>0</v>
      </c>
      <c r="P57" s="241">
        <v>8012.1</v>
      </c>
      <c r="Q57" s="241">
        <v>0</v>
      </c>
      <c r="R57" s="241">
        <v>11852.6</v>
      </c>
      <c r="S57" s="528">
        <v>109.67</v>
      </c>
      <c r="T57" s="491">
        <f t="shared" si="1"/>
        <v>680114.13000000012</v>
      </c>
      <c r="U57" s="237">
        <v>-8440.4</v>
      </c>
      <c r="V57" s="241"/>
      <c r="W57" s="241">
        <v>-315.7</v>
      </c>
      <c r="X57" s="533">
        <v>77</v>
      </c>
      <c r="Y57" s="536">
        <v>1</v>
      </c>
      <c r="Z57" s="213">
        <v>296</v>
      </c>
      <c r="AA57" s="265"/>
      <c r="AB57" s="235"/>
      <c r="AC57" s="436">
        <f>AB57/VPI!R57</f>
        <v>0</v>
      </c>
      <c r="AD57" s="438">
        <f t="shared" si="2"/>
        <v>0</v>
      </c>
      <c r="AE57" s="436">
        <f>AD57/VPI!R57</f>
        <v>0</v>
      </c>
      <c r="AF57" s="235"/>
      <c r="AG57" s="235"/>
      <c r="AH57" s="235"/>
      <c r="AI57" s="268"/>
      <c r="AJ57" s="8"/>
      <c r="AK57" s="436">
        <f>AJ57/VPI!R57</f>
        <v>0</v>
      </c>
      <c r="AL57" s="438">
        <f t="shared" si="3"/>
        <v>0</v>
      </c>
      <c r="AM57" s="436">
        <f>AL57/VPI!R57</f>
        <v>0</v>
      </c>
      <c r="AN57" s="8"/>
      <c r="AO57" s="268"/>
      <c r="AP57" s="522">
        <v>12.11606299775203</v>
      </c>
      <c r="AR57" s="539">
        <v>0</v>
      </c>
    </row>
    <row r="58" spans="1:44" x14ac:dyDescent="0.25">
      <c r="A58" s="190">
        <v>5491</v>
      </c>
      <c r="B58" s="440" t="s">
        <v>147</v>
      </c>
      <c r="C58" s="528">
        <v>833483.45</v>
      </c>
      <c r="D58" s="528">
        <v>104080.29</v>
      </c>
      <c r="E58" s="528"/>
      <c r="F58" s="529">
        <v>2780</v>
      </c>
      <c r="G58" s="528">
        <v>28214</v>
      </c>
      <c r="H58" s="528">
        <v>1786.2</v>
      </c>
      <c r="I58" s="528"/>
      <c r="J58" s="528">
        <v>5828.18</v>
      </c>
      <c r="K58" s="528">
        <v>425</v>
      </c>
      <c r="L58" s="528">
        <v>92939.05</v>
      </c>
      <c r="M58" s="491">
        <f t="shared" si="0"/>
        <v>1069536.17</v>
      </c>
      <c r="N58" s="241">
        <v>3208.25</v>
      </c>
      <c r="O58" s="241">
        <v>2230.6999999999998</v>
      </c>
      <c r="P58" s="241">
        <v>79032.100000000006</v>
      </c>
      <c r="Q58" s="241">
        <v>13.91</v>
      </c>
      <c r="R58" s="241">
        <v>54703.3</v>
      </c>
      <c r="S58" s="528">
        <v>3135.17</v>
      </c>
      <c r="T58" s="491">
        <f t="shared" si="1"/>
        <v>1211859.5999999999</v>
      </c>
      <c r="U58" s="237">
        <v>-20652.240000000002</v>
      </c>
      <c r="V58" s="241"/>
      <c r="W58" s="241">
        <v>-24.5</v>
      </c>
      <c r="X58" s="533">
        <v>76</v>
      </c>
      <c r="Y58" s="536">
        <v>1</v>
      </c>
      <c r="Z58" s="213">
        <v>502</v>
      </c>
      <c r="AA58" s="265"/>
      <c r="AB58" s="235"/>
      <c r="AC58" s="436">
        <f>AB58/VPI!R58</f>
        <v>0</v>
      </c>
      <c r="AD58" s="438">
        <f t="shared" si="2"/>
        <v>0</v>
      </c>
      <c r="AE58" s="436">
        <f>AD58/VPI!R58</f>
        <v>0</v>
      </c>
      <c r="AF58" s="235"/>
      <c r="AG58" s="235"/>
      <c r="AH58" s="235"/>
      <c r="AI58" s="268"/>
      <c r="AJ58" s="8"/>
      <c r="AK58" s="436">
        <f>AJ58/VPI!R58</f>
        <v>0</v>
      </c>
      <c r="AL58" s="438">
        <f t="shared" si="3"/>
        <v>0</v>
      </c>
      <c r="AM58" s="436">
        <f>AL58/VPI!R58</f>
        <v>0</v>
      </c>
      <c r="AN58" s="8"/>
      <c r="AO58" s="268"/>
      <c r="AP58" s="522">
        <v>7.7301947702853653</v>
      </c>
      <c r="AR58" s="539">
        <v>0</v>
      </c>
    </row>
    <row r="59" spans="1:44" x14ac:dyDescent="0.25">
      <c r="A59" s="190">
        <v>5492</v>
      </c>
      <c r="B59" s="440" t="s">
        <v>148</v>
      </c>
      <c r="C59" s="528">
        <v>5609980.8399999999</v>
      </c>
      <c r="D59" s="528">
        <v>3659159.38</v>
      </c>
      <c r="E59" s="528"/>
      <c r="F59" s="529"/>
      <c r="G59" s="528">
        <v>74019.5</v>
      </c>
      <c r="H59" s="528">
        <v>2188.9499999999998</v>
      </c>
      <c r="I59" s="528"/>
      <c r="J59" s="528">
        <v>-7366.98</v>
      </c>
      <c r="K59" s="528">
        <v>4857.45</v>
      </c>
      <c r="L59" s="528">
        <v>74882.55</v>
      </c>
      <c r="M59" s="491">
        <f t="shared" si="0"/>
        <v>9417721.6899999976</v>
      </c>
      <c r="N59" s="241">
        <v>10971.2</v>
      </c>
      <c r="O59" s="241">
        <v>87907.3</v>
      </c>
      <c r="P59" s="241">
        <v>68547.600000000006</v>
      </c>
      <c r="Q59" s="241">
        <v>18028.43</v>
      </c>
      <c r="R59" s="241">
        <v>74178.25</v>
      </c>
      <c r="S59" s="528">
        <v>7964.17</v>
      </c>
      <c r="T59" s="491">
        <f t="shared" si="1"/>
        <v>9685318.6399999969</v>
      </c>
      <c r="U59" s="237">
        <v>-20814.23</v>
      </c>
      <c r="V59" s="241"/>
      <c r="W59" s="241">
        <v>-3540.85</v>
      </c>
      <c r="X59" s="533">
        <v>64</v>
      </c>
      <c r="Y59" s="536">
        <v>0.3</v>
      </c>
      <c r="Z59" s="213">
        <v>979</v>
      </c>
      <c r="AA59" s="265"/>
      <c r="AB59" s="235"/>
      <c r="AC59" s="436">
        <f>AB59/VPI!R59</f>
        <v>0</v>
      </c>
      <c r="AD59" s="438">
        <f t="shared" si="2"/>
        <v>0</v>
      </c>
      <c r="AE59" s="436">
        <f>AD59/VPI!R59</f>
        <v>0</v>
      </c>
      <c r="AF59" s="235"/>
      <c r="AG59" s="235"/>
      <c r="AH59" s="235"/>
      <c r="AI59" s="268"/>
      <c r="AJ59" s="8"/>
      <c r="AK59" s="436">
        <f>AJ59/VPI!R59</f>
        <v>0</v>
      </c>
      <c r="AL59" s="438">
        <f t="shared" si="3"/>
        <v>0</v>
      </c>
      <c r="AM59" s="436">
        <f>AL59/VPI!R59</f>
        <v>0</v>
      </c>
      <c r="AN59" s="8"/>
      <c r="AO59" s="268"/>
      <c r="AP59" s="522">
        <v>51.739099731051937</v>
      </c>
      <c r="AR59" s="539">
        <v>0</v>
      </c>
    </row>
    <row r="60" spans="1:44" x14ac:dyDescent="0.25">
      <c r="A60" s="190">
        <v>5493</v>
      </c>
      <c r="B60" s="440" t="s">
        <v>149</v>
      </c>
      <c r="C60" s="528">
        <v>882424.04</v>
      </c>
      <c r="D60" s="528">
        <v>83244.75</v>
      </c>
      <c r="E60" s="528"/>
      <c r="F60" s="529"/>
      <c r="G60" s="528">
        <v>8769.1</v>
      </c>
      <c r="H60" s="528">
        <v>873.6</v>
      </c>
      <c r="I60" s="528"/>
      <c r="J60" s="528">
        <v>17420.61</v>
      </c>
      <c r="K60" s="528">
        <v>3534.35</v>
      </c>
      <c r="L60" s="528">
        <v>51985.5</v>
      </c>
      <c r="M60" s="491">
        <f t="shared" si="0"/>
        <v>1048251.95</v>
      </c>
      <c r="N60" s="241">
        <v>62678</v>
      </c>
      <c r="O60" s="241">
        <v>-6358.4</v>
      </c>
      <c r="P60" s="241">
        <v>51900</v>
      </c>
      <c r="Q60" s="241"/>
      <c r="R60" s="241">
        <v>27369.3</v>
      </c>
      <c r="S60" s="528">
        <v>1007.71</v>
      </c>
      <c r="T60" s="491">
        <f t="shared" si="1"/>
        <v>1184848.56</v>
      </c>
      <c r="U60" s="237">
        <v>-8679.82</v>
      </c>
      <c r="V60" s="241"/>
      <c r="W60" s="241">
        <v>-156.4</v>
      </c>
      <c r="X60" s="533">
        <v>73</v>
      </c>
      <c r="Y60" s="536">
        <v>0.65</v>
      </c>
      <c r="Z60" s="213">
        <v>484</v>
      </c>
      <c r="AA60" s="265"/>
      <c r="AB60" s="235"/>
      <c r="AC60" s="436">
        <f>AB60/VPI!R60</f>
        <v>0</v>
      </c>
      <c r="AD60" s="438">
        <f t="shared" si="2"/>
        <v>0</v>
      </c>
      <c r="AE60" s="436">
        <f>AD60/VPI!R60</f>
        <v>0</v>
      </c>
      <c r="AF60" s="235"/>
      <c r="AG60" s="235"/>
      <c r="AH60" s="235"/>
      <c r="AI60" s="268"/>
      <c r="AJ60" s="8"/>
      <c r="AK60" s="436">
        <f>AJ60/VPI!R60</f>
        <v>0</v>
      </c>
      <c r="AL60" s="438">
        <f t="shared" si="3"/>
        <v>0</v>
      </c>
      <c r="AM60" s="436">
        <f>AL60/VPI!R60</f>
        <v>0</v>
      </c>
      <c r="AN60" s="8"/>
      <c r="AO60" s="268"/>
      <c r="AP60" s="522">
        <v>11.050271780385817</v>
      </c>
      <c r="AR60" s="539">
        <v>0</v>
      </c>
    </row>
    <row r="61" spans="1:44" x14ac:dyDescent="0.25">
      <c r="A61" s="190">
        <v>5495</v>
      </c>
      <c r="B61" s="440" t="s">
        <v>150</v>
      </c>
      <c r="C61" s="528">
        <v>5812084.25</v>
      </c>
      <c r="D61" s="528">
        <v>807933.72</v>
      </c>
      <c r="E61" s="528"/>
      <c r="F61" s="529"/>
      <c r="G61" s="528">
        <v>245151.45</v>
      </c>
      <c r="H61" s="528">
        <v>3454.45</v>
      </c>
      <c r="I61" s="528">
        <v>76799.7</v>
      </c>
      <c r="J61" s="528">
        <v>211972.27</v>
      </c>
      <c r="K61" s="528">
        <v>77785.600000000006</v>
      </c>
      <c r="L61" s="528">
        <v>513365.45</v>
      </c>
      <c r="M61" s="491">
        <f t="shared" si="0"/>
        <v>7748546.8899999997</v>
      </c>
      <c r="N61" s="241">
        <v>301863.25</v>
      </c>
      <c r="O61" s="241">
        <v>1567388.6</v>
      </c>
      <c r="P61" s="241">
        <v>255756.65</v>
      </c>
      <c r="Q61" s="241">
        <v>23393.9</v>
      </c>
      <c r="R61" s="241">
        <v>203967.45</v>
      </c>
      <c r="S61" s="528">
        <v>25980.59</v>
      </c>
      <c r="T61" s="491">
        <f t="shared" si="1"/>
        <v>10126897.33</v>
      </c>
      <c r="U61" s="237">
        <v>-171049.56</v>
      </c>
      <c r="V61" s="241"/>
      <c r="W61" s="241">
        <v>-685.49</v>
      </c>
      <c r="X61" s="533">
        <v>74</v>
      </c>
      <c r="Y61" s="536">
        <v>1</v>
      </c>
      <c r="Z61" s="213">
        <v>3216</v>
      </c>
      <c r="AA61" s="265"/>
      <c r="AB61" s="235"/>
      <c r="AC61" s="436">
        <f>AB61/VPI!R61</f>
        <v>0</v>
      </c>
      <c r="AD61" s="438">
        <f t="shared" si="2"/>
        <v>0</v>
      </c>
      <c r="AE61" s="436">
        <f>AD61/VPI!R61</f>
        <v>0</v>
      </c>
      <c r="AF61" s="235"/>
      <c r="AG61" s="235"/>
      <c r="AH61" s="235"/>
      <c r="AI61" s="268"/>
      <c r="AJ61" s="8"/>
      <c r="AK61" s="436">
        <f>AJ61/VPI!R61</f>
        <v>0</v>
      </c>
      <c r="AL61" s="438">
        <f t="shared" si="3"/>
        <v>0</v>
      </c>
      <c r="AM61" s="436">
        <f>AL61/VPI!R61</f>
        <v>0</v>
      </c>
      <c r="AN61" s="8"/>
      <c r="AO61" s="268"/>
      <c r="AP61" s="522">
        <v>7.3428808466938227</v>
      </c>
      <c r="AR61" s="539">
        <v>0</v>
      </c>
    </row>
    <row r="62" spans="1:44" x14ac:dyDescent="0.25">
      <c r="A62" s="190">
        <v>5496</v>
      </c>
      <c r="B62" s="440" t="s">
        <v>151</v>
      </c>
      <c r="C62" s="528">
        <v>3342354.25</v>
      </c>
      <c r="D62" s="528">
        <v>355513.1</v>
      </c>
      <c r="E62" s="528"/>
      <c r="F62" s="529"/>
      <c r="G62" s="528">
        <v>148593.25</v>
      </c>
      <c r="H62" s="528">
        <v>8115.25</v>
      </c>
      <c r="I62" s="528"/>
      <c r="J62" s="528">
        <v>89283.92</v>
      </c>
      <c r="K62" s="528">
        <v>25492.5</v>
      </c>
      <c r="L62" s="528">
        <v>368757.3</v>
      </c>
      <c r="M62" s="491">
        <f t="shared" si="0"/>
        <v>4338109.57</v>
      </c>
      <c r="N62" s="241">
        <v>85804.3</v>
      </c>
      <c r="O62" s="241">
        <v>203.4</v>
      </c>
      <c r="P62" s="241">
        <v>183626</v>
      </c>
      <c r="Q62" s="241">
        <v>10397.52</v>
      </c>
      <c r="R62" s="241">
        <v>80539.850000000006</v>
      </c>
      <c r="S62" s="528">
        <v>16376.84</v>
      </c>
      <c r="T62" s="491">
        <f t="shared" si="1"/>
        <v>4715057.4799999995</v>
      </c>
      <c r="U62" s="237">
        <v>-79946.880000000005</v>
      </c>
      <c r="V62" s="241"/>
      <c r="W62" s="241">
        <v>-156.5</v>
      </c>
      <c r="X62" s="533">
        <v>69.5</v>
      </c>
      <c r="Y62" s="536">
        <v>1</v>
      </c>
      <c r="Z62" s="213">
        <v>1923</v>
      </c>
      <c r="AA62" s="265"/>
      <c r="AB62" s="235"/>
      <c r="AC62" s="436">
        <f>AB62/VPI!R62</f>
        <v>0</v>
      </c>
      <c r="AD62" s="438">
        <f t="shared" si="2"/>
        <v>0</v>
      </c>
      <c r="AE62" s="436">
        <f>AD62/VPI!R62</f>
        <v>0</v>
      </c>
      <c r="AF62" s="235"/>
      <c r="AG62" s="235"/>
      <c r="AH62" s="235"/>
      <c r="AI62" s="268"/>
      <c r="AJ62" s="8"/>
      <c r="AK62" s="436">
        <f>AJ62/VPI!R62</f>
        <v>0</v>
      </c>
      <c r="AL62" s="438">
        <f t="shared" si="3"/>
        <v>0</v>
      </c>
      <c r="AM62" s="436">
        <f>AL62/VPI!R62</f>
        <v>0</v>
      </c>
      <c r="AN62" s="8"/>
      <c r="AO62" s="268"/>
      <c r="AP62" s="522">
        <v>11.045111683902057</v>
      </c>
      <c r="AR62" s="539">
        <v>0</v>
      </c>
    </row>
    <row r="63" spans="1:44" x14ac:dyDescent="0.25">
      <c r="A63" s="190">
        <v>5497</v>
      </c>
      <c r="B63" s="440" t="s">
        <v>152</v>
      </c>
      <c r="C63" s="528">
        <v>1187821.28</v>
      </c>
      <c r="D63" s="528">
        <v>111126.98</v>
      </c>
      <c r="E63" s="528"/>
      <c r="F63" s="529"/>
      <c r="G63" s="528">
        <v>21989.75</v>
      </c>
      <c r="H63" s="528">
        <v>-1368.55</v>
      </c>
      <c r="I63" s="528"/>
      <c r="J63" s="528">
        <v>69090.25</v>
      </c>
      <c r="K63" s="528">
        <v>4013.6</v>
      </c>
      <c r="L63" s="528">
        <v>139086.20000000001</v>
      </c>
      <c r="M63" s="491">
        <f t="shared" si="0"/>
        <v>1531759.51</v>
      </c>
      <c r="N63" s="241">
        <v>202629.9</v>
      </c>
      <c r="O63" s="241">
        <v>27216.3</v>
      </c>
      <c r="P63" s="241">
        <v>26400</v>
      </c>
      <c r="Q63" s="241">
        <v>8434.52</v>
      </c>
      <c r="R63" s="241">
        <v>35411.699999999997</v>
      </c>
      <c r="S63" s="528">
        <v>2155.02</v>
      </c>
      <c r="T63" s="491">
        <f t="shared" si="1"/>
        <v>1834006.95</v>
      </c>
      <c r="U63" s="237">
        <v>-27509.43</v>
      </c>
      <c r="V63" s="241"/>
      <c r="W63" s="241">
        <v>-150.80000000000001</v>
      </c>
      <c r="X63" s="533">
        <v>66</v>
      </c>
      <c r="Y63" s="536">
        <v>1</v>
      </c>
      <c r="Z63" s="213">
        <v>860</v>
      </c>
      <c r="AA63" s="265"/>
      <c r="AB63" s="235"/>
      <c r="AC63" s="436">
        <f>AB63/VPI!R63</f>
        <v>0</v>
      </c>
      <c r="AD63" s="438">
        <f t="shared" si="2"/>
        <v>0</v>
      </c>
      <c r="AE63" s="436">
        <f>AD63/VPI!R63</f>
        <v>0</v>
      </c>
      <c r="AF63" s="235"/>
      <c r="AG63" s="235"/>
      <c r="AH63" s="235"/>
      <c r="AI63" s="268"/>
      <c r="AJ63" s="8"/>
      <c r="AK63" s="436">
        <f>AJ63/VPI!R63</f>
        <v>0</v>
      </c>
      <c r="AL63" s="438">
        <f t="shared" si="3"/>
        <v>0</v>
      </c>
      <c r="AM63" s="436">
        <f>AL63/VPI!R63</f>
        <v>0</v>
      </c>
      <c r="AN63" s="8"/>
      <c r="AO63" s="268"/>
      <c r="AP63" s="522">
        <v>11.371656297109617</v>
      </c>
      <c r="AR63" s="539">
        <v>0</v>
      </c>
    </row>
    <row r="64" spans="1:44" x14ac:dyDescent="0.25">
      <c r="A64" s="190">
        <v>5498</v>
      </c>
      <c r="B64" s="440" t="s">
        <v>153</v>
      </c>
      <c r="C64" s="528">
        <v>3854804.91</v>
      </c>
      <c r="D64" s="528">
        <v>434992.12</v>
      </c>
      <c r="E64" s="528"/>
      <c r="F64" s="529"/>
      <c r="G64" s="528">
        <v>102222.85</v>
      </c>
      <c r="H64" s="528">
        <v>4182.8999999999996</v>
      </c>
      <c r="I64" s="528"/>
      <c r="J64" s="528">
        <v>109228.63</v>
      </c>
      <c r="K64" s="528">
        <v>25711.1</v>
      </c>
      <c r="L64" s="528">
        <v>417885.7</v>
      </c>
      <c r="M64" s="491">
        <f t="shared" si="0"/>
        <v>4949028.21</v>
      </c>
      <c r="N64" s="241">
        <v>122746.25</v>
      </c>
      <c r="O64" s="241">
        <v>30562.400000000001</v>
      </c>
      <c r="P64" s="241">
        <v>108416.35</v>
      </c>
      <c r="Q64" s="241">
        <v>17261.95</v>
      </c>
      <c r="R64" s="241">
        <v>94890.7</v>
      </c>
      <c r="S64" s="528">
        <v>11119.95</v>
      </c>
      <c r="T64" s="491">
        <f t="shared" si="1"/>
        <v>5334025.8100000005</v>
      </c>
      <c r="U64" s="237">
        <v>-110216.03</v>
      </c>
      <c r="V64" s="241"/>
      <c r="W64" s="241">
        <v>-112.81</v>
      </c>
      <c r="X64" s="533">
        <v>66</v>
      </c>
      <c r="Y64" s="536">
        <v>1</v>
      </c>
      <c r="Z64" s="213">
        <v>2609</v>
      </c>
      <c r="AA64" s="265"/>
      <c r="AB64" s="235"/>
      <c r="AC64" s="436">
        <f>AB64/VPI!R64</f>
        <v>0</v>
      </c>
      <c r="AD64" s="438">
        <f t="shared" si="2"/>
        <v>0</v>
      </c>
      <c r="AE64" s="436">
        <f>AD64/VPI!R64</f>
        <v>0</v>
      </c>
      <c r="AF64" s="235"/>
      <c r="AG64" s="235"/>
      <c r="AH64" s="235"/>
      <c r="AI64" s="268"/>
      <c r="AJ64" s="8"/>
      <c r="AK64" s="436">
        <f>AJ64/VPI!R64</f>
        <v>0</v>
      </c>
      <c r="AL64" s="438">
        <f t="shared" si="3"/>
        <v>0</v>
      </c>
      <c r="AM64" s="436">
        <f>AL64/VPI!R64</f>
        <v>0</v>
      </c>
      <c r="AN64" s="8"/>
      <c r="AO64" s="268"/>
      <c r="AP64" s="522">
        <v>9.467557673542867</v>
      </c>
      <c r="AR64" s="539">
        <v>0</v>
      </c>
    </row>
    <row r="65" spans="1:47" s="237" customFormat="1" x14ac:dyDescent="0.25">
      <c r="A65" s="190">
        <v>5499</v>
      </c>
      <c r="B65" s="440" t="s">
        <v>154</v>
      </c>
      <c r="C65" s="528">
        <v>1091249.42</v>
      </c>
      <c r="D65" s="528">
        <v>174825.31</v>
      </c>
      <c r="E65" s="528"/>
      <c r="F65" s="529"/>
      <c r="G65" s="528">
        <v>15786.05</v>
      </c>
      <c r="H65" s="528">
        <v>1648.85</v>
      </c>
      <c r="I65" s="528"/>
      <c r="J65" s="528">
        <v>29664.6</v>
      </c>
      <c r="K65" s="528"/>
      <c r="L65" s="528">
        <v>103386.45</v>
      </c>
      <c r="M65" s="491">
        <f t="shared" si="0"/>
        <v>1416560.6800000002</v>
      </c>
      <c r="N65" s="241">
        <v>26883.5</v>
      </c>
      <c r="O65" s="241">
        <v>7920</v>
      </c>
      <c r="P65" s="241">
        <v>47657.5</v>
      </c>
      <c r="Q65" s="241">
        <v>49.13</v>
      </c>
      <c r="R65" s="241">
        <v>26083.200000000001</v>
      </c>
      <c r="S65" s="528">
        <v>1822.04</v>
      </c>
      <c r="T65" s="491">
        <f t="shared" si="1"/>
        <v>1526976.05</v>
      </c>
      <c r="U65" s="237">
        <v>-14108.24</v>
      </c>
      <c r="V65" s="241"/>
      <c r="W65" s="241">
        <v>-683.05</v>
      </c>
      <c r="X65" s="533">
        <v>68.5</v>
      </c>
      <c r="Y65" s="536">
        <v>1</v>
      </c>
      <c r="Z65" s="213">
        <v>496</v>
      </c>
      <c r="AA65" s="265"/>
      <c r="AB65" s="235"/>
      <c r="AC65" s="436">
        <f>AB65/VPI!R65</f>
        <v>0</v>
      </c>
      <c r="AD65" s="438">
        <f t="shared" si="2"/>
        <v>0</v>
      </c>
      <c r="AE65" s="436">
        <f>AD65/VPI!R65</f>
        <v>0</v>
      </c>
      <c r="AF65" s="235"/>
      <c r="AG65" s="235"/>
      <c r="AH65" s="235"/>
      <c r="AI65" s="268"/>
      <c r="AJ65" s="8"/>
      <c r="AK65" s="436">
        <f>AJ65/VPI!R65</f>
        <v>0</v>
      </c>
      <c r="AL65" s="438">
        <f t="shared" si="3"/>
        <v>0</v>
      </c>
      <c r="AM65" s="436">
        <f>AL65/VPI!R65</f>
        <v>0</v>
      </c>
      <c r="AN65" s="8"/>
      <c r="AO65" s="268"/>
      <c r="AP65" s="522">
        <v>21.82090660459458</v>
      </c>
      <c r="AR65" s="539">
        <v>0</v>
      </c>
      <c r="AU65" s="5"/>
    </row>
    <row r="66" spans="1:47" x14ac:dyDescent="0.25">
      <c r="A66" s="190">
        <v>5501</v>
      </c>
      <c r="B66" s="440" t="s">
        <v>155</v>
      </c>
      <c r="C66" s="528">
        <v>2662757.61</v>
      </c>
      <c r="D66" s="528">
        <v>396976.48</v>
      </c>
      <c r="E66" s="528"/>
      <c r="F66" s="529"/>
      <c r="G66" s="528">
        <v>120327.7</v>
      </c>
      <c r="H66" s="528">
        <v>949.7</v>
      </c>
      <c r="I66" s="528"/>
      <c r="J66" s="528">
        <v>30549.64</v>
      </c>
      <c r="K66" s="528"/>
      <c r="L66" s="528">
        <v>252522.4</v>
      </c>
      <c r="M66" s="491">
        <f t="shared" si="0"/>
        <v>3464083.5300000003</v>
      </c>
      <c r="N66" s="241">
        <v>17893.7</v>
      </c>
      <c r="O66" s="241">
        <v>146391.29999999999</v>
      </c>
      <c r="P66" s="241">
        <v>215669</v>
      </c>
      <c r="Q66" s="241">
        <v>722.98</v>
      </c>
      <c r="R66" s="241">
        <v>193449.1</v>
      </c>
      <c r="S66" s="528">
        <v>12674.11</v>
      </c>
      <c r="T66" s="491">
        <f t="shared" si="1"/>
        <v>4050883.72</v>
      </c>
      <c r="U66" s="237">
        <v>-30117.39</v>
      </c>
      <c r="V66" s="241"/>
      <c r="W66" s="241">
        <v>-1560.15</v>
      </c>
      <c r="X66" s="533">
        <v>64</v>
      </c>
      <c r="Y66" s="536">
        <v>1</v>
      </c>
      <c r="Z66" s="213">
        <v>1170</v>
      </c>
      <c r="AA66" s="265"/>
      <c r="AB66" s="235"/>
      <c r="AC66" s="436">
        <f>AB66/VPI!R66</f>
        <v>0</v>
      </c>
      <c r="AD66" s="438">
        <f t="shared" si="2"/>
        <v>0</v>
      </c>
      <c r="AE66" s="436">
        <f>AD66/VPI!R66</f>
        <v>0</v>
      </c>
      <c r="AF66" s="235"/>
      <c r="AG66" s="235"/>
      <c r="AH66" s="235"/>
      <c r="AI66" s="268"/>
      <c r="AJ66" s="8"/>
      <c r="AK66" s="436">
        <f>AJ66/VPI!R66</f>
        <v>0</v>
      </c>
      <c r="AL66" s="438">
        <f t="shared" si="3"/>
        <v>0</v>
      </c>
      <c r="AM66" s="436">
        <f>AL66/VPI!R66</f>
        <v>0</v>
      </c>
      <c r="AN66" s="8"/>
      <c r="AO66" s="268"/>
      <c r="AP66" s="522">
        <v>21.551495127824737</v>
      </c>
      <c r="AR66" s="539">
        <v>0</v>
      </c>
    </row>
    <row r="67" spans="1:47" x14ac:dyDescent="0.25">
      <c r="A67" s="190">
        <v>5503</v>
      </c>
      <c r="B67" s="440" t="s">
        <v>156</v>
      </c>
      <c r="C67" s="528">
        <v>3300398.24</v>
      </c>
      <c r="D67" s="528">
        <v>622749.88</v>
      </c>
      <c r="E67" s="528"/>
      <c r="F67" s="529"/>
      <c r="G67" s="528">
        <v>413974.95</v>
      </c>
      <c r="H67" s="528">
        <v>70607.100000000006</v>
      </c>
      <c r="I67" s="528">
        <v>0</v>
      </c>
      <c r="J67" s="528">
        <v>66955.03</v>
      </c>
      <c r="K67" s="528">
        <v>60646.85</v>
      </c>
      <c r="L67" s="528">
        <v>586965.80000000005</v>
      </c>
      <c r="M67" s="491">
        <f t="shared" si="0"/>
        <v>5122297.8499999996</v>
      </c>
      <c r="N67" s="241">
        <v>217052.05</v>
      </c>
      <c r="O67" s="241">
        <v>56935.8</v>
      </c>
      <c r="P67" s="241">
        <v>88363</v>
      </c>
      <c r="Q67" s="241">
        <v>1904.54</v>
      </c>
      <c r="R67" s="241">
        <v>7570</v>
      </c>
      <c r="S67" s="528">
        <v>50641.31</v>
      </c>
      <c r="T67" s="491">
        <f t="shared" si="1"/>
        <v>5544764.5499999989</v>
      </c>
      <c r="U67" s="237">
        <v>-36616.33</v>
      </c>
      <c r="V67" s="241"/>
      <c r="W67" s="241">
        <v>-481.25</v>
      </c>
      <c r="X67" s="533">
        <v>67</v>
      </c>
      <c r="Y67" s="536">
        <v>1.2</v>
      </c>
      <c r="Z67" s="213">
        <v>1334</v>
      </c>
      <c r="AA67" s="265"/>
      <c r="AB67" s="235"/>
      <c r="AC67" s="436">
        <f>AB67/VPI!R67</f>
        <v>0</v>
      </c>
      <c r="AD67" s="438">
        <f t="shared" si="2"/>
        <v>0</v>
      </c>
      <c r="AE67" s="436">
        <f>AD67/VPI!R67</f>
        <v>0</v>
      </c>
      <c r="AF67" s="235"/>
      <c r="AG67" s="235"/>
      <c r="AH67" s="235"/>
      <c r="AI67" s="268"/>
      <c r="AJ67" s="8"/>
      <c r="AK67" s="436">
        <f>AJ67/VPI!R67</f>
        <v>0</v>
      </c>
      <c r="AL67" s="438">
        <f t="shared" si="3"/>
        <v>0</v>
      </c>
      <c r="AM67" s="436">
        <f>AL67/VPI!R67</f>
        <v>0</v>
      </c>
      <c r="AN67" s="8"/>
      <c r="AO67" s="268"/>
      <c r="AP67" s="522">
        <v>30.173736892894137</v>
      </c>
      <c r="AR67" s="539">
        <v>0</v>
      </c>
    </row>
    <row r="68" spans="1:47" s="237" customFormat="1" x14ac:dyDescent="0.25">
      <c r="A68" s="190">
        <v>5511</v>
      </c>
      <c r="B68" s="440" t="s">
        <v>157</v>
      </c>
      <c r="C68" s="528">
        <v>3618903.25</v>
      </c>
      <c r="D68" s="528">
        <v>458455.19</v>
      </c>
      <c r="E68" s="528"/>
      <c r="F68" s="528"/>
      <c r="G68" s="528">
        <v>468031.65</v>
      </c>
      <c r="H68" s="528">
        <v>61959.3</v>
      </c>
      <c r="I68" s="528"/>
      <c r="J68" s="528">
        <v>41847</v>
      </c>
      <c r="K68" s="528">
        <v>22019.8</v>
      </c>
      <c r="L68" s="528">
        <v>390663.45</v>
      </c>
      <c r="M68" s="491">
        <f t="shared" si="0"/>
        <v>5061879.6399999997</v>
      </c>
      <c r="N68" s="528">
        <v>228206.35</v>
      </c>
      <c r="O68" s="528"/>
      <c r="P68" s="528">
        <v>87054</v>
      </c>
      <c r="Q68" s="528">
        <v>13607.29</v>
      </c>
      <c r="R68" s="528">
        <v>94715.9</v>
      </c>
      <c r="S68" s="528">
        <v>55386.78</v>
      </c>
      <c r="T68" s="491">
        <f t="shared" si="1"/>
        <v>5540849.96</v>
      </c>
      <c r="U68" s="528">
        <v>-31403.13</v>
      </c>
      <c r="V68" s="528"/>
      <c r="W68" s="528">
        <v>-966.06</v>
      </c>
      <c r="X68" s="528">
        <v>70</v>
      </c>
      <c r="Y68" s="528">
        <v>1</v>
      </c>
      <c r="Z68" s="213">
        <v>1669</v>
      </c>
      <c r="AA68" s="528"/>
      <c r="AB68" s="552"/>
      <c r="AC68" s="436">
        <f>AB68/VPI!R68</f>
        <v>0</v>
      </c>
      <c r="AD68" s="438">
        <f t="shared" si="2"/>
        <v>0</v>
      </c>
      <c r="AE68" s="436">
        <f>AD68/VPI!R68</f>
        <v>0</v>
      </c>
      <c r="AF68" s="552"/>
      <c r="AG68" s="552"/>
      <c r="AH68" s="552"/>
      <c r="AI68" s="543"/>
      <c r="AJ68" s="528"/>
      <c r="AK68" s="436">
        <f>AJ68/VPI!R68</f>
        <v>0</v>
      </c>
      <c r="AL68" s="438">
        <f t="shared" si="3"/>
        <v>0</v>
      </c>
      <c r="AM68" s="436">
        <f>AL68/VPI!R68</f>
        <v>0</v>
      </c>
      <c r="AN68" s="552"/>
      <c r="AO68" s="543"/>
      <c r="AP68" s="522">
        <v>24.45</v>
      </c>
      <c r="AQ68" s="528"/>
      <c r="AR68" s="539">
        <v>0</v>
      </c>
      <c r="AU68" s="5"/>
    </row>
    <row r="69" spans="1:47" x14ac:dyDescent="0.25">
      <c r="A69" s="190">
        <v>5512</v>
      </c>
      <c r="B69" s="440" t="s">
        <v>158</v>
      </c>
      <c r="C69" s="528">
        <v>2401550.2799999998</v>
      </c>
      <c r="D69" s="528">
        <v>439504.76</v>
      </c>
      <c r="E69" s="528"/>
      <c r="F69" s="529"/>
      <c r="G69" s="528">
        <v>68311.95</v>
      </c>
      <c r="H69" s="528">
        <v>247.4</v>
      </c>
      <c r="I69" s="528"/>
      <c r="J69" s="528">
        <v>63273.13</v>
      </c>
      <c r="K69" s="528">
        <v>7327.9</v>
      </c>
      <c r="L69" s="528">
        <v>273092</v>
      </c>
      <c r="M69" s="491">
        <f t="shared" si="0"/>
        <v>3253307.42</v>
      </c>
      <c r="N69" s="241">
        <v>89160.45</v>
      </c>
      <c r="O69" s="241">
        <v>522.70000000000005</v>
      </c>
      <c r="P69" s="241">
        <v>53097</v>
      </c>
      <c r="Q69" s="241">
        <v>20830.82</v>
      </c>
      <c r="R69" s="241">
        <v>99686.6</v>
      </c>
      <c r="S69" s="528">
        <v>7164.8</v>
      </c>
      <c r="T69" s="491">
        <f t="shared" si="1"/>
        <v>3523769.79</v>
      </c>
      <c r="U69" s="237">
        <v>-26263.360000000001</v>
      </c>
      <c r="V69" s="241"/>
      <c r="W69" s="241">
        <v>-340.15</v>
      </c>
      <c r="X69" s="533">
        <v>79</v>
      </c>
      <c r="Y69" s="536">
        <v>1</v>
      </c>
      <c r="Z69" s="213">
        <v>1359</v>
      </c>
      <c r="AA69" s="265"/>
      <c r="AB69" s="235"/>
      <c r="AC69" s="436">
        <f>AB69/VPI!R69</f>
        <v>0</v>
      </c>
      <c r="AD69" s="438">
        <f t="shared" si="2"/>
        <v>0</v>
      </c>
      <c r="AE69" s="436">
        <f>AD69/VPI!R69</f>
        <v>0</v>
      </c>
      <c r="AF69" s="235"/>
      <c r="AG69" s="235"/>
      <c r="AH69" s="235"/>
      <c r="AI69" s="268"/>
      <c r="AJ69" s="8"/>
      <c r="AK69" s="436">
        <f>AJ69/VPI!R69</f>
        <v>0</v>
      </c>
      <c r="AL69" s="438">
        <f t="shared" si="3"/>
        <v>0</v>
      </c>
      <c r="AM69" s="436">
        <f>AL69/VPI!R69</f>
        <v>0</v>
      </c>
      <c r="AN69" s="8"/>
      <c r="AO69" s="268"/>
      <c r="AP69" s="522">
        <v>10.918310842543416</v>
      </c>
      <c r="AR69" s="539">
        <v>0</v>
      </c>
    </row>
    <row r="70" spans="1:47" x14ac:dyDescent="0.25">
      <c r="A70" s="190">
        <v>5514</v>
      </c>
      <c r="B70" s="440" t="s">
        <v>159</v>
      </c>
      <c r="C70" s="528">
        <v>2515897.5499999998</v>
      </c>
      <c r="D70" s="528">
        <v>456260.46</v>
      </c>
      <c r="E70" s="528"/>
      <c r="F70" s="529"/>
      <c r="G70" s="528">
        <v>44169.1</v>
      </c>
      <c r="H70" s="528">
        <v>5994.6</v>
      </c>
      <c r="I70" s="528">
        <v>39675.800000000003</v>
      </c>
      <c r="J70" s="528">
        <v>50641.21</v>
      </c>
      <c r="K70" s="528">
        <v>10408</v>
      </c>
      <c r="L70" s="528">
        <v>243450.5</v>
      </c>
      <c r="M70" s="491">
        <f t="shared" si="0"/>
        <v>3366497.2199999997</v>
      </c>
      <c r="N70" s="241">
        <v>9237.1</v>
      </c>
      <c r="O70" s="241">
        <v>5803.3</v>
      </c>
      <c r="P70" s="241">
        <v>96776.95</v>
      </c>
      <c r="Q70" s="241">
        <v>44751.07</v>
      </c>
      <c r="R70" s="241">
        <v>98130.85</v>
      </c>
      <c r="S70" s="528">
        <v>5242.3599999999997</v>
      </c>
      <c r="T70" s="491">
        <f t="shared" si="1"/>
        <v>3626438.8499999996</v>
      </c>
      <c r="U70" s="237">
        <v>-99760.77</v>
      </c>
      <c r="V70" s="241"/>
      <c r="W70" s="241">
        <v>-2592.8000000000002</v>
      </c>
      <c r="X70" s="533">
        <v>72.5</v>
      </c>
      <c r="Y70" s="536">
        <v>1</v>
      </c>
      <c r="Z70" s="213">
        <v>1356</v>
      </c>
      <c r="AA70" s="265"/>
      <c r="AB70" s="235"/>
      <c r="AC70" s="436">
        <f>AB70/VPI!R70</f>
        <v>0</v>
      </c>
      <c r="AD70" s="438">
        <f t="shared" si="2"/>
        <v>0</v>
      </c>
      <c r="AE70" s="436">
        <f>AD70/VPI!R70</f>
        <v>0</v>
      </c>
      <c r="AF70" s="235"/>
      <c r="AG70" s="235"/>
      <c r="AH70" s="235"/>
      <c r="AI70" s="268"/>
      <c r="AJ70" s="8"/>
      <c r="AK70" s="436">
        <f>AJ70/VPI!R70</f>
        <v>0</v>
      </c>
      <c r="AL70" s="438">
        <f t="shared" si="3"/>
        <v>0</v>
      </c>
      <c r="AM70" s="436">
        <f>AL70/VPI!R70</f>
        <v>0</v>
      </c>
      <c r="AN70" s="8"/>
      <c r="AO70" s="268"/>
      <c r="AP70" s="522">
        <v>15.032658227157945</v>
      </c>
      <c r="AR70" s="539">
        <v>0</v>
      </c>
    </row>
    <row r="71" spans="1:47" x14ac:dyDescent="0.25">
      <c r="A71" s="190">
        <v>5515</v>
      </c>
      <c r="B71" s="440" t="s">
        <v>160</v>
      </c>
      <c r="C71" s="528">
        <v>1812020.93</v>
      </c>
      <c r="D71" s="528">
        <v>211427.83</v>
      </c>
      <c r="E71" s="528"/>
      <c r="F71" s="529"/>
      <c r="G71" s="528">
        <v>36426.949999999997</v>
      </c>
      <c r="H71" s="528">
        <v>6779.75</v>
      </c>
      <c r="I71" s="528"/>
      <c r="J71" s="528">
        <v>48242.97</v>
      </c>
      <c r="K71" s="528">
        <v>18378.05</v>
      </c>
      <c r="L71" s="528">
        <v>191561.15</v>
      </c>
      <c r="M71" s="491">
        <f t="shared" ref="M71:M134" si="4">SUM(C71:L71)</f>
        <v>2324837.63</v>
      </c>
      <c r="N71" s="241">
        <v>7362.9</v>
      </c>
      <c r="O71" s="241">
        <v>0</v>
      </c>
      <c r="P71" s="241">
        <v>56420.85</v>
      </c>
      <c r="Q71" s="241">
        <v>714.06</v>
      </c>
      <c r="R71" s="241">
        <v>34955.300000000003</v>
      </c>
      <c r="S71" s="528">
        <v>4515.32</v>
      </c>
      <c r="T71" s="491">
        <f t="shared" ref="T71:T134" si="5">SUM(M71:S71)</f>
        <v>2428806.0599999996</v>
      </c>
      <c r="U71" s="237">
        <v>-45438.68</v>
      </c>
      <c r="V71" s="241"/>
      <c r="W71" s="241">
        <v>-375.25</v>
      </c>
      <c r="X71" s="533">
        <v>78</v>
      </c>
      <c r="Y71" s="536">
        <v>1</v>
      </c>
      <c r="Z71" s="213">
        <v>878</v>
      </c>
      <c r="AA71" s="265"/>
      <c r="AB71" s="235"/>
      <c r="AC71" s="436">
        <f>AB71/VPI!R71</f>
        <v>0</v>
      </c>
      <c r="AD71" s="438">
        <f t="shared" ref="AD71:AD134" si="6">AF71-AB71</f>
        <v>0</v>
      </c>
      <c r="AE71" s="436">
        <f>AD71/VPI!R71</f>
        <v>0</v>
      </c>
      <c r="AF71" s="235"/>
      <c r="AG71" s="235"/>
      <c r="AH71" s="235"/>
      <c r="AI71" s="268"/>
      <c r="AJ71" s="8"/>
      <c r="AK71" s="436">
        <f>AJ71/VPI!R71</f>
        <v>0</v>
      </c>
      <c r="AL71" s="438">
        <f t="shared" ref="AL71:AL134" si="7">AN71-AJ71</f>
        <v>0</v>
      </c>
      <c r="AM71" s="436">
        <f>AL71/VPI!R71</f>
        <v>0</v>
      </c>
      <c r="AN71" s="8"/>
      <c r="AO71" s="268"/>
      <c r="AP71" s="522">
        <v>19.690211553532638</v>
      </c>
      <c r="AR71" s="539">
        <v>0</v>
      </c>
    </row>
    <row r="72" spans="1:47" x14ac:dyDescent="0.25">
      <c r="A72" s="190">
        <v>5516</v>
      </c>
      <c r="B72" s="440" t="s">
        <v>161</v>
      </c>
      <c r="C72" s="528">
        <v>6293902.0599999996</v>
      </c>
      <c r="D72" s="528">
        <v>1064178.49</v>
      </c>
      <c r="E72" s="528"/>
      <c r="F72" s="529"/>
      <c r="G72" s="528">
        <v>340872.9</v>
      </c>
      <c r="H72" s="528">
        <v>8328.25</v>
      </c>
      <c r="I72" s="528">
        <v>41701.050000000003</v>
      </c>
      <c r="J72" s="528">
        <v>92087.85</v>
      </c>
      <c r="K72" s="528">
        <v>42955.5</v>
      </c>
      <c r="L72" s="528">
        <v>726633.2</v>
      </c>
      <c r="M72" s="491">
        <f t="shared" si="4"/>
        <v>8610659.2999999989</v>
      </c>
      <c r="N72" s="241">
        <v>89061.8</v>
      </c>
      <c r="O72" s="241">
        <v>0</v>
      </c>
      <c r="P72" s="241">
        <v>265151.34999999998</v>
      </c>
      <c r="Q72" s="241">
        <v>107200.72</v>
      </c>
      <c r="R72" s="241">
        <v>298985.05</v>
      </c>
      <c r="S72" s="528">
        <v>36493.31</v>
      </c>
      <c r="T72" s="491">
        <f t="shared" si="5"/>
        <v>9407551.5300000012</v>
      </c>
      <c r="U72" s="237">
        <v>-248047.03</v>
      </c>
      <c r="V72" s="241"/>
      <c r="W72" s="241">
        <v>-3141.95</v>
      </c>
      <c r="X72" s="533">
        <v>76</v>
      </c>
      <c r="Y72" s="536">
        <v>1.2</v>
      </c>
      <c r="Z72" s="213">
        <v>2699</v>
      </c>
      <c r="AA72" s="265"/>
      <c r="AB72" s="235"/>
      <c r="AC72" s="436">
        <f>AB72/VPI!R72</f>
        <v>0</v>
      </c>
      <c r="AD72" s="438">
        <f t="shared" si="6"/>
        <v>0</v>
      </c>
      <c r="AE72" s="436">
        <f>AD72/VPI!R72</f>
        <v>0</v>
      </c>
      <c r="AF72" s="235"/>
      <c r="AG72" s="235"/>
      <c r="AH72" s="235"/>
      <c r="AI72" s="268"/>
      <c r="AJ72" s="8"/>
      <c r="AK72" s="436">
        <f>AJ72/VPI!R72</f>
        <v>0</v>
      </c>
      <c r="AL72" s="438">
        <f t="shared" si="7"/>
        <v>0</v>
      </c>
      <c r="AM72" s="436">
        <f>AL72/VPI!R72</f>
        <v>0</v>
      </c>
      <c r="AN72" s="8"/>
      <c r="AO72" s="268"/>
      <c r="AP72" s="522">
        <v>19.815285731739312</v>
      </c>
      <c r="AR72" s="539">
        <v>0</v>
      </c>
    </row>
    <row r="73" spans="1:47" x14ac:dyDescent="0.25">
      <c r="A73" s="190">
        <v>5518</v>
      </c>
      <c r="B73" s="440" t="s">
        <v>162</v>
      </c>
      <c r="C73" s="528">
        <v>10380985.800000001</v>
      </c>
      <c r="D73" s="528">
        <v>1411496.84</v>
      </c>
      <c r="E73" s="528"/>
      <c r="F73" s="529"/>
      <c r="G73" s="528">
        <v>734442.25</v>
      </c>
      <c r="H73" s="528">
        <v>97217</v>
      </c>
      <c r="I73" s="528"/>
      <c r="J73" s="528">
        <v>209139.8</v>
      </c>
      <c r="K73" s="528">
        <v>107328.85</v>
      </c>
      <c r="L73" s="528">
        <v>1108359.7</v>
      </c>
      <c r="M73" s="491">
        <f t="shared" si="4"/>
        <v>14048970.24</v>
      </c>
      <c r="N73" s="241">
        <v>223921.4</v>
      </c>
      <c r="O73" s="241">
        <v>186646.9</v>
      </c>
      <c r="P73" s="241">
        <v>399944.1</v>
      </c>
      <c r="Q73" s="241">
        <v>75108.47</v>
      </c>
      <c r="R73" s="241">
        <v>522775.9</v>
      </c>
      <c r="S73" s="528">
        <v>86912.66</v>
      </c>
      <c r="T73" s="491">
        <f t="shared" si="5"/>
        <v>15544279.670000002</v>
      </c>
      <c r="U73" s="237">
        <v>-197320.75</v>
      </c>
      <c r="V73" s="241"/>
      <c r="W73" s="241">
        <v>-704.84</v>
      </c>
      <c r="X73" s="533">
        <v>72.5</v>
      </c>
      <c r="Y73" s="536">
        <v>1</v>
      </c>
      <c r="Z73" s="213">
        <v>5817</v>
      </c>
      <c r="AA73" s="265"/>
      <c r="AB73" s="235"/>
      <c r="AC73" s="436">
        <f>AB73/VPI!R73</f>
        <v>0</v>
      </c>
      <c r="AD73" s="438">
        <f t="shared" si="6"/>
        <v>0</v>
      </c>
      <c r="AE73" s="436">
        <f>AD73/VPI!R73</f>
        <v>0</v>
      </c>
      <c r="AF73" s="235"/>
      <c r="AG73" s="235"/>
      <c r="AH73" s="235"/>
      <c r="AI73" s="268"/>
      <c r="AJ73" s="8"/>
      <c r="AK73" s="436">
        <f>AJ73/VPI!R73</f>
        <v>0</v>
      </c>
      <c r="AL73" s="438">
        <f t="shared" si="7"/>
        <v>0</v>
      </c>
      <c r="AM73" s="436">
        <f>AL73/VPI!R73</f>
        <v>0</v>
      </c>
      <c r="AN73" s="8"/>
      <c r="AO73" s="268"/>
      <c r="AP73" s="522">
        <v>7.6237055488769103</v>
      </c>
      <c r="AR73" s="539">
        <v>0</v>
      </c>
    </row>
    <row r="74" spans="1:47" x14ac:dyDescent="0.25">
      <c r="A74" s="190">
        <v>5520</v>
      </c>
      <c r="B74" s="440" t="s">
        <v>163</v>
      </c>
      <c r="C74" s="528">
        <v>1848454.5</v>
      </c>
      <c r="D74" s="528">
        <v>233747.6</v>
      </c>
      <c r="E74" s="528"/>
      <c r="F74" s="529"/>
      <c r="G74" s="528">
        <v>33424.25</v>
      </c>
      <c r="H74" s="528">
        <v>2807.55</v>
      </c>
      <c r="I74" s="528"/>
      <c r="J74" s="528">
        <v>17394.52</v>
      </c>
      <c r="K74" s="528">
        <v>5711.65</v>
      </c>
      <c r="L74" s="528">
        <v>199587.5</v>
      </c>
      <c r="M74" s="491">
        <f t="shared" si="4"/>
        <v>2341127.5699999998</v>
      </c>
      <c r="N74" s="241">
        <v>7550.95</v>
      </c>
      <c r="O74" s="241">
        <v>652.4</v>
      </c>
      <c r="P74" s="241">
        <v>127924.3</v>
      </c>
      <c r="Q74" s="241">
        <v>4515.1499999999996</v>
      </c>
      <c r="R74" s="241">
        <v>127684.95</v>
      </c>
      <c r="S74" s="528">
        <v>3786.41</v>
      </c>
      <c r="T74" s="491">
        <f t="shared" si="5"/>
        <v>2613241.73</v>
      </c>
      <c r="U74" s="237">
        <v>-23804.41</v>
      </c>
      <c r="V74" s="241"/>
      <c r="W74" s="241">
        <v>-394.06</v>
      </c>
      <c r="X74" s="533">
        <v>74</v>
      </c>
      <c r="Y74" s="536">
        <v>1</v>
      </c>
      <c r="Z74" s="213">
        <v>1081</v>
      </c>
      <c r="AA74" s="265"/>
      <c r="AB74" s="235"/>
      <c r="AC74" s="436">
        <f>AB74/VPI!R74</f>
        <v>0</v>
      </c>
      <c r="AD74" s="438">
        <f t="shared" si="6"/>
        <v>0</v>
      </c>
      <c r="AE74" s="436">
        <f>AD74/VPI!R74</f>
        <v>0</v>
      </c>
      <c r="AF74" s="235"/>
      <c r="AG74" s="235"/>
      <c r="AH74" s="235"/>
      <c r="AI74" s="268"/>
      <c r="AJ74" s="8"/>
      <c r="AK74" s="436">
        <f>AJ74/VPI!R74</f>
        <v>0</v>
      </c>
      <c r="AL74" s="438">
        <f t="shared" si="7"/>
        <v>0</v>
      </c>
      <c r="AM74" s="436">
        <f>AL74/VPI!R74</f>
        <v>0</v>
      </c>
      <c r="AN74" s="8"/>
      <c r="AO74" s="268"/>
      <c r="AP74" s="522">
        <v>13.139756819314398</v>
      </c>
      <c r="AR74" s="539">
        <v>0</v>
      </c>
    </row>
    <row r="75" spans="1:47" x14ac:dyDescent="0.25">
      <c r="A75" s="190">
        <v>5521</v>
      </c>
      <c r="B75" s="440" t="s">
        <v>164</v>
      </c>
      <c r="C75" s="528">
        <v>2578050.91</v>
      </c>
      <c r="D75" s="528">
        <v>281848.78000000003</v>
      </c>
      <c r="E75" s="528"/>
      <c r="F75" s="529"/>
      <c r="G75" s="528">
        <v>222871.25</v>
      </c>
      <c r="H75" s="528">
        <v>5129.8500000000004</v>
      </c>
      <c r="I75" s="528"/>
      <c r="J75" s="528">
        <v>75719.17</v>
      </c>
      <c r="K75" s="528">
        <v>23854.75</v>
      </c>
      <c r="L75" s="528">
        <v>274534.45</v>
      </c>
      <c r="M75" s="491">
        <f t="shared" si="4"/>
        <v>3462009.1600000006</v>
      </c>
      <c r="N75" s="241">
        <v>100109.65</v>
      </c>
      <c r="O75" s="241">
        <v>556775.6</v>
      </c>
      <c r="P75" s="241">
        <v>100106.8</v>
      </c>
      <c r="Q75" s="241">
        <v>5667.65</v>
      </c>
      <c r="R75" s="241">
        <v>23724.1</v>
      </c>
      <c r="S75" s="528">
        <v>23827.29</v>
      </c>
      <c r="T75" s="491">
        <f t="shared" si="5"/>
        <v>4272220.2500000009</v>
      </c>
      <c r="U75" s="237">
        <v>-46449.57</v>
      </c>
      <c r="V75" s="241"/>
      <c r="W75" s="241">
        <v>-208.92</v>
      </c>
      <c r="X75" s="533">
        <v>73</v>
      </c>
      <c r="Y75" s="536">
        <v>1</v>
      </c>
      <c r="Z75" s="213">
        <v>1151</v>
      </c>
      <c r="AA75" s="265"/>
      <c r="AB75" s="235"/>
      <c r="AC75" s="436">
        <f>AB75/VPI!R75</f>
        <v>0</v>
      </c>
      <c r="AD75" s="438">
        <f t="shared" si="6"/>
        <v>0</v>
      </c>
      <c r="AE75" s="436">
        <f>AD75/VPI!R75</f>
        <v>0</v>
      </c>
      <c r="AF75" s="235"/>
      <c r="AG75" s="235"/>
      <c r="AH75" s="235"/>
      <c r="AI75" s="268"/>
      <c r="AJ75" s="8"/>
      <c r="AK75" s="436">
        <f>AJ75/VPI!R75</f>
        <v>0</v>
      </c>
      <c r="AL75" s="438">
        <f t="shared" si="7"/>
        <v>0</v>
      </c>
      <c r="AM75" s="436">
        <f>AL75/VPI!R75</f>
        <v>0</v>
      </c>
      <c r="AN75" s="8"/>
      <c r="AO75" s="268"/>
      <c r="AP75" s="522">
        <v>20.27288571863814</v>
      </c>
      <c r="AR75" s="539">
        <v>0</v>
      </c>
    </row>
    <row r="76" spans="1:47" x14ac:dyDescent="0.25">
      <c r="A76" s="190">
        <v>5522</v>
      </c>
      <c r="B76" s="440" t="s">
        <v>165</v>
      </c>
      <c r="C76" s="528">
        <v>1358227.02</v>
      </c>
      <c r="D76" s="528">
        <v>222633.64</v>
      </c>
      <c r="E76" s="528"/>
      <c r="F76" s="529"/>
      <c r="G76" s="528">
        <v>67650.399999999994</v>
      </c>
      <c r="H76" s="528">
        <v>639.6</v>
      </c>
      <c r="I76" s="528"/>
      <c r="J76" s="528">
        <v>12468.42</v>
      </c>
      <c r="K76" s="528">
        <v>3563</v>
      </c>
      <c r="L76" s="528">
        <v>144507.85</v>
      </c>
      <c r="M76" s="491">
        <f t="shared" si="4"/>
        <v>1809689.9300000002</v>
      </c>
      <c r="N76" s="241">
        <v>4142.45</v>
      </c>
      <c r="O76" s="241"/>
      <c r="P76" s="241">
        <v>95019.55</v>
      </c>
      <c r="Q76" s="241">
        <v>10907.69</v>
      </c>
      <c r="R76" s="241">
        <v>49763.6</v>
      </c>
      <c r="S76" s="528">
        <v>7136.66</v>
      </c>
      <c r="T76" s="491">
        <f t="shared" si="5"/>
        <v>1976659.8800000001</v>
      </c>
      <c r="U76" s="237">
        <v>-14772.78</v>
      </c>
      <c r="V76" s="241"/>
      <c r="W76" s="241">
        <v>-26.72</v>
      </c>
      <c r="X76" s="533">
        <v>75</v>
      </c>
      <c r="Y76" s="536">
        <v>1</v>
      </c>
      <c r="Z76" s="213">
        <v>736</v>
      </c>
      <c r="AA76" s="265"/>
      <c r="AB76" s="235"/>
      <c r="AC76" s="436">
        <f>AB76/VPI!R76</f>
        <v>0</v>
      </c>
      <c r="AD76" s="438">
        <f t="shared" si="6"/>
        <v>0</v>
      </c>
      <c r="AE76" s="436">
        <f>AD76/VPI!R76</f>
        <v>0</v>
      </c>
      <c r="AF76" s="235"/>
      <c r="AG76" s="235"/>
      <c r="AH76" s="235"/>
      <c r="AI76" s="268"/>
      <c r="AJ76" s="8"/>
      <c r="AK76" s="436">
        <f>AJ76/VPI!R76</f>
        <v>0</v>
      </c>
      <c r="AL76" s="438">
        <f t="shared" si="7"/>
        <v>0</v>
      </c>
      <c r="AM76" s="436">
        <f>AL76/VPI!R76</f>
        <v>0</v>
      </c>
      <c r="AN76" s="8"/>
      <c r="AO76" s="268"/>
      <c r="AP76" s="522">
        <v>15.124400217210432</v>
      </c>
      <c r="AR76" s="539">
        <v>0</v>
      </c>
    </row>
    <row r="77" spans="1:47" x14ac:dyDescent="0.25">
      <c r="A77" s="190">
        <v>5523</v>
      </c>
      <c r="B77" s="440" t="s">
        <v>166</v>
      </c>
      <c r="C77" s="528">
        <v>5222423.82</v>
      </c>
      <c r="D77" s="528">
        <v>722188.89</v>
      </c>
      <c r="E77" s="528"/>
      <c r="F77" s="529">
        <v>15000</v>
      </c>
      <c r="G77" s="528">
        <v>61551.85</v>
      </c>
      <c r="H77" s="528">
        <v>2545.6</v>
      </c>
      <c r="I77" s="528"/>
      <c r="J77" s="528">
        <v>77048.429999999993</v>
      </c>
      <c r="K77" s="528">
        <v>39595</v>
      </c>
      <c r="L77" s="528">
        <v>663515</v>
      </c>
      <c r="M77" s="491">
        <f t="shared" si="4"/>
        <v>6803868.5899999989</v>
      </c>
      <c r="N77" s="241">
        <v>6529.5</v>
      </c>
      <c r="O77" s="531">
        <v>0</v>
      </c>
      <c r="P77" s="531">
        <v>339361</v>
      </c>
      <c r="Q77" s="241">
        <v>3026.14</v>
      </c>
      <c r="R77" s="241">
        <v>324375.55</v>
      </c>
      <c r="S77" s="528">
        <v>6698.51</v>
      </c>
      <c r="T77" s="491">
        <f t="shared" si="5"/>
        <v>7483859.2899999982</v>
      </c>
      <c r="U77" s="237">
        <v>-38787.370000000003</v>
      </c>
      <c r="V77" s="241"/>
      <c r="W77" s="241">
        <v>-1448.75</v>
      </c>
      <c r="X77" s="533">
        <v>72</v>
      </c>
      <c r="Y77" s="536">
        <v>1.25</v>
      </c>
      <c r="Z77" s="213">
        <v>2720</v>
      </c>
      <c r="AA77" s="265"/>
      <c r="AB77" s="235"/>
      <c r="AC77" s="436">
        <f>AB77/VPI!R77</f>
        <v>0</v>
      </c>
      <c r="AD77" s="438">
        <f t="shared" si="6"/>
        <v>0</v>
      </c>
      <c r="AE77" s="436">
        <f>AD77/VPI!R77</f>
        <v>0</v>
      </c>
      <c r="AF77" s="235"/>
      <c r="AG77" s="235"/>
      <c r="AH77" s="235"/>
      <c r="AI77" s="268"/>
      <c r="AJ77" s="8"/>
      <c r="AK77" s="436">
        <f>AJ77/VPI!R77</f>
        <v>0</v>
      </c>
      <c r="AL77" s="438">
        <f t="shared" si="7"/>
        <v>0</v>
      </c>
      <c r="AM77" s="436">
        <f>AL77/VPI!R77</f>
        <v>0</v>
      </c>
      <c r="AN77" s="8"/>
      <c r="AO77" s="268"/>
      <c r="AP77" s="522">
        <v>15.422938930039543</v>
      </c>
      <c r="AR77" s="539">
        <v>0</v>
      </c>
    </row>
    <row r="78" spans="1:47" x14ac:dyDescent="0.25">
      <c r="A78" s="190">
        <v>5527</v>
      </c>
      <c r="B78" s="440" t="s">
        <v>167</v>
      </c>
      <c r="C78" s="528">
        <v>2307131.33</v>
      </c>
      <c r="D78" s="528">
        <v>402635.98</v>
      </c>
      <c r="E78" s="528"/>
      <c r="F78" s="529"/>
      <c r="G78" s="528">
        <v>5233.8999999999996</v>
      </c>
      <c r="H78" s="528">
        <v>19552.25</v>
      </c>
      <c r="I78" s="528"/>
      <c r="J78" s="528">
        <v>53493.440000000002</v>
      </c>
      <c r="K78" s="528">
        <v>9648.75</v>
      </c>
      <c r="L78" s="528">
        <v>246295.15</v>
      </c>
      <c r="M78" s="491">
        <f t="shared" si="4"/>
        <v>3043990.8</v>
      </c>
      <c r="N78" s="241">
        <v>11668.5</v>
      </c>
      <c r="O78" s="241">
        <v>0</v>
      </c>
      <c r="P78" s="241">
        <v>119845</v>
      </c>
      <c r="Q78" s="241">
        <v>7115.65</v>
      </c>
      <c r="R78" s="241">
        <v>159323.4</v>
      </c>
      <c r="S78" s="528">
        <v>2590.2800000000002</v>
      </c>
      <c r="T78" s="491">
        <f t="shared" si="5"/>
        <v>3344533.6299999994</v>
      </c>
      <c r="U78" s="237">
        <v>-34331.26</v>
      </c>
      <c r="V78" s="241"/>
      <c r="W78" s="241">
        <v>-5900.05</v>
      </c>
      <c r="X78" s="533">
        <v>74</v>
      </c>
      <c r="Y78" s="536">
        <v>1</v>
      </c>
      <c r="Z78" s="213">
        <v>1172</v>
      </c>
      <c r="AA78" s="265"/>
      <c r="AB78" s="235"/>
      <c r="AC78" s="436">
        <f>AB78/VPI!R78</f>
        <v>0</v>
      </c>
      <c r="AD78" s="438">
        <f t="shared" si="6"/>
        <v>0</v>
      </c>
      <c r="AE78" s="436">
        <f>AD78/VPI!R78</f>
        <v>0</v>
      </c>
      <c r="AF78" s="235"/>
      <c r="AG78" s="235"/>
      <c r="AH78" s="235"/>
      <c r="AI78" s="268"/>
      <c r="AJ78" s="8"/>
      <c r="AK78" s="436">
        <f>AJ78/VPI!R78</f>
        <v>0</v>
      </c>
      <c r="AL78" s="438">
        <f t="shared" si="7"/>
        <v>0</v>
      </c>
      <c r="AM78" s="436">
        <f>AL78/VPI!R78</f>
        <v>0</v>
      </c>
      <c r="AN78" s="8"/>
      <c r="AO78" s="268"/>
      <c r="AP78" s="522">
        <v>17.040757593502782</v>
      </c>
      <c r="AR78" s="539">
        <v>0</v>
      </c>
    </row>
    <row r="79" spans="1:47" x14ac:dyDescent="0.25">
      <c r="A79" s="190">
        <v>5529</v>
      </c>
      <c r="B79" s="440" t="s">
        <v>168</v>
      </c>
      <c r="C79" s="528">
        <v>1262540.73</v>
      </c>
      <c r="D79" s="528">
        <v>169910.17</v>
      </c>
      <c r="E79" s="528"/>
      <c r="F79" s="529"/>
      <c r="G79" s="528">
        <v>26486.85</v>
      </c>
      <c r="H79" s="528">
        <v>860.1</v>
      </c>
      <c r="I79" s="528"/>
      <c r="J79" s="528">
        <v>11450.56</v>
      </c>
      <c r="K79" s="528">
        <v>3086.05</v>
      </c>
      <c r="L79" s="528">
        <v>135606.79999999999</v>
      </c>
      <c r="M79" s="491">
        <f t="shared" si="4"/>
        <v>1609941.2600000002</v>
      </c>
      <c r="N79" s="241">
        <v>0</v>
      </c>
      <c r="O79" s="241"/>
      <c r="P79" s="241">
        <v>12210</v>
      </c>
      <c r="Q79" s="241">
        <v>100</v>
      </c>
      <c r="R79" s="241"/>
      <c r="S79" s="528">
        <v>2857.9</v>
      </c>
      <c r="T79" s="491">
        <f t="shared" si="5"/>
        <v>1625109.1600000001</v>
      </c>
      <c r="U79" s="237">
        <v>-2805.51</v>
      </c>
      <c r="V79" s="241"/>
      <c r="W79" s="241">
        <v>-25.7</v>
      </c>
      <c r="X79" s="533">
        <v>71</v>
      </c>
      <c r="Y79" s="536">
        <v>1</v>
      </c>
      <c r="Z79" s="213">
        <v>606</v>
      </c>
      <c r="AA79" s="265"/>
      <c r="AB79" s="235"/>
      <c r="AC79" s="436">
        <f>AB79/VPI!R79</f>
        <v>0</v>
      </c>
      <c r="AD79" s="438">
        <f t="shared" si="6"/>
        <v>0</v>
      </c>
      <c r="AE79" s="436">
        <f>AD79/VPI!R79</f>
        <v>0</v>
      </c>
      <c r="AF79" s="235"/>
      <c r="AG79" s="235"/>
      <c r="AH79" s="235"/>
      <c r="AI79" s="268"/>
      <c r="AJ79" s="8"/>
      <c r="AK79" s="436">
        <f>AJ79/VPI!R79</f>
        <v>0</v>
      </c>
      <c r="AL79" s="438">
        <f t="shared" si="7"/>
        <v>0</v>
      </c>
      <c r="AM79" s="436">
        <f>AL79/VPI!R79</f>
        <v>0</v>
      </c>
      <c r="AN79" s="8"/>
      <c r="AO79" s="268"/>
      <c r="AP79" s="522">
        <v>19.072941113265518</v>
      </c>
      <c r="AR79" s="539">
        <v>0</v>
      </c>
    </row>
    <row r="80" spans="1:47" x14ac:dyDescent="0.25">
      <c r="A80" s="190">
        <v>5530</v>
      </c>
      <c r="B80" s="440" t="s">
        <v>169</v>
      </c>
      <c r="C80" s="528">
        <v>1212967.0900000001</v>
      </c>
      <c r="D80" s="528">
        <v>164636.12</v>
      </c>
      <c r="E80" s="528"/>
      <c r="F80" s="529"/>
      <c r="G80" s="528">
        <v>48649.2</v>
      </c>
      <c r="H80" s="528">
        <v>3236.15</v>
      </c>
      <c r="I80" s="528"/>
      <c r="J80" s="528">
        <v>1792.91</v>
      </c>
      <c r="K80" s="528">
        <v>1252.5</v>
      </c>
      <c r="L80" s="528">
        <v>112665.2</v>
      </c>
      <c r="M80" s="491">
        <f t="shared" si="4"/>
        <v>1545199.1699999997</v>
      </c>
      <c r="N80" s="241">
        <v>20999.9</v>
      </c>
      <c r="O80" s="241">
        <v>452957.2</v>
      </c>
      <c r="P80" s="241">
        <v>23425.5</v>
      </c>
      <c r="Q80" s="241"/>
      <c r="R80" s="241">
        <v>56567.9</v>
      </c>
      <c r="S80" s="528">
        <v>5422.29</v>
      </c>
      <c r="T80" s="491">
        <f t="shared" si="5"/>
        <v>2104571.9599999995</v>
      </c>
      <c r="U80" s="237">
        <v>-3318.71</v>
      </c>
      <c r="V80" s="241"/>
      <c r="W80" s="241">
        <v>0</v>
      </c>
      <c r="X80" s="533">
        <v>76</v>
      </c>
      <c r="Y80" s="536">
        <v>1.2</v>
      </c>
      <c r="Z80" s="213">
        <v>566</v>
      </c>
      <c r="AA80" s="265"/>
      <c r="AB80" s="235"/>
      <c r="AC80" s="436">
        <f>AB80/VPI!R80</f>
        <v>0</v>
      </c>
      <c r="AD80" s="438">
        <f t="shared" si="6"/>
        <v>0</v>
      </c>
      <c r="AE80" s="436">
        <f>AD80/VPI!R80</f>
        <v>0</v>
      </c>
      <c r="AF80" s="235"/>
      <c r="AG80" s="235"/>
      <c r="AH80" s="235"/>
      <c r="AI80" s="268"/>
      <c r="AJ80" s="8"/>
      <c r="AK80" s="436">
        <f>AJ80/VPI!R80</f>
        <v>0</v>
      </c>
      <c r="AL80" s="438">
        <f t="shared" si="7"/>
        <v>0</v>
      </c>
      <c r="AM80" s="436">
        <f>AL80/VPI!R80</f>
        <v>0</v>
      </c>
      <c r="AN80" s="8"/>
      <c r="AO80" s="268"/>
      <c r="AP80" s="522">
        <v>16.957643952209164</v>
      </c>
      <c r="AR80" s="539">
        <v>0</v>
      </c>
    </row>
    <row r="81" spans="1:44" x14ac:dyDescent="0.25">
      <c r="A81" s="190">
        <v>5531</v>
      </c>
      <c r="B81" s="440" t="s">
        <v>170</v>
      </c>
      <c r="C81" s="528">
        <v>1021090.73</v>
      </c>
      <c r="D81" s="528">
        <v>157692</v>
      </c>
      <c r="E81" s="528"/>
      <c r="F81" s="529"/>
      <c r="G81" s="528">
        <v>2953</v>
      </c>
      <c r="H81" s="528">
        <v>450.7</v>
      </c>
      <c r="I81" s="528"/>
      <c r="J81" s="528">
        <v>14886.14</v>
      </c>
      <c r="K81" s="528">
        <v>1425.3</v>
      </c>
      <c r="L81" s="528">
        <v>83455.350000000006</v>
      </c>
      <c r="M81" s="491">
        <f t="shared" si="4"/>
        <v>1281953.22</v>
      </c>
      <c r="N81" s="241">
        <v>27044.6</v>
      </c>
      <c r="O81" s="241">
        <v>0</v>
      </c>
      <c r="P81" s="241">
        <v>13661.3</v>
      </c>
      <c r="Q81" s="241">
        <v>0</v>
      </c>
      <c r="R81" s="241">
        <v>17753.75</v>
      </c>
      <c r="S81" s="528">
        <v>355.7</v>
      </c>
      <c r="T81" s="491">
        <f t="shared" si="5"/>
        <v>1340768.57</v>
      </c>
      <c r="U81" s="237">
        <v>-1976.61</v>
      </c>
      <c r="V81" s="241"/>
      <c r="W81" s="241">
        <v>-183.65</v>
      </c>
      <c r="X81" s="533">
        <v>74</v>
      </c>
      <c r="Y81" s="536">
        <v>1</v>
      </c>
      <c r="Z81" s="213">
        <v>433</v>
      </c>
      <c r="AA81" s="265"/>
      <c r="AB81" s="235"/>
      <c r="AC81" s="436">
        <f>AB81/VPI!R81</f>
        <v>0</v>
      </c>
      <c r="AD81" s="438">
        <f t="shared" si="6"/>
        <v>0</v>
      </c>
      <c r="AE81" s="436">
        <f>AD81/VPI!R81</f>
        <v>0</v>
      </c>
      <c r="AF81" s="235"/>
      <c r="AG81" s="235"/>
      <c r="AH81" s="235"/>
      <c r="AI81" s="268"/>
      <c r="AJ81" s="8"/>
      <c r="AK81" s="436">
        <f>AJ81/VPI!R81</f>
        <v>0</v>
      </c>
      <c r="AL81" s="438">
        <f t="shared" si="7"/>
        <v>0</v>
      </c>
      <c r="AM81" s="436">
        <f>AL81/VPI!R81</f>
        <v>0</v>
      </c>
      <c r="AN81" s="8"/>
      <c r="AO81" s="268"/>
      <c r="AP81" s="522">
        <v>18.22510767273155</v>
      </c>
      <c r="AR81" s="539">
        <v>0</v>
      </c>
    </row>
    <row r="82" spans="1:44" x14ac:dyDescent="0.25">
      <c r="A82" s="190">
        <v>5533</v>
      </c>
      <c r="B82" s="440" t="s">
        <v>171</v>
      </c>
      <c r="C82" s="528">
        <v>1585053.29</v>
      </c>
      <c r="D82" s="528">
        <v>222992.79</v>
      </c>
      <c r="E82" s="528"/>
      <c r="F82" s="529"/>
      <c r="G82" s="528">
        <v>76386</v>
      </c>
      <c r="H82" s="528">
        <v>3986.05</v>
      </c>
      <c r="I82" s="528"/>
      <c r="J82" s="528">
        <v>24904.59</v>
      </c>
      <c r="K82" s="528">
        <v>9628.25</v>
      </c>
      <c r="L82" s="528">
        <v>160315.5</v>
      </c>
      <c r="M82" s="491">
        <f t="shared" si="4"/>
        <v>2083266.4700000002</v>
      </c>
      <c r="N82" s="241">
        <v>14127</v>
      </c>
      <c r="O82" s="241">
        <v>817.2</v>
      </c>
      <c r="P82" s="241">
        <v>70493.5</v>
      </c>
      <c r="Q82" s="241">
        <v>38416.769999999997</v>
      </c>
      <c r="R82" s="241">
        <v>39308.65</v>
      </c>
      <c r="S82" s="528">
        <v>8399.2900000000009</v>
      </c>
      <c r="T82" s="491">
        <f t="shared" si="5"/>
        <v>2254828.8800000004</v>
      </c>
      <c r="U82" s="237">
        <v>-85085.61</v>
      </c>
      <c r="V82" s="241"/>
      <c r="W82" s="241">
        <v>-93.1</v>
      </c>
      <c r="X82" s="533">
        <v>73</v>
      </c>
      <c r="Y82" s="536">
        <v>1</v>
      </c>
      <c r="Z82" s="213">
        <v>847</v>
      </c>
      <c r="AA82" s="265"/>
      <c r="AB82" s="235"/>
      <c r="AC82" s="436">
        <f>AB82/VPI!R82</f>
        <v>0</v>
      </c>
      <c r="AD82" s="438">
        <f t="shared" si="6"/>
        <v>0</v>
      </c>
      <c r="AE82" s="436">
        <f>AD82/VPI!R82</f>
        <v>0</v>
      </c>
      <c r="AF82" s="235"/>
      <c r="AG82" s="235"/>
      <c r="AH82" s="235"/>
      <c r="AI82" s="268"/>
      <c r="AJ82" s="8"/>
      <c r="AK82" s="436">
        <f>AJ82/VPI!R82</f>
        <v>0</v>
      </c>
      <c r="AL82" s="438">
        <f t="shared" si="7"/>
        <v>0</v>
      </c>
      <c r="AM82" s="436">
        <f>AL82/VPI!R82</f>
        <v>0</v>
      </c>
      <c r="AN82" s="8"/>
      <c r="AO82" s="268"/>
      <c r="AP82" s="522">
        <v>17.162221386732064</v>
      </c>
      <c r="AR82" s="539">
        <v>0</v>
      </c>
    </row>
    <row r="83" spans="1:44" x14ac:dyDescent="0.25">
      <c r="A83" s="190">
        <v>5534</v>
      </c>
      <c r="B83" s="440" t="s">
        <v>172</v>
      </c>
      <c r="C83" s="528">
        <v>640896.64</v>
      </c>
      <c r="D83" s="528">
        <v>122235.23</v>
      </c>
      <c r="E83" s="528"/>
      <c r="F83" s="529"/>
      <c r="G83" s="528">
        <v>204764.05</v>
      </c>
      <c r="H83" s="528">
        <v>903.15</v>
      </c>
      <c r="I83" s="528"/>
      <c r="J83" s="528">
        <v>24204.35</v>
      </c>
      <c r="K83" s="528">
        <v>907</v>
      </c>
      <c r="L83" s="528">
        <v>101076.35</v>
      </c>
      <c r="M83" s="491">
        <f t="shared" si="4"/>
        <v>1094986.77</v>
      </c>
      <c r="N83" s="241">
        <v>22036.5</v>
      </c>
      <c r="O83" s="241"/>
      <c r="P83" s="241">
        <v>21413.35</v>
      </c>
      <c r="Q83" s="241">
        <v>-2384.88</v>
      </c>
      <c r="R83" s="241">
        <v>16194.05</v>
      </c>
      <c r="S83" s="528">
        <v>21493.279999999999</v>
      </c>
      <c r="T83" s="491">
        <f t="shared" si="5"/>
        <v>1173739.0700000003</v>
      </c>
      <c r="U83" s="237">
        <v>820.92</v>
      </c>
      <c r="V83" s="241"/>
      <c r="W83" s="241">
        <v>0</v>
      </c>
      <c r="X83" s="533">
        <v>73</v>
      </c>
      <c r="Y83" s="536">
        <v>1.2</v>
      </c>
      <c r="Z83" s="213">
        <v>303</v>
      </c>
      <c r="AA83" s="265"/>
      <c r="AB83" s="235"/>
      <c r="AC83" s="436">
        <f>AB83/VPI!R83</f>
        <v>0</v>
      </c>
      <c r="AD83" s="438">
        <f t="shared" si="6"/>
        <v>0</v>
      </c>
      <c r="AE83" s="436">
        <f>AD83/VPI!R83</f>
        <v>0</v>
      </c>
      <c r="AF83" s="235"/>
      <c r="AG83" s="235"/>
      <c r="AH83" s="235"/>
      <c r="AI83" s="268"/>
      <c r="AJ83" s="8"/>
      <c r="AK83" s="436">
        <f>AJ83/VPI!R83</f>
        <v>0</v>
      </c>
      <c r="AL83" s="438">
        <f t="shared" si="7"/>
        <v>0</v>
      </c>
      <c r="AM83" s="436">
        <f>AL83/VPI!R83</f>
        <v>0</v>
      </c>
      <c r="AN83" s="8"/>
      <c r="AO83" s="268"/>
      <c r="AP83" s="522">
        <v>25.354324568213496</v>
      </c>
      <c r="AR83" s="539">
        <v>0</v>
      </c>
    </row>
    <row r="84" spans="1:44" x14ac:dyDescent="0.25">
      <c r="A84" s="190">
        <v>5535</v>
      </c>
      <c r="B84" s="440" t="s">
        <v>29</v>
      </c>
      <c r="C84" s="528">
        <v>1466295.92</v>
      </c>
      <c r="D84" s="528">
        <v>262621.51</v>
      </c>
      <c r="E84" s="528"/>
      <c r="F84" s="529"/>
      <c r="G84" s="528">
        <v>21531.25</v>
      </c>
      <c r="H84" s="528">
        <v>3101.95</v>
      </c>
      <c r="I84" s="528"/>
      <c r="J84" s="528">
        <v>7556.39</v>
      </c>
      <c r="K84" s="528">
        <v>1245.8</v>
      </c>
      <c r="L84" s="528">
        <v>148857.4</v>
      </c>
      <c r="M84" s="491">
        <f t="shared" si="4"/>
        <v>1911210.2199999997</v>
      </c>
      <c r="N84" s="241">
        <v>51430.3</v>
      </c>
      <c r="O84" s="241">
        <v>3861</v>
      </c>
      <c r="P84" s="241">
        <v>72585.2</v>
      </c>
      <c r="Q84" s="241">
        <v>6847.91</v>
      </c>
      <c r="R84" s="241">
        <v>59890.65</v>
      </c>
      <c r="S84" s="528">
        <v>2574.3000000000002</v>
      </c>
      <c r="T84" s="491">
        <f t="shared" si="5"/>
        <v>2108399.5799999996</v>
      </c>
      <c r="U84" s="237">
        <v>-8955.66</v>
      </c>
      <c r="V84" s="241"/>
      <c r="W84" s="241">
        <v>-5.99</v>
      </c>
      <c r="X84" s="533">
        <v>75</v>
      </c>
      <c r="Y84" s="536">
        <v>1</v>
      </c>
      <c r="Z84" s="213">
        <v>814</v>
      </c>
      <c r="AA84" s="265"/>
      <c r="AB84" s="235"/>
      <c r="AC84" s="436">
        <f>AB84/VPI!R84</f>
        <v>0</v>
      </c>
      <c r="AD84" s="438">
        <f t="shared" si="6"/>
        <v>0</v>
      </c>
      <c r="AE84" s="436">
        <f>AD84/VPI!R84</f>
        <v>0</v>
      </c>
      <c r="AF84" s="235"/>
      <c r="AG84" s="235"/>
      <c r="AH84" s="235"/>
      <c r="AI84" s="268"/>
      <c r="AJ84" s="8"/>
      <c r="AK84" s="436">
        <f>AJ84/VPI!R84</f>
        <v>0</v>
      </c>
      <c r="AL84" s="438">
        <f t="shared" si="7"/>
        <v>0</v>
      </c>
      <c r="AM84" s="436">
        <f>AL84/VPI!R84</f>
        <v>0</v>
      </c>
      <c r="AN84" s="8"/>
      <c r="AO84" s="268"/>
      <c r="AP84" s="522">
        <v>14.227224960031988</v>
      </c>
      <c r="AR84" s="539">
        <v>0</v>
      </c>
    </row>
    <row r="85" spans="1:44" x14ac:dyDescent="0.25">
      <c r="A85" s="190">
        <v>5537</v>
      </c>
      <c r="B85" s="440" t="s">
        <v>30</v>
      </c>
      <c r="C85" s="528">
        <v>2369122.64</v>
      </c>
      <c r="D85" s="528">
        <v>297524.75</v>
      </c>
      <c r="E85" s="528"/>
      <c r="F85" s="529">
        <v>7530</v>
      </c>
      <c r="G85" s="528">
        <v>58472.65</v>
      </c>
      <c r="H85" s="528">
        <v>2025.25</v>
      </c>
      <c r="I85" s="528"/>
      <c r="J85" s="528">
        <v>29419.040000000001</v>
      </c>
      <c r="K85" s="528">
        <v>6680.75</v>
      </c>
      <c r="L85" s="528">
        <v>259696.7</v>
      </c>
      <c r="M85" s="491">
        <f t="shared" si="4"/>
        <v>3030471.7800000003</v>
      </c>
      <c r="N85" s="241">
        <v>0</v>
      </c>
      <c r="O85" s="241">
        <v>144.6</v>
      </c>
      <c r="P85" s="241">
        <v>65983.199999999997</v>
      </c>
      <c r="Q85" s="241">
        <v>8713.3700000000008</v>
      </c>
      <c r="R85" s="241">
        <v>63523.4</v>
      </c>
      <c r="S85" s="528">
        <v>6322.34</v>
      </c>
      <c r="T85" s="491">
        <f t="shared" si="5"/>
        <v>3175158.6900000004</v>
      </c>
      <c r="U85" s="237">
        <v>-67078.789999999994</v>
      </c>
      <c r="V85" s="241"/>
      <c r="W85" s="241">
        <v>-1955.37</v>
      </c>
      <c r="X85" s="533">
        <v>76</v>
      </c>
      <c r="Y85" s="536">
        <v>1</v>
      </c>
      <c r="Z85" s="213">
        <v>1310</v>
      </c>
      <c r="AA85" s="265"/>
      <c r="AB85" s="235"/>
      <c r="AC85" s="436">
        <f>AB85/VPI!R85</f>
        <v>0</v>
      </c>
      <c r="AD85" s="438">
        <f t="shared" si="6"/>
        <v>0</v>
      </c>
      <c r="AE85" s="436">
        <f>AD85/VPI!R85</f>
        <v>0</v>
      </c>
      <c r="AF85" s="235"/>
      <c r="AG85" s="235"/>
      <c r="AH85" s="235"/>
      <c r="AI85" s="268"/>
      <c r="AJ85" s="8"/>
      <c r="AK85" s="436">
        <f>AJ85/VPI!R85</f>
        <v>0</v>
      </c>
      <c r="AL85" s="438">
        <f t="shared" si="7"/>
        <v>0</v>
      </c>
      <c r="AM85" s="436">
        <f>AL85/VPI!R85</f>
        <v>0</v>
      </c>
      <c r="AN85" s="8"/>
      <c r="AO85" s="268"/>
      <c r="AP85" s="522">
        <v>14.212772660585706</v>
      </c>
      <c r="AR85" s="539">
        <v>0</v>
      </c>
    </row>
    <row r="86" spans="1:44" x14ac:dyDescent="0.25">
      <c r="A86" s="190">
        <v>5539</v>
      </c>
      <c r="B86" s="440" t="s">
        <v>31</v>
      </c>
      <c r="C86" s="528">
        <v>2067627.51</v>
      </c>
      <c r="D86" s="528">
        <v>221892.14</v>
      </c>
      <c r="E86" s="528"/>
      <c r="F86" s="529"/>
      <c r="G86" s="528">
        <v>12850.7</v>
      </c>
      <c r="H86" s="528">
        <v>510.1</v>
      </c>
      <c r="I86" s="528"/>
      <c r="J86" s="528">
        <v>35091.480000000003</v>
      </c>
      <c r="K86" s="528">
        <v>6393.7</v>
      </c>
      <c r="L86" s="528">
        <v>161033.25</v>
      </c>
      <c r="M86" s="491">
        <f t="shared" si="4"/>
        <v>2505398.8800000004</v>
      </c>
      <c r="N86" s="241">
        <v>18487.849999999999</v>
      </c>
      <c r="O86" s="241">
        <v>4505.6000000000004</v>
      </c>
      <c r="P86" s="241">
        <v>94492.75</v>
      </c>
      <c r="Q86" s="241">
        <v>0</v>
      </c>
      <c r="R86" s="241">
        <v>102581.7</v>
      </c>
      <c r="S86" s="528">
        <v>1396.27</v>
      </c>
      <c r="T86" s="491">
        <f t="shared" si="5"/>
        <v>2726863.0500000007</v>
      </c>
      <c r="U86" s="237">
        <v>-15484.63</v>
      </c>
      <c r="V86" s="241"/>
      <c r="W86" s="241">
        <v>-48.1</v>
      </c>
      <c r="X86" s="533">
        <v>73.5</v>
      </c>
      <c r="Y86" s="536">
        <v>0.8</v>
      </c>
      <c r="Z86" s="213">
        <v>1106</v>
      </c>
      <c r="AA86" s="265"/>
      <c r="AB86" s="235"/>
      <c r="AC86" s="436">
        <f>AB86/VPI!R86</f>
        <v>0</v>
      </c>
      <c r="AD86" s="438">
        <f t="shared" si="6"/>
        <v>0</v>
      </c>
      <c r="AE86" s="436">
        <f>AD86/VPI!R86</f>
        <v>0</v>
      </c>
      <c r="AF86" s="235"/>
      <c r="AG86" s="235"/>
      <c r="AH86" s="235"/>
      <c r="AI86" s="268"/>
      <c r="AJ86" s="8"/>
      <c r="AK86" s="436">
        <f>AJ86/VPI!R86</f>
        <v>0</v>
      </c>
      <c r="AL86" s="438">
        <f t="shared" si="7"/>
        <v>0</v>
      </c>
      <c r="AM86" s="436">
        <f>AL86/VPI!R86</f>
        <v>0</v>
      </c>
      <c r="AN86" s="8"/>
      <c r="AO86" s="268"/>
      <c r="AP86" s="522">
        <v>14.695105594952672</v>
      </c>
      <c r="AR86" s="539">
        <v>0</v>
      </c>
    </row>
    <row r="87" spans="1:44" x14ac:dyDescent="0.25">
      <c r="A87" s="190">
        <v>5540</v>
      </c>
      <c r="B87" s="440" t="s">
        <v>346</v>
      </c>
      <c r="C87" s="528">
        <v>3843319.6</v>
      </c>
      <c r="D87" s="528">
        <v>494011.47</v>
      </c>
      <c r="E87" s="528"/>
      <c r="F87" s="529"/>
      <c r="G87" s="528">
        <v>153893.95000000001</v>
      </c>
      <c r="H87" s="528">
        <v>4827.5</v>
      </c>
      <c r="I87" s="528"/>
      <c r="J87" s="528">
        <v>33186.449999999997</v>
      </c>
      <c r="K87" s="528">
        <v>13100.5</v>
      </c>
      <c r="L87" s="528">
        <v>286684.15000000002</v>
      </c>
      <c r="M87" s="491">
        <f t="shared" si="4"/>
        <v>4829023.620000001</v>
      </c>
      <c r="N87" s="241">
        <v>6525.8</v>
      </c>
      <c r="O87" s="241">
        <v>747.4</v>
      </c>
      <c r="P87" s="241">
        <v>115794.2</v>
      </c>
      <c r="Q87" s="241">
        <v>12910.21</v>
      </c>
      <c r="R87" s="241">
        <v>119438.75</v>
      </c>
      <c r="S87" s="528">
        <v>16587.21</v>
      </c>
      <c r="T87" s="491">
        <f t="shared" si="5"/>
        <v>5101027.1900000013</v>
      </c>
      <c r="U87" s="237">
        <v>-38954.339999999997</v>
      </c>
      <c r="V87" s="241"/>
      <c r="W87" s="241">
        <v>-63.83</v>
      </c>
      <c r="X87" s="533">
        <v>72.5</v>
      </c>
      <c r="Y87" s="536">
        <v>0.8</v>
      </c>
      <c r="Z87" s="213">
        <v>1895</v>
      </c>
      <c r="AA87" s="265"/>
      <c r="AB87" s="235"/>
      <c r="AC87" s="436">
        <f>AB87/VPI!R87</f>
        <v>0</v>
      </c>
      <c r="AD87" s="438">
        <f t="shared" si="6"/>
        <v>0</v>
      </c>
      <c r="AE87" s="436">
        <f>AD87/VPI!R87</f>
        <v>0</v>
      </c>
      <c r="AF87" s="235"/>
      <c r="AG87" s="235"/>
      <c r="AH87" s="235"/>
      <c r="AI87" s="268"/>
      <c r="AJ87" s="8"/>
      <c r="AK87" s="436">
        <f>AJ87/VPI!R87</f>
        <v>0</v>
      </c>
      <c r="AL87" s="438">
        <f t="shared" si="7"/>
        <v>0</v>
      </c>
      <c r="AM87" s="436">
        <f>AL87/VPI!R87</f>
        <v>0</v>
      </c>
      <c r="AN87" s="8"/>
      <c r="AO87" s="268"/>
      <c r="AP87" s="522">
        <v>14.792110038003772</v>
      </c>
      <c r="AR87" s="539">
        <v>0</v>
      </c>
    </row>
    <row r="88" spans="1:44" x14ac:dyDescent="0.25">
      <c r="A88" s="190">
        <v>5541</v>
      </c>
      <c r="B88" s="440" t="s">
        <v>345</v>
      </c>
      <c r="C88" s="528">
        <v>2515538.9500000002</v>
      </c>
      <c r="D88" s="528">
        <v>348070.88</v>
      </c>
      <c r="E88" s="528"/>
      <c r="F88" s="529"/>
      <c r="G88" s="528">
        <v>28431.5</v>
      </c>
      <c r="H88" s="528">
        <v>4086.15</v>
      </c>
      <c r="I88" s="528"/>
      <c r="J88" s="528">
        <v>28662</v>
      </c>
      <c r="K88" s="528">
        <v>2455</v>
      </c>
      <c r="L88" s="528">
        <v>227276.85</v>
      </c>
      <c r="M88" s="491">
        <f t="shared" si="4"/>
        <v>3154521.33</v>
      </c>
      <c r="N88" s="241">
        <v>6812.1</v>
      </c>
      <c r="O88" s="241">
        <v>42367.199999999997</v>
      </c>
      <c r="P88" s="241">
        <v>150366.04999999999</v>
      </c>
      <c r="Q88" s="241">
        <v>5175.74</v>
      </c>
      <c r="R88" s="241">
        <v>78504.5</v>
      </c>
      <c r="S88" s="528">
        <v>3398.26</v>
      </c>
      <c r="T88" s="491">
        <f t="shared" si="5"/>
        <v>3441145.18</v>
      </c>
      <c r="U88" s="237">
        <v>-10617.18</v>
      </c>
      <c r="V88" s="241">
        <v>-1966</v>
      </c>
      <c r="W88" s="241">
        <v>-183.2</v>
      </c>
      <c r="X88" s="533">
        <v>75.5</v>
      </c>
      <c r="Y88" s="536">
        <v>1</v>
      </c>
      <c r="Z88" s="213">
        <v>1175</v>
      </c>
      <c r="AA88" s="265"/>
      <c r="AB88" s="235"/>
      <c r="AC88" s="436">
        <f>AB88/VPI!R88</f>
        <v>0</v>
      </c>
      <c r="AD88" s="438">
        <f t="shared" si="6"/>
        <v>0</v>
      </c>
      <c r="AE88" s="436">
        <f>AD88/VPI!R88</f>
        <v>0</v>
      </c>
      <c r="AF88" s="235"/>
      <c r="AG88" s="235"/>
      <c r="AH88" s="235"/>
      <c r="AI88" s="268"/>
      <c r="AJ88" s="8"/>
      <c r="AK88" s="436">
        <f>AJ88/VPI!R88</f>
        <v>0</v>
      </c>
      <c r="AL88" s="438">
        <f t="shared" si="7"/>
        <v>0</v>
      </c>
      <c r="AM88" s="436">
        <f>AL88/VPI!R88</f>
        <v>0</v>
      </c>
      <c r="AN88" s="8"/>
      <c r="AO88" s="268"/>
      <c r="AP88" s="522">
        <v>18.072978523153857</v>
      </c>
      <c r="AR88" s="539">
        <v>0</v>
      </c>
    </row>
    <row r="89" spans="1:44" x14ac:dyDescent="0.25">
      <c r="A89" s="190">
        <v>5551</v>
      </c>
      <c r="B89" s="440" t="s">
        <v>32</v>
      </c>
      <c r="C89" s="528">
        <v>738872.48</v>
      </c>
      <c r="D89" s="528">
        <v>126506.58</v>
      </c>
      <c r="E89" s="528"/>
      <c r="F89" s="529"/>
      <c r="G89" s="528">
        <v>23031.7</v>
      </c>
      <c r="H89" s="528">
        <v>16049.65</v>
      </c>
      <c r="I89" s="528"/>
      <c r="J89" s="528">
        <v>2503.13</v>
      </c>
      <c r="K89" s="528">
        <v>12146.7</v>
      </c>
      <c r="L89" s="528">
        <v>117540.4</v>
      </c>
      <c r="M89" s="491">
        <f t="shared" si="4"/>
        <v>1036650.6399999999</v>
      </c>
      <c r="N89" s="241">
        <v>4739.05</v>
      </c>
      <c r="O89" s="241">
        <v>287712.8</v>
      </c>
      <c r="P89" s="241">
        <v>49304.7</v>
      </c>
      <c r="Q89" s="241"/>
      <c r="R89" s="241">
        <v>13335</v>
      </c>
      <c r="S89" s="528">
        <v>4084.2</v>
      </c>
      <c r="T89" s="491">
        <f t="shared" si="5"/>
        <v>1395826.39</v>
      </c>
      <c r="U89" s="237">
        <v>-335.25</v>
      </c>
      <c r="V89" s="241"/>
      <c r="W89" s="241">
        <v>-198.3</v>
      </c>
      <c r="X89" s="533">
        <v>56</v>
      </c>
      <c r="Y89" s="536">
        <v>1</v>
      </c>
      <c r="Z89" s="213">
        <v>501</v>
      </c>
      <c r="AA89" s="265"/>
      <c r="AB89" s="235"/>
      <c r="AC89" s="436">
        <f>AB89/VPI!R89</f>
        <v>0</v>
      </c>
      <c r="AD89" s="438">
        <f t="shared" si="6"/>
        <v>0</v>
      </c>
      <c r="AE89" s="436">
        <f>AD89/VPI!R89</f>
        <v>0</v>
      </c>
      <c r="AF89" s="235"/>
      <c r="AG89" s="235"/>
      <c r="AH89" s="235"/>
      <c r="AI89" s="268"/>
      <c r="AJ89" s="8"/>
      <c r="AK89" s="436">
        <f>AJ89/VPI!R89</f>
        <v>0</v>
      </c>
      <c r="AL89" s="438">
        <f t="shared" si="7"/>
        <v>0</v>
      </c>
      <c r="AM89" s="436">
        <f>AL89/VPI!R89</f>
        <v>0</v>
      </c>
      <c r="AN89" s="8"/>
      <c r="AO89" s="268"/>
      <c r="AP89" s="522">
        <v>24.693537925540927</v>
      </c>
      <c r="AR89" s="539">
        <v>0</v>
      </c>
    </row>
    <row r="90" spans="1:44" x14ac:dyDescent="0.25">
      <c r="A90" s="190">
        <v>5552</v>
      </c>
      <c r="B90" s="440" t="s">
        <v>33</v>
      </c>
      <c r="C90" s="528">
        <v>956207.03</v>
      </c>
      <c r="D90" s="528">
        <v>214322.37</v>
      </c>
      <c r="E90" s="528"/>
      <c r="F90" s="529"/>
      <c r="G90" s="528">
        <v>38071.199999999997</v>
      </c>
      <c r="H90" s="528">
        <v>1169.4000000000001</v>
      </c>
      <c r="I90" s="528"/>
      <c r="J90" s="528">
        <v>14739.84</v>
      </c>
      <c r="K90" s="528">
        <v>3777.6</v>
      </c>
      <c r="L90" s="528">
        <v>133958.45000000001</v>
      </c>
      <c r="M90" s="491">
        <f t="shared" si="4"/>
        <v>1362245.89</v>
      </c>
      <c r="N90" s="241">
        <v>75308.75</v>
      </c>
      <c r="O90" s="241">
        <v>22838.1</v>
      </c>
      <c r="P90" s="241">
        <v>54554.5</v>
      </c>
      <c r="Q90" s="241">
        <v>9961.92</v>
      </c>
      <c r="R90" s="241">
        <v>39873.75</v>
      </c>
      <c r="S90" s="528">
        <v>4100.84</v>
      </c>
      <c r="T90" s="491">
        <f t="shared" si="5"/>
        <v>1568883.75</v>
      </c>
      <c r="U90" s="237">
        <v>-15021.28</v>
      </c>
      <c r="V90" s="241"/>
      <c r="W90" s="241">
        <v>-2.29</v>
      </c>
      <c r="X90" s="533">
        <v>71.5</v>
      </c>
      <c r="Y90" s="536">
        <v>1</v>
      </c>
      <c r="Z90" s="213">
        <v>651</v>
      </c>
      <c r="AA90" s="265"/>
      <c r="AB90" s="235"/>
      <c r="AC90" s="436">
        <f>AB90/VPI!R90</f>
        <v>0</v>
      </c>
      <c r="AD90" s="438">
        <f t="shared" si="6"/>
        <v>0</v>
      </c>
      <c r="AE90" s="436">
        <f>AD90/VPI!R90</f>
        <v>0</v>
      </c>
      <c r="AF90" s="235"/>
      <c r="AG90" s="235"/>
      <c r="AH90" s="235"/>
      <c r="AI90" s="268"/>
      <c r="AJ90" s="8"/>
      <c r="AK90" s="436">
        <f>AJ90/VPI!R90</f>
        <v>0</v>
      </c>
      <c r="AL90" s="438">
        <f t="shared" si="7"/>
        <v>0</v>
      </c>
      <c r="AM90" s="436">
        <f>AL90/VPI!R90</f>
        <v>0</v>
      </c>
      <c r="AN90" s="8"/>
      <c r="AO90" s="268"/>
      <c r="AP90" s="522">
        <v>13.968405211610726</v>
      </c>
      <c r="AR90" s="539">
        <v>0</v>
      </c>
    </row>
    <row r="91" spans="1:44" x14ac:dyDescent="0.25">
      <c r="A91" s="190">
        <v>5553</v>
      </c>
      <c r="B91" s="440" t="s">
        <v>34</v>
      </c>
      <c r="C91" s="528">
        <v>1670358.88</v>
      </c>
      <c r="D91" s="528">
        <v>292792.2</v>
      </c>
      <c r="E91" s="528"/>
      <c r="F91" s="529"/>
      <c r="G91" s="528">
        <v>165139.25</v>
      </c>
      <c r="H91" s="528">
        <v>39296.800000000003</v>
      </c>
      <c r="I91" s="528"/>
      <c r="J91" s="528">
        <v>66654.95</v>
      </c>
      <c r="K91" s="528">
        <v>26028.55</v>
      </c>
      <c r="L91" s="528">
        <v>233983.15</v>
      </c>
      <c r="M91" s="491">
        <f t="shared" si="4"/>
        <v>2494253.7799999998</v>
      </c>
      <c r="N91" s="241">
        <v>163610.25</v>
      </c>
      <c r="O91" s="241">
        <v>19108.099999999999</v>
      </c>
      <c r="P91" s="241">
        <v>114053.25</v>
      </c>
      <c r="Q91" s="241">
        <v>253.76</v>
      </c>
      <c r="R91" s="241">
        <v>26499.15</v>
      </c>
      <c r="S91" s="528">
        <v>21364.62</v>
      </c>
      <c r="T91" s="491">
        <f t="shared" si="5"/>
        <v>2839142.9099999997</v>
      </c>
      <c r="U91" s="237">
        <v>-26753.1</v>
      </c>
      <c r="V91" s="241"/>
      <c r="W91" s="241">
        <v>-1972.26</v>
      </c>
      <c r="X91" s="533">
        <v>65</v>
      </c>
      <c r="Y91" s="536">
        <v>1</v>
      </c>
      <c r="Z91" s="213">
        <v>1077</v>
      </c>
      <c r="AA91" s="265"/>
      <c r="AB91" s="235"/>
      <c r="AC91" s="436">
        <f>AB91/VPI!R91</f>
        <v>0</v>
      </c>
      <c r="AD91" s="438">
        <f t="shared" si="6"/>
        <v>0</v>
      </c>
      <c r="AE91" s="436">
        <f>AD91/VPI!R91</f>
        <v>0</v>
      </c>
      <c r="AF91" s="235"/>
      <c r="AG91" s="235"/>
      <c r="AH91" s="235"/>
      <c r="AI91" s="268"/>
      <c r="AJ91" s="8"/>
      <c r="AK91" s="436">
        <f>AJ91/VPI!R91</f>
        <v>0</v>
      </c>
      <c r="AL91" s="438">
        <f t="shared" si="7"/>
        <v>0</v>
      </c>
      <c r="AM91" s="436">
        <f>AL91/VPI!R91</f>
        <v>0</v>
      </c>
      <c r="AN91" s="8"/>
      <c r="AO91" s="268"/>
      <c r="AP91" s="522">
        <v>21.772779428254662</v>
      </c>
      <c r="AR91" s="539">
        <v>0</v>
      </c>
    </row>
    <row r="92" spans="1:44" x14ac:dyDescent="0.25">
      <c r="A92" s="190">
        <v>5554</v>
      </c>
      <c r="B92" s="440" t="s">
        <v>35</v>
      </c>
      <c r="C92" s="528">
        <v>1931166.54</v>
      </c>
      <c r="D92" s="528">
        <v>405653.67</v>
      </c>
      <c r="E92" s="528"/>
      <c r="F92" s="529"/>
      <c r="G92" s="528">
        <v>20880.650000000001</v>
      </c>
      <c r="H92" s="528">
        <v>1043.1500000000001</v>
      </c>
      <c r="I92" s="528"/>
      <c r="J92" s="528">
        <v>5118.55</v>
      </c>
      <c r="K92" s="528">
        <v>3396.8</v>
      </c>
      <c r="L92" s="528">
        <v>191268.35</v>
      </c>
      <c r="M92" s="491">
        <f t="shared" si="4"/>
        <v>2558527.7099999995</v>
      </c>
      <c r="N92" s="241">
        <v>12823.55</v>
      </c>
      <c r="O92" s="241">
        <v>3805.7</v>
      </c>
      <c r="P92" s="241">
        <v>127528.75</v>
      </c>
      <c r="Q92" s="241">
        <v>1324.54</v>
      </c>
      <c r="R92" s="241">
        <v>128234.75</v>
      </c>
      <c r="S92" s="528">
        <v>2291.15</v>
      </c>
      <c r="T92" s="491">
        <f t="shared" si="5"/>
        <v>2834536.1499999994</v>
      </c>
      <c r="U92" s="237">
        <v>-18521.689999999999</v>
      </c>
      <c r="V92" s="241"/>
      <c r="W92" s="241">
        <v>-584.26</v>
      </c>
      <c r="X92" s="533">
        <v>75</v>
      </c>
      <c r="Y92" s="536">
        <v>1</v>
      </c>
      <c r="Z92" s="213">
        <v>1002</v>
      </c>
      <c r="AA92" s="265"/>
      <c r="AB92" s="235"/>
      <c r="AC92" s="436">
        <f>AB92/VPI!R92</f>
        <v>0</v>
      </c>
      <c r="AD92" s="438">
        <f t="shared" si="6"/>
        <v>0</v>
      </c>
      <c r="AE92" s="436">
        <f>AD92/VPI!R92</f>
        <v>0</v>
      </c>
      <c r="AF92" s="235"/>
      <c r="AG92" s="235"/>
      <c r="AH92" s="235"/>
      <c r="AI92" s="268"/>
      <c r="AJ92" s="8"/>
      <c r="AK92" s="436">
        <f>AJ92/VPI!R92</f>
        <v>0</v>
      </c>
      <c r="AL92" s="438">
        <f t="shared" si="7"/>
        <v>0</v>
      </c>
      <c r="AM92" s="436">
        <f>AL92/VPI!R92</f>
        <v>0</v>
      </c>
      <c r="AN92" s="8"/>
      <c r="AO92" s="268"/>
      <c r="AP92" s="522">
        <v>14.665463881614878</v>
      </c>
      <c r="AR92" s="539">
        <v>0</v>
      </c>
    </row>
    <row r="93" spans="1:44" x14ac:dyDescent="0.25">
      <c r="A93" s="190">
        <v>5555</v>
      </c>
      <c r="B93" s="440" t="s">
        <v>36</v>
      </c>
      <c r="C93" s="528">
        <v>644343.49</v>
      </c>
      <c r="D93" s="528">
        <v>167047.5</v>
      </c>
      <c r="E93" s="528"/>
      <c r="F93" s="529"/>
      <c r="G93" s="528">
        <v>3319.9</v>
      </c>
      <c r="H93" s="528">
        <v>2024.85</v>
      </c>
      <c r="I93" s="528"/>
      <c r="J93" s="528">
        <v>15443.52</v>
      </c>
      <c r="K93" s="528">
        <v>2228.6999999999998</v>
      </c>
      <c r="L93" s="528">
        <v>98622.15</v>
      </c>
      <c r="M93" s="491">
        <f t="shared" si="4"/>
        <v>933030.11</v>
      </c>
      <c r="N93" s="241">
        <v>9002.75</v>
      </c>
      <c r="O93" s="241">
        <v>9137.7999999999993</v>
      </c>
      <c r="P93" s="241">
        <v>5384.5</v>
      </c>
      <c r="Q93" s="241">
        <v>17407.080000000002</v>
      </c>
      <c r="R93" s="241">
        <v>11032.25</v>
      </c>
      <c r="S93" s="528">
        <v>558.54999999999995</v>
      </c>
      <c r="T93" s="491">
        <f t="shared" si="5"/>
        <v>985553.04</v>
      </c>
      <c r="U93" s="237">
        <v>-24656.83</v>
      </c>
      <c r="V93" s="241"/>
      <c r="W93" s="241">
        <v>0</v>
      </c>
      <c r="X93" s="533">
        <v>69</v>
      </c>
      <c r="Y93" s="536">
        <v>1</v>
      </c>
      <c r="Z93" s="213">
        <v>412</v>
      </c>
      <c r="AA93" s="265"/>
      <c r="AB93" s="235"/>
      <c r="AC93" s="436">
        <f>AB93/VPI!R93</f>
        <v>0</v>
      </c>
      <c r="AD93" s="438">
        <f t="shared" si="6"/>
        <v>0</v>
      </c>
      <c r="AE93" s="436">
        <f>AD93/VPI!R93</f>
        <v>0</v>
      </c>
      <c r="AF93" s="235"/>
      <c r="AG93" s="235"/>
      <c r="AH93" s="235"/>
      <c r="AI93" s="268"/>
      <c r="AJ93" s="8"/>
      <c r="AK93" s="436">
        <f>AJ93/VPI!R93</f>
        <v>0</v>
      </c>
      <c r="AL93" s="438">
        <f t="shared" si="7"/>
        <v>0</v>
      </c>
      <c r="AM93" s="436">
        <f>AL93/VPI!R93</f>
        <v>0</v>
      </c>
      <c r="AN93" s="8"/>
      <c r="AO93" s="268"/>
      <c r="AP93" s="522">
        <v>18.470984384409142</v>
      </c>
      <c r="AR93" s="539">
        <v>0</v>
      </c>
    </row>
    <row r="94" spans="1:44" x14ac:dyDescent="0.25">
      <c r="A94" s="190">
        <v>5556</v>
      </c>
      <c r="B94" s="440" t="s">
        <v>37</v>
      </c>
      <c r="C94" s="528">
        <v>740299.16</v>
      </c>
      <c r="D94" s="528">
        <v>89044.51</v>
      </c>
      <c r="E94" s="528"/>
      <c r="F94" s="529">
        <v>2510</v>
      </c>
      <c r="G94" s="528">
        <v>4733.05</v>
      </c>
      <c r="H94" s="528">
        <v>255.8</v>
      </c>
      <c r="I94" s="528"/>
      <c r="J94" s="528">
        <v>6416.69</v>
      </c>
      <c r="K94" s="528">
        <v>1271.6500000000001</v>
      </c>
      <c r="L94" s="528">
        <v>89401.36</v>
      </c>
      <c r="M94" s="491">
        <f t="shared" si="4"/>
        <v>933932.22000000009</v>
      </c>
      <c r="N94" s="241">
        <v>0</v>
      </c>
      <c r="O94" s="241">
        <v>48468.800000000003</v>
      </c>
      <c r="P94" s="241">
        <v>51975</v>
      </c>
      <c r="Q94" s="241"/>
      <c r="R94" s="241">
        <v>22794.15</v>
      </c>
      <c r="S94" s="528">
        <v>521.36</v>
      </c>
      <c r="T94" s="491">
        <f t="shared" si="5"/>
        <v>1057691.5300000003</v>
      </c>
      <c r="U94" s="237">
        <v>-1560.67</v>
      </c>
      <c r="V94" s="241"/>
      <c r="W94" s="241">
        <v>0</v>
      </c>
      <c r="X94" s="533">
        <v>69</v>
      </c>
      <c r="Y94" s="536">
        <v>1.2</v>
      </c>
      <c r="Z94" s="213">
        <v>436</v>
      </c>
      <c r="AA94" s="265"/>
      <c r="AB94" s="235"/>
      <c r="AC94" s="436">
        <f>AB94/VPI!R94</f>
        <v>0</v>
      </c>
      <c r="AD94" s="438">
        <f t="shared" si="6"/>
        <v>0</v>
      </c>
      <c r="AE94" s="436">
        <f>AD94/VPI!R94</f>
        <v>0</v>
      </c>
      <c r="AF94" s="235"/>
      <c r="AG94" s="235"/>
      <c r="AH94" s="235"/>
      <c r="AI94" s="268"/>
      <c r="AJ94" s="8"/>
      <c r="AK94" s="436">
        <f>AJ94/VPI!R94</f>
        <v>0</v>
      </c>
      <c r="AL94" s="438">
        <f t="shared" si="7"/>
        <v>0</v>
      </c>
      <c r="AM94" s="436">
        <f>AL94/VPI!R94</f>
        <v>0</v>
      </c>
      <c r="AN94" s="8"/>
      <c r="AO94" s="268"/>
      <c r="AP94" s="522">
        <v>18.185392867268714</v>
      </c>
      <c r="AR94" s="539">
        <v>0</v>
      </c>
    </row>
    <row r="95" spans="1:44" x14ac:dyDescent="0.25">
      <c r="A95" s="190">
        <v>5557</v>
      </c>
      <c r="B95" s="440" t="s">
        <v>38</v>
      </c>
      <c r="C95" s="528">
        <v>282840.09000000003</v>
      </c>
      <c r="D95" s="528">
        <v>23386.79</v>
      </c>
      <c r="E95" s="528"/>
      <c r="F95" s="529">
        <v>1060</v>
      </c>
      <c r="G95" s="528">
        <v>5329.5</v>
      </c>
      <c r="H95" s="528">
        <v>116</v>
      </c>
      <c r="I95" s="528"/>
      <c r="J95" s="528">
        <v>1290.47</v>
      </c>
      <c r="K95" s="528">
        <v>993.45</v>
      </c>
      <c r="L95" s="528">
        <v>36956.699999999997</v>
      </c>
      <c r="M95" s="491">
        <f t="shared" si="4"/>
        <v>351973</v>
      </c>
      <c r="N95" s="241">
        <v>0</v>
      </c>
      <c r="O95" s="241">
        <v>399.9</v>
      </c>
      <c r="P95" s="241">
        <v>17348.45</v>
      </c>
      <c r="Q95" s="241"/>
      <c r="R95" s="241"/>
      <c r="S95" s="528">
        <v>569.08000000000004</v>
      </c>
      <c r="T95" s="491">
        <f t="shared" si="5"/>
        <v>370290.43000000005</v>
      </c>
      <c r="U95" s="237">
        <v>-728.09</v>
      </c>
      <c r="V95" s="241"/>
      <c r="W95" s="241">
        <v>0</v>
      </c>
      <c r="X95" s="533">
        <v>69</v>
      </c>
      <c r="Y95" s="536">
        <v>1</v>
      </c>
      <c r="Z95" s="213">
        <v>214</v>
      </c>
      <c r="AA95" s="265"/>
      <c r="AB95" s="235"/>
      <c r="AC95" s="436">
        <f>AB95/VPI!R95</f>
        <v>0</v>
      </c>
      <c r="AD95" s="438">
        <f t="shared" si="6"/>
        <v>0</v>
      </c>
      <c r="AE95" s="436">
        <f>AD95/VPI!R95</f>
        <v>0</v>
      </c>
      <c r="AF95" s="235"/>
      <c r="AG95" s="235"/>
      <c r="AH95" s="235"/>
      <c r="AI95" s="268"/>
      <c r="AJ95" s="8"/>
      <c r="AK95" s="436">
        <f>AJ95/VPI!R95</f>
        <v>0</v>
      </c>
      <c r="AL95" s="438">
        <f t="shared" si="7"/>
        <v>0</v>
      </c>
      <c r="AM95" s="436">
        <f>AL95/VPI!R95</f>
        <v>0</v>
      </c>
      <c r="AN95" s="8"/>
      <c r="AO95" s="268"/>
      <c r="AP95" s="522">
        <v>-4.4415961528336343</v>
      </c>
      <c r="AR95" s="539">
        <v>0</v>
      </c>
    </row>
    <row r="96" spans="1:44" x14ac:dyDescent="0.25">
      <c r="A96" s="190">
        <v>5559</v>
      </c>
      <c r="B96" s="440" t="s">
        <v>39</v>
      </c>
      <c r="C96" s="528">
        <v>933397.48</v>
      </c>
      <c r="D96" s="528">
        <v>262686.89</v>
      </c>
      <c r="E96" s="528"/>
      <c r="F96" s="529"/>
      <c r="G96" s="528">
        <v>117252.7</v>
      </c>
      <c r="H96" s="528">
        <v>-7556.8</v>
      </c>
      <c r="I96" s="528"/>
      <c r="J96" s="528">
        <v>1236.3800000000001</v>
      </c>
      <c r="K96" s="528">
        <v>3482</v>
      </c>
      <c r="L96" s="528">
        <v>91808.1</v>
      </c>
      <c r="M96" s="491">
        <f t="shared" si="4"/>
        <v>1402306.75</v>
      </c>
      <c r="N96" s="241">
        <v>6024.7</v>
      </c>
      <c r="O96" s="241">
        <v>6411.1</v>
      </c>
      <c r="P96" s="241">
        <v>70279</v>
      </c>
      <c r="Q96" s="241"/>
      <c r="R96" s="241">
        <v>43469.95</v>
      </c>
      <c r="S96" s="528">
        <v>11463.78</v>
      </c>
      <c r="T96" s="491">
        <f t="shared" si="5"/>
        <v>1539955.28</v>
      </c>
      <c r="U96" s="237">
        <v>-25975.56</v>
      </c>
      <c r="V96" s="241"/>
      <c r="W96" s="241">
        <v>-1066.95</v>
      </c>
      <c r="X96" s="533">
        <v>66</v>
      </c>
      <c r="Y96" s="536">
        <v>1</v>
      </c>
      <c r="Z96" s="213">
        <v>450</v>
      </c>
      <c r="AA96" s="265"/>
      <c r="AB96" s="235"/>
      <c r="AC96" s="436">
        <f>AB96/VPI!R96</f>
        <v>0</v>
      </c>
      <c r="AD96" s="438">
        <f t="shared" si="6"/>
        <v>0</v>
      </c>
      <c r="AE96" s="436">
        <f>AD96/VPI!R96</f>
        <v>0</v>
      </c>
      <c r="AF96" s="235"/>
      <c r="AG96" s="235"/>
      <c r="AH96" s="235"/>
      <c r="AI96" s="268"/>
      <c r="AJ96" s="8"/>
      <c r="AK96" s="436">
        <f>AJ96/VPI!R96</f>
        <v>0</v>
      </c>
      <c r="AL96" s="438">
        <f t="shared" si="7"/>
        <v>0</v>
      </c>
      <c r="AM96" s="436">
        <f>AL96/VPI!R96</f>
        <v>0</v>
      </c>
      <c r="AN96" s="8"/>
      <c r="AO96" s="268"/>
      <c r="AP96" s="522">
        <v>29.61977603186622</v>
      </c>
      <c r="AR96" s="539">
        <v>0</v>
      </c>
    </row>
    <row r="97" spans="1:44" x14ac:dyDescent="0.25">
      <c r="A97" s="190">
        <v>5560</v>
      </c>
      <c r="B97" s="440" t="s">
        <v>40</v>
      </c>
      <c r="C97" s="528">
        <v>519910.96</v>
      </c>
      <c r="D97" s="528">
        <v>53106.58</v>
      </c>
      <c r="E97" s="528"/>
      <c r="F97" s="529"/>
      <c r="G97" s="528">
        <v>3264.7</v>
      </c>
      <c r="H97" s="528">
        <v>193.1</v>
      </c>
      <c r="I97" s="528"/>
      <c r="J97" s="528">
        <v>15847.25</v>
      </c>
      <c r="K97" s="528">
        <v>848</v>
      </c>
      <c r="L97" s="528">
        <v>44238.45</v>
      </c>
      <c r="M97" s="491">
        <f t="shared" si="4"/>
        <v>637409.03999999992</v>
      </c>
      <c r="N97" s="241">
        <v>0</v>
      </c>
      <c r="O97" s="241">
        <v>276.10000000000002</v>
      </c>
      <c r="P97" s="241">
        <v>19579.2</v>
      </c>
      <c r="Q97" s="241">
        <v>1592.27</v>
      </c>
      <c r="R97" s="241">
        <v>33441.699999999997</v>
      </c>
      <c r="S97" s="528">
        <v>361.36</v>
      </c>
      <c r="T97" s="491">
        <f t="shared" si="5"/>
        <v>692659.66999999981</v>
      </c>
      <c r="U97" s="237">
        <v>-636.38</v>
      </c>
      <c r="V97" s="241"/>
      <c r="W97" s="241">
        <v>0</v>
      </c>
      <c r="X97" s="533">
        <v>71</v>
      </c>
      <c r="Y97" s="536">
        <v>1</v>
      </c>
      <c r="Z97" s="213">
        <v>237</v>
      </c>
      <c r="AA97" s="265"/>
      <c r="AB97" s="235"/>
      <c r="AC97" s="436">
        <f>AB97/VPI!R97</f>
        <v>0</v>
      </c>
      <c r="AD97" s="438">
        <f t="shared" si="6"/>
        <v>0</v>
      </c>
      <c r="AE97" s="436">
        <f>AD97/VPI!R97</f>
        <v>0</v>
      </c>
      <c r="AF97" s="235"/>
      <c r="AG97" s="235"/>
      <c r="AH97" s="235"/>
      <c r="AI97" s="268"/>
      <c r="AJ97" s="8"/>
      <c r="AK97" s="436">
        <f>AJ97/VPI!R97</f>
        <v>0</v>
      </c>
      <c r="AL97" s="438">
        <f t="shared" si="7"/>
        <v>0</v>
      </c>
      <c r="AM97" s="436">
        <f>AL97/VPI!R97</f>
        <v>0</v>
      </c>
      <c r="AN97" s="8"/>
      <c r="AO97" s="268"/>
      <c r="AP97" s="522">
        <v>14.712205279572171</v>
      </c>
      <c r="AR97" s="539">
        <v>0</v>
      </c>
    </row>
    <row r="98" spans="1:44" x14ac:dyDescent="0.25">
      <c r="A98" s="190">
        <v>5561</v>
      </c>
      <c r="B98" s="440" t="s">
        <v>41</v>
      </c>
      <c r="C98" s="528">
        <v>6397417.0499999998</v>
      </c>
      <c r="D98" s="528">
        <v>1775420.39</v>
      </c>
      <c r="E98" s="528"/>
      <c r="F98" s="529"/>
      <c r="G98" s="528">
        <v>224410.45</v>
      </c>
      <c r="H98" s="528">
        <v>8389.1</v>
      </c>
      <c r="I98" s="528"/>
      <c r="J98" s="528">
        <v>117291.84</v>
      </c>
      <c r="K98" s="528">
        <v>51810.55</v>
      </c>
      <c r="L98" s="528">
        <v>653055.30000000005</v>
      </c>
      <c r="M98" s="491">
        <f t="shared" si="4"/>
        <v>9227794.6799999997</v>
      </c>
      <c r="N98" s="241">
        <v>389122</v>
      </c>
      <c r="O98" s="241">
        <v>190582.8</v>
      </c>
      <c r="P98" s="241">
        <v>246820.6</v>
      </c>
      <c r="Q98" s="241">
        <v>22316.87</v>
      </c>
      <c r="R98" s="241">
        <v>212566.15</v>
      </c>
      <c r="S98" s="528">
        <v>24328.75</v>
      </c>
      <c r="T98" s="491">
        <f t="shared" si="5"/>
        <v>10313531.85</v>
      </c>
      <c r="U98" s="237">
        <v>-139695.73000000001</v>
      </c>
      <c r="V98" s="241"/>
      <c r="W98" s="241">
        <v>-794.64</v>
      </c>
      <c r="X98" s="533">
        <v>69</v>
      </c>
      <c r="Y98" s="536">
        <v>1</v>
      </c>
      <c r="Z98" s="213">
        <v>3359</v>
      </c>
      <c r="AA98" s="265"/>
      <c r="AB98" s="235"/>
      <c r="AC98" s="436">
        <f>AB98/VPI!R98</f>
        <v>0</v>
      </c>
      <c r="AD98" s="438">
        <f t="shared" si="6"/>
        <v>0</v>
      </c>
      <c r="AE98" s="436">
        <f>AD98/VPI!R98</f>
        <v>0</v>
      </c>
      <c r="AF98" s="235"/>
      <c r="AG98" s="235"/>
      <c r="AH98" s="235"/>
      <c r="AI98" s="268"/>
      <c r="AJ98" s="8"/>
      <c r="AK98" s="436">
        <f>AJ98/VPI!R98</f>
        <v>0</v>
      </c>
      <c r="AL98" s="438">
        <f t="shared" si="7"/>
        <v>0</v>
      </c>
      <c r="AM98" s="436">
        <f>AL98/VPI!R98</f>
        <v>0</v>
      </c>
      <c r="AN98" s="8"/>
      <c r="AO98" s="268"/>
      <c r="AP98" s="522">
        <v>14.033166731542035</v>
      </c>
      <c r="AR98" s="539">
        <v>0</v>
      </c>
    </row>
    <row r="99" spans="1:44" x14ac:dyDescent="0.25">
      <c r="A99" s="190">
        <v>5562</v>
      </c>
      <c r="B99" s="440" t="s">
        <v>42</v>
      </c>
      <c r="C99" s="528">
        <v>158684.51999999999</v>
      </c>
      <c r="D99" s="528">
        <v>120006.13</v>
      </c>
      <c r="E99" s="528"/>
      <c r="F99" s="529">
        <v>890</v>
      </c>
      <c r="G99" s="528">
        <v>2939.85</v>
      </c>
      <c r="H99" s="528">
        <v>99.9</v>
      </c>
      <c r="I99" s="528"/>
      <c r="J99" s="528">
        <v>12079.41</v>
      </c>
      <c r="K99" s="528">
        <v>-4515.5</v>
      </c>
      <c r="L99" s="528">
        <v>39090.85</v>
      </c>
      <c r="M99" s="491">
        <f t="shared" si="4"/>
        <v>329275.15999999997</v>
      </c>
      <c r="N99" s="241">
        <v>0</v>
      </c>
      <c r="O99" s="241">
        <v>0</v>
      </c>
      <c r="P99" s="241">
        <v>8098</v>
      </c>
      <c r="Q99" s="241">
        <v>3907.3</v>
      </c>
      <c r="R99" s="241"/>
      <c r="S99" s="528">
        <v>317.67</v>
      </c>
      <c r="T99" s="491">
        <f t="shared" si="5"/>
        <v>341598.12999999995</v>
      </c>
      <c r="U99" s="237">
        <v>-7794</v>
      </c>
      <c r="V99" s="241"/>
      <c r="W99" s="241">
        <v>-1.45</v>
      </c>
      <c r="X99" s="533">
        <v>70</v>
      </c>
      <c r="Y99" s="536">
        <v>1.2</v>
      </c>
      <c r="Z99" s="213">
        <v>138</v>
      </c>
      <c r="AA99" s="265"/>
      <c r="AB99" s="235"/>
      <c r="AC99" s="436">
        <f>AB99/VPI!R99</f>
        <v>0</v>
      </c>
      <c r="AD99" s="438">
        <f t="shared" si="6"/>
        <v>0</v>
      </c>
      <c r="AE99" s="436">
        <f>AD99/VPI!R99</f>
        <v>0</v>
      </c>
      <c r="AF99" s="235"/>
      <c r="AG99" s="235"/>
      <c r="AH99" s="235"/>
      <c r="AI99" s="268"/>
      <c r="AJ99" s="8"/>
      <c r="AK99" s="436">
        <f>AJ99/VPI!R99</f>
        <v>0</v>
      </c>
      <c r="AL99" s="438">
        <f t="shared" si="7"/>
        <v>0</v>
      </c>
      <c r="AM99" s="436">
        <f>AL99/VPI!R99</f>
        <v>0</v>
      </c>
      <c r="AN99" s="8"/>
      <c r="AO99" s="268"/>
      <c r="AP99" s="522">
        <v>26.349277969841719</v>
      </c>
      <c r="AR99" s="539">
        <v>0</v>
      </c>
    </row>
    <row r="100" spans="1:44" x14ac:dyDescent="0.25">
      <c r="A100" s="190">
        <v>5563</v>
      </c>
      <c r="B100" s="440" t="s">
        <v>244</v>
      </c>
      <c r="C100" s="528">
        <v>130248.18</v>
      </c>
      <c r="D100" s="528">
        <v>28437.74</v>
      </c>
      <c r="E100" s="528"/>
      <c r="F100" s="529">
        <v>546</v>
      </c>
      <c r="G100" s="528">
        <v>515.79999999999995</v>
      </c>
      <c r="H100" s="528">
        <v>77.8</v>
      </c>
      <c r="I100" s="528">
        <v>0</v>
      </c>
      <c r="J100" s="528">
        <v>4436.9799999999996</v>
      </c>
      <c r="K100" s="528">
        <v>0</v>
      </c>
      <c r="L100" s="528">
        <v>21938.55</v>
      </c>
      <c r="M100" s="491">
        <f t="shared" si="4"/>
        <v>186201.04999999996</v>
      </c>
      <c r="N100" s="241">
        <v>0</v>
      </c>
      <c r="O100" s="241">
        <v>38.6</v>
      </c>
      <c r="P100" s="241">
        <v>26661.8</v>
      </c>
      <c r="Q100" s="241">
        <v>0</v>
      </c>
      <c r="R100" s="241">
        <v>34994.35</v>
      </c>
      <c r="S100" s="528">
        <v>62.03</v>
      </c>
      <c r="T100" s="491">
        <f t="shared" si="5"/>
        <v>247957.82999999996</v>
      </c>
      <c r="U100" s="237">
        <v>-3632.59</v>
      </c>
      <c r="V100" s="241"/>
      <c r="W100" s="241">
        <v>-45.35</v>
      </c>
      <c r="X100" s="533">
        <v>80</v>
      </c>
      <c r="Y100" s="536">
        <v>1</v>
      </c>
      <c r="Z100" s="213">
        <v>151</v>
      </c>
      <c r="AA100" s="265"/>
      <c r="AB100" s="235"/>
      <c r="AC100" s="436">
        <f>AB100/VPI!R100</f>
        <v>0</v>
      </c>
      <c r="AD100" s="438">
        <f t="shared" si="6"/>
        <v>0</v>
      </c>
      <c r="AE100" s="436">
        <f>AD100/VPI!R100</f>
        <v>0</v>
      </c>
      <c r="AF100" s="235"/>
      <c r="AG100" s="235"/>
      <c r="AH100" s="235"/>
      <c r="AI100" s="268"/>
      <c r="AJ100" s="8"/>
      <c r="AK100" s="436">
        <f>AJ100/VPI!R100</f>
        <v>0</v>
      </c>
      <c r="AL100" s="438">
        <f t="shared" si="7"/>
        <v>0</v>
      </c>
      <c r="AM100" s="436">
        <f>AL100/VPI!R100</f>
        <v>0</v>
      </c>
      <c r="AN100" s="8"/>
      <c r="AO100" s="268"/>
      <c r="AP100" s="522">
        <v>8.3987694668071882</v>
      </c>
      <c r="AR100" s="539">
        <v>0</v>
      </c>
    </row>
    <row r="101" spans="1:44" x14ac:dyDescent="0.25">
      <c r="A101" s="190">
        <v>5564</v>
      </c>
      <c r="B101" s="440" t="s">
        <v>245</v>
      </c>
      <c r="C101" s="528">
        <v>166924.92000000001</v>
      </c>
      <c r="D101" s="528">
        <v>18359.759999999998</v>
      </c>
      <c r="E101" s="528"/>
      <c r="F101" s="529"/>
      <c r="G101" s="528">
        <v>26.25</v>
      </c>
      <c r="H101" s="528">
        <v>13.7</v>
      </c>
      <c r="I101" s="528"/>
      <c r="J101" s="528"/>
      <c r="K101" s="528"/>
      <c r="L101" s="528">
        <v>11414.45</v>
      </c>
      <c r="M101" s="491">
        <f t="shared" si="4"/>
        <v>196739.08000000005</v>
      </c>
      <c r="N101" s="241">
        <v>0</v>
      </c>
      <c r="O101" s="241">
        <v>0</v>
      </c>
      <c r="P101" s="241">
        <v>0</v>
      </c>
      <c r="Q101" s="241">
        <v>0</v>
      </c>
      <c r="R101" s="241">
        <v>0</v>
      </c>
      <c r="S101" s="528">
        <v>4.17</v>
      </c>
      <c r="T101" s="491">
        <f t="shared" si="5"/>
        <v>196743.25000000006</v>
      </c>
      <c r="U101" s="237">
        <v>-5882.55</v>
      </c>
      <c r="V101" s="241"/>
      <c r="W101" s="241">
        <v>0</v>
      </c>
      <c r="X101" s="533">
        <v>76</v>
      </c>
      <c r="Y101" s="536">
        <v>0.8</v>
      </c>
      <c r="Z101" s="213">
        <v>99</v>
      </c>
      <c r="AA101" s="265"/>
      <c r="AB101" s="235"/>
      <c r="AC101" s="436">
        <f>AB101/VPI!R101</f>
        <v>0</v>
      </c>
      <c r="AD101" s="438">
        <f t="shared" si="6"/>
        <v>0</v>
      </c>
      <c r="AE101" s="436">
        <f>AD101/VPI!R101</f>
        <v>0</v>
      </c>
      <c r="AF101" s="235"/>
      <c r="AG101" s="235"/>
      <c r="AH101" s="235"/>
      <c r="AI101" s="268"/>
      <c r="AJ101" s="8"/>
      <c r="AK101" s="436">
        <f>AJ101/VPI!R101</f>
        <v>0</v>
      </c>
      <c r="AL101" s="438">
        <f t="shared" si="7"/>
        <v>0</v>
      </c>
      <c r="AM101" s="436">
        <f>AL101/VPI!R101</f>
        <v>0</v>
      </c>
      <c r="AN101" s="8"/>
      <c r="AO101" s="268"/>
      <c r="AP101" s="522">
        <v>-6.9625101970631746</v>
      </c>
      <c r="AR101" s="539">
        <v>0</v>
      </c>
    </row>
    <row r="102" spans="1:44" x14ac:dyDescent="0.25">
      <c r="A102" s="190">
        <v>5565</v>
      </c>
      <c r="B102" s="440" t="s">
        <v>246</v>
      </c>
      <c r="C102" s="528">
        <v>719415.99</v>
      </c>
      <c r="D102" s="528">
        <v>104989.55</v>
      </c>
      <c r="E102" s="528"/>
      <c r="F102" s="529"/>
      <c r="G102" s="528">
        <v>-124487.15</v>
      </c>
      <c r="H102" s="528">
        <v>-99480.05</v>
      </c>
      <c r="I102" s="528"/>
      <c r="J102" s="528">
        <v>10082.75</v>
      </c>
      <c r="K102" s="528">
        <v>24489.35</v>
      </c>
      <c r="L102" s="528">
        <v>130356.95</v>
      </c>
      <c r="M102" s="491">
        <f t="shared" si="4"/>
        <v>765367.3899999999</v>
      </c>
      <c r="N102" s="241">
        <v>33324.1</v>
      </c>
      <c r="O102" s="241"/>
      <c r="P102" s="241">
        <v>39770.5</v>
      </c>
      <c r="Q102" s="241"/>
      <c r="R102" s="241">
        <v>17535.2</v>
      </c>
      <c r="S102" s="528">
        <v>-23405.72</v>
      </c>
      <c r="T102" s="491">
        <f t="shared" si="5"/>
        <v>832591.46999999986</v>
      </c>
      <c r="U102" s="237">
        <v>-1599.16</v>
      </c>
      <c r="V102" s="241"/>
      <c r="W102" s="241">
        <v>-35</v>
      </c>
      <c r="X102" s="533">
        <v>63.5</v>
      </c>
      <c r="Y102" s="536">
        <v>1</v>
      </c>
      <c r="Z102" s="213">
        <v>496</v>
      </c>
      <c r="AA102" s="265"/>
      <c r="AB102" s="235"/>
      <c r="AC102" s="436">
        <f>AB102/VPI!R102</f>
        <v>0</v>
      </c>
      <c r="AD102" s="438">
        <f t="shared" si="6"/>
        <v>0</v>
      </c>
      <c r="AE102" s="436">
        <f>AD102/VPI!R102</f>
        <v>0</v>
      </c>
      <c r="AF102" s="235"/>
      <c r="AG102" s="235"/>
      <c r="AH102" s="235"/>
      <c r="AI102" s="268"/>
      <c r="AJ102" s="8"/>
      <c r="AK102" s="436">
        <f>AJ102/VPI!R102</f>
        <v>0</v>
      </c>
      <c r="AL102" s="438">
        <f t="shared" si="7"/>
        <v>0</v>
      </c>
      <c r="AM102" s="436">
        <f>AL102/VPI!R102</f>
        <v>0</v>
      </c>
      <c r="AN102" s="8"/>
      <c r="AO102" s="268"/>
      <c r="AP102" s="522">
        <v>27.245096778364012</v>
      </c>
      <c r="AR102" s="539">
        <v>0</v>
      </c>
    </row>
    <row r="103" spans="1:44" x14ac:dyDescent="0.25">
      <c r="A103" s="190">
        <v>5566</v>
      </c>
      <c r="B103" s="440" t="s">
        <v>247</v>
      </c>
      <c r="C103" s="528">
        <v>539931.71</v>
      </c>
      <c r="D103" s="528">
        <v>65732.78</v>
      </c>
      <c r="E103" s="528"/>
      <c r="F103" s="529">
        <v>2730</v>
      </c>
      <c r="G103" s="528">
        <v>11600.3</v>
      </c>
      <c r="H103" s="528">
        <v>2695.85</v>
      </c>
      <c r="I103" s="528"/>
      <c r="J103" s="528">
        <v>12422.1</v>
      </c>
      <c r="K103" s="528">
        <v>2987.05</v>
      </c>
      <c r="L103" s="528">
        <v>84555.95</v>
      </c>
      <c r="M103" s="491">
        <f t="shared" si="4"/>
        <v>722655.74</v>
      </c>
      <c r="N103" s="241">
        <v>14030.45</v>
      </c>
      <c r="O103" s="241">
        <v>10726.4</v>
      </c>
      <c r="P103" s="241">
        <v>33157.300000000003</v>
      </c>
      <c r="Q103" s="241">
        <v>298.69</v>
      </c>
      <c r="R103" s="241">
        <v>25570.45</v>
      </c>
      <c r="S103" s="528">
        <v>1494.02</v>
      </c>
      <c r="T103" s="491">
        <f t="shared" si="5"/>
        <v>807933.04999999993</v>
      </c>
      <c r="U103" s="237">
        <v>-5344.53</v>
      </c>
      <c r="V103" s="241"/>
      <c r="W103" s="241">
        <v>-76.099999999999994</v>
      </c>
      <c r="X103" s="533">
        <v>81</v>
      </c>
      <c r="Y103" s="536">
        <v>1.5</v>
      </c>
      <c r="Z103" s="213">
        <v>403</v>
      </c>
      <c r="AA103" s="265"/>
      <c r="AB103" s="235"/>
      <c r="AC103" s="436">
        <f>AB103/VPI!R103</f>
        <v>0</v>
      </c>
      <c r="AD103" s="438">
        <f t="shared" si="6"/>
        <v>0</v>
      </c>
      <c r="AE103" s="436">
        <f>AD103/VPI!R103</f>
        <v>0</v>
      </c>
      <c r="AF103" s="235"/>
      <c r="AG103" s="235"/>
      <c r="AH103" s="235"/>
      <c r="AI103" s="268"/>
      <c r="AJ103" s="8"/>
      <c r="AK103" s="436">
        <f>AJ103/VPI!R103</f>
        <v>0</v>
      </c>
      <c r="AL103" s="438">
        <f t="shared" si="7"/>
        <v>0</v>
      </c>
      <c r="AM103" s="436">
        <f>AL103/VPI!R103</f>
        <v>0</v>
      </c>
      <c r="AN103" s="8"/>
      <c r="AO103" s="268"/>
      <c r="AP103" s="522">
        <v>-2.7956895930347136</v>
      </c>
      <c r="AR103" s="539">
        <v>0</v>
      </c>
    </row>
    <row r="104" spans="1:44" x14ac:dyDescent="0.25">
      <c r="A104" s="190">
        <v>5568</v>
      </c>
      <c r="B104" s="440" t="s">
        <v>107</v>
      </c>
      <c r="C104" s="528">
        <v>5646190.29</v>
      </c>
      <c r="D104" s="528">
        <v>868117.01</v>
      </c>
      <c r="E104" s="528"/>
      <c r="F104" s="529"/>
      <c r="G104" s="528">
        <v>144826.54999999999</v>
      </c>
      <c r="H104" s="528">
        <v>6590.15</v>
      </c>
      <c r="I104" s="528">
        <v>38315.550000000003</v>
      </c>
      <c r="J104" s="528">
        <v>143181.76000000001</v>
      </c>
      <c r="K104" s="528">
        <v>31363.599999999999</v>
      </c>
      <c r="L104" s="528">
        <v>670655.55000000005</v>
      </c>
      <c r="M104" s="491">
        <f t="shared" si="4"/>
        <v>7549240.459999999</v>
      </c>
      <c r="N104" s="241">
        <v>2185427.75</v>
      </c>
      <c r="O104" s="241">
        <v>144280.5</v>
      </c>
      <c r="P104" s="241">
        <v>465362.8</v>
      </c>
      <c r="Q104" s="241">
        <v>22621.75</v>
      </c>
      <c r="R104" s="241">
        <v>232933.1</v>
      </c>
      <c r="S104" s="528">
        <v>15823.82</v>
      </c>
      <c r="T104" s="491">
        <f t="shared" si="5"/>
        <v>10615690.18</v>
      </c>
      <c r="U104" s="237">
        <v>-164867.07</v>
      </c>
      <c r="V104" s="241"/>
      <c r="W104" s="241">
        <v>-2471.1</v>
      </c>
      <c r="X104" s="533">
        <v>70</v>
      </c>
      <c r="Y104" s="536">
        <v>1</v>
      </c>
      <c r="Z104" s="213">
        <v>4869</v>
      </c>
      <c r="AA104" s="265"/>
      <c r="AB104" s="235"/>
      <c r="AC104" s="436">
        <f>AB104/VPI!R104</f>
        <v>0</v>
      </c>
      <c r="AD104" s="438">
        <f t="shared" si="6"/>
        <v>0</v>
      </c>
      <c r="AE104" s="436">
        <f>AD104/VPI!R104</f>
        <v>0</v>
      </c>
      <c r="AF104" s="235"/>
      <c r="AG104" s="235"/>
      <c r="AH104" s="235"/>
      <c r="AI104" s="268"/>
      <c r="AJ104" s="8"/>
      <c r="AK104" s="436">
        <f>AJ104/VPI!R104</f>
        <v>0</v>
      </c>
      <c r="AL104" s="438">
        <f t="shared" si="7"/>
        <v>0</v>
      </c>
      <c r="AM104" s="436">
        <f>AL104/VPI!R104</f>
        <v>0</v>
      </c>
      <c r="AN104" s="8"/>
      <c r="AO104" s="268"/>
      <c r="AP104" s="522">
        <v>-8.9442429573928663</v>
      </c>
      <c r="AR104" s="539">
        <v>0</v>
      </c>
    </row>
    <row r="105" spans="1:44" x14ac:dyDescent="0.25">
      <c r="A105" s="190">
        <v>5571</v>
      </c>
      <c r="B105" s="440" t="s">
        <v>343</v>
      </c>
      <c r="C105" s="528">
        <v>1501680.62</v>
      </c>
      <c r="D105" s="528">
        <v>169786.94</v>
      </c>
      <c r="E105" s="528"/>
      <c r="F105" s="529"/>
      <c r="G105" s="528">
        <v>6398.2</v>
      </c>
      <c r="H105" s="528">
        <v>459</v>
      </c>
      <c r="I105" s="528"/>
      <c r="J105" s="528">
        <v>-698</v>
      </c>
      <c r="K105" s="528">
        <v>8766.2000000000007</v>
      </c>
      <c r="L105" s="528">
        <v>204998.5</v>
      </c>
      <c r="M105" s="491">
        <f t="shared" si="4"/>
        <v>1891391.46</v>
      </c>
      <c r="N105" s="241">
        <v>51701.55</v>
      </c>
      <c r="O105" s="241">
        <v>4191</v>
      </c>
      <c r="P105" s="241">
        <v>48180</v>
      </c>
      <c r="Q105" s="241">
        <v>2632.3</v>
      </c>
      <c r="R105" s="241">
        <v>30107.75</v>
      </c>
      <c r="S105" s="528">
        <v>716.61</v>
      </c>
      <c r="T105" s="491">
        <f t="shared" si="5"/>
        <v>2028920.6700000002</v>
      </c>
      <c r="U105" s="237">
        <v>-7231.34</v>
      </c>
      <c r="V105" s="241">
        <v>-991.5</v>
      </c>
      <c r="W105" s="241">
        <v>0</v>
      </c>
      <c r="X105" s="533">
        <v>71.5</v>
      </c>
      <c r="Y105" s="536">
        <v>1.2</v>
      </c>
      <c r="Z105" s="213">
        <v>867</v>
      </c>
      <c r="AA105" s="265"/>
      <c r="AB105" s="235"/>
      <c r="AC105" s="436">
        <f>AB105/VPI!R105</f>
        <v>0</v>
      </c>
      <c r="AD105" s="438">
        <f t="shared" si="6"/>
        <v>0</v>
      </c>
      <c r="AE105" s="436">
        <f>AD105/VPI!R105</f>
        <v>0</v>
      </c>
      <c r="AF105" s="235"/>
      <c r="AG105" s="235"/>
      <c r="AH105" s="235"/>
      <c r="AI105" s="268"/>
      <c r="AJ105" s="8"/>
      <c r="AK105" s="436">
        <f>AJ105/VPI!R105</f>
        <v>0</v>
      </c>
      <c r="AL105" s="438">
        <f t="shared" si="7"/>
        <v>0</v>
      </c>
      <c r="AM105" s="436">
        <f>AL105/VPI!R105</f>
        <v>0</v>
      </c>
      <c r="AN105" s="8"/>
      <c r="AO105" s="268"/>
      <c r="AP105" s="522">
        <v>12.471425773522258</v>
      </c>
      <c r="AR105" s="539">
        <v>0</v>
      </c>
    </row>
    <row r="106" spans="1:44" x14ac:dyDescent="0.25">
      <c r="A106" s="190">
        <v>5581</v>
      </c>
      <c r="B106" s="440" t="s">
        <v>317</v>
      </c>
      <c r="C106" s="528">
        <v>13104990.789999999</v>
      </c>
      <c r="D106" s="528">
        <v>2170919.02</v>
      </c>
      <c r="E106" s="528"/>
      <c r="F106" s="529"/>
      <c r="G106" s="528">
        <v>297529</v>
      </c>
      <c r="H106" s="528">
        <v>19397.45</v>
      </c>
      <c r="I106" s="528">
        <v>94218.85</v>
      </c>
      <c r="J106" s="528">
        <v>163782.16</v>
      </c>
      <c r="K106" s="528">
        <v>35901.599999999999</v>
      </c>
      <c r="L106" s="528">
        <v>1498346.1</v>
      </c>
      <c r="M106" s="491">
        <f t="shared" si="4"/>
        <v>17385084.969999999</v>
      </c>
      <c r="N106" s="241">
        <v>7195.2</v>
      </c>
      <c r="O106" s="241">
        <v>16400.8</v>
      </c>
      <c r="P106" s="241">
        <v>600886.55000000005</v>
      </c>
      <c r="Q106" s="241">
        <v>-18915.02</v>
      </c>
      <c r="R106" s="241">
        <v>617325.80000000005</v>
      </c>
      <c r="S106" s="528">
        <v>33120.44</v>
      </c>
      <c r="T106" s="491">
        <f t="shared" si="5"/>
        <v>18641098.740000002</v>
      </c>
      <c r="U106" s="237">
        <v>-61138.37</v>
      </c>
      <c r="V106" s="241"/>
      <c r="W106" s="241">
        <v>-11449.17</v>
      </c>
      <c r="X106" s="533">
        <v>72</v>
      </c>
      <c r="Y106" s="536">
        <v>1.5</v>
      </c>
      <c r="Z106" s="213">
        <v>3838</v>
      </c>
      <c r="AA106" s="265"/>
      <c r="AB106" s="235"/>
      <c r="AC106" s="436">
        <f>AB106/VPI!R106</f>
        <v>0</v>
      </c>
      <c r="AD106" s="438">
        <f t="shared" si="6"/>
        <v>0</v>
      </c>
      <c r="AE106" s="436">
        <f>AD106/VPI!R106</f>
        <v>0</v>
      </c>
      <c r="AF106" s="235"/>
      <c r="AG106" s="235"/>
      <c r="AH106" s="235"/>
      <c r="AI106" s="268"/>
      <c r="AJ106" s="8"/>
      <c r="AK106" s="436">
        <f>AJ106/VPI!R106</f>
        <v>0</v>
      </c>
      <c r="AL106" s="438">
        <f t="shared" si="7"/>
        <v>0</v>
      </c>
      <c r="AM106" s="436">
        <f>AL106/VPI!R106</f>
        <v>0</v>
      </c>
      <c r="AN106" s="8"/>
      <c r="AO106" s="268"/>
      <c r="AP106" s="522">
        <v>26.891514039137668</v>
      </c>
      <c r="AR106" s="539">
        <v>1</v>
      </c>
    </row>
    <row r="107" spans="1:44" x14ac:dyDescent="0.25">
      <c r="A107" s="190">
        <v>5582</v>
      </c>
      <c r="B107" s="440" t="s">
        <v>318</v>
      </c>
      <c r="C107" s="528">
        <v>9117824.3300000001</v>
      </c>
      <c r="D107" s="528">
        <v>1122404.81</v>
      </c>
      <c r="E107" s="528"/>
      <c r="F107" s="529"/>
      <c r="G107" s="528">
        <v>315191.5</v>
      </c>
      <c r="H107" s="528">
        <v>282550.8</v>
      </c>
      <c r="I107" s="528"/>
      <c r="J107" s="528">
        <v>338951.18</v>
      </c>
      <c r="K107" s="528">
        <v>126869.85</v>
      </c>
      <c r="L107" s="528">
        <v>992794.45</v>
      </c>
      <c r="M107" s="491">
        <f t="shared" si="4"/>
        <v>12296586.92</v>
      </c>
      <c r="N107" s="241">
        <v>473500.2</v>
      </c>
      <c r="O107" s="241">
        <v>34275.800000000003</v>
      </c>
      <c r="P107" s="241">
        <v>388512.15</v>
      </c>
      <c r="Q107" s="241">
        <v>152371.28</v>
      </c>
      <c r="R107" s="241">
        <v>185015.5</v>
      </c>
      <c r="S107" s="528">
        <v>62467.14</v>
      </c>
      <c r="T107" s="491">
        <f t="shared" si="5"/>
        <v>13592728.99</v>
      </c>
      <c r="U107" s="237">
        <v>-66148.649999999994</v>
      </c>
      <c r="V107" s="241"/>
      <c r="W107" s="241">
        <v>-3974.96</v>
      </c>
      <c r="X107" s="533">
        <v>73</v>
      </c>
      <c r="Y107" s="536">
        <v>1</v>
      </c>
      <c r="Z107" s="213">
        <v>4527</v>
      </c>
      <c r="AA107" s="265"/>
      <c r="AB107" s="235"/>
      <c r="AC107" s="436">
        <f>AB107/VPI!R107</f>
        <v>0</v>
      </c>
      <c r="AD107" s="438">
        <f t="shared" si="6"/>
        <v>0</v>
      </c>
      <c r="AE107" s="436">
        <f>AD107/VPI!R107</f>
        <v>0</v>
      </c>
      <c r="AF107" s="235"/>
      <c r="AG107" s="235"/>
      <c r="AH107" s="235"/>
      <c r="AI107" s="268"/>
      <c r="AJ107" s="8"/>
      <c r="AK107" s="436">
        <f>AJ107/VPI!R107</f>
        <v>0</v>
      </c>
      <c r="AL107" s="438">
        <f t="shared" si="7"/>
        <v>0</v>
      </c>
      <c r="AM107" s="436">
        <f>AL107/VPI!R107</f>
        <v>0</v>
      </c>
      <c r="AN107" s="8"/>
      <c r="AO107" s="268"/>
      <c r="AP107" s="522">
        <v>15.548945625009488</v>
      </c>
      <c r="AR107" s="539">
        <v>0</v>
      </c>
    </row>
    <row r="108" spans="1:44" x14ac:dyDescent="0.25">
      <c r="A108" s="190">
        <v>5583</v>
      </c>
      <c r="B108" s="440" t="s">
        <v>319</v>
      </c>
      <c r="C108" s="528">
        <v>12370737.34</v>
      </c>
      <c r="D108" s="528">
        <v>1726557.72</v>
      </c>
      <c r="E108" s="528"/>
      <c r="F108" s="529"/>
      <c r="G108" s="528">
        <v>2974353.05</v>
      </c>
      <c r="H108" s="528">
        <v>351879.55</v>
      </c>
      <c r="I108" s="528"/>
      <c r="J108" s="528">
        <v>1059721.76</v>
      </c>
      <c r="K108" s="528">
        <v>373598.6</v>
      </c>
      <c r="L108" s="528">
        <v>2583288.2999999998</v>
      </c>
      <c r="M108" s="491">
        <f t="shared" si="4"/>
        <v>21440136.320000004</v>
      </c>
      <c r="N108" s="241">
        <v>2567265.7999999998</v>
      </c>
      <c r="O108" s="241">
        <v>67534.05</v>
      </c>
      <c r="P108" s="241">
        <v>2117957.9500000002</v>
      </c>
      <c r="Q108" s="241">
        <v>134384.76999999999</v>
      </c>
      <c r="R108" s="241">
        <v>691127.5</v>
      </c>
      <c r="S108" s="528">
        <v>347608.38</v>
      </c>
      <c r="T108" s="491">
        <f t="shared" si="5"/>
        <v>27366014.770000003</v>
      </c>
      <c r="U108" s="237">
        <v>-297820.19</v>
      </c>
      <c r="V108" s="241"/>
      <c r="W108" s="241">
        <v>-2778.7</v>
      </c>
      <c r="X108" s="533">
        <v>63.5</v>
      </c>
      <c r="Y108" s="536">
        <v>1</v>
      </c>
      <c r="Z108" s="213">
        <v>9165</v>
      </c>
      <c r="AA108" s="265"/>
      <c r="AB108" s="235"/>
      <c r="AC108" s="436">
        <f>AB108/VPI!R108</f>
        <v>0</v>
      </c>
      <c r="AD108" s="438">
        <f t="shared" si="6"/>
        <v>0</v>
      </c>
      <c r="AE108" s="436">
        <f>AD108/VPI!R108</f>
        <v>0</v>
      </c>
      <c r="AF108" s="235"/>
      <c r="AG108" s="235"/>
      <c r="AH108" s="235"/>
      <c r="AI108" s="268"/>
      <c r="AJ108" s="8"/>
      <c r="AK108" s="436">
        <f>AJ108/VPI!R108</f>
        <v>0</v>
      </c>
      <c r="AL108" s="438">
        <f t="shared" si="7"/>
        <v>0</v>
      </c>
      <c r="AM108" s="436">
        <f>AL108/VPI!R108</f>
        <v>0</v>
      </c>
      <c r="AN108" s="8"/>
      <c r="AO108" s="268"/>
      <c r="AP108" s="522">
        <v>13.792501929457579</v>
      </c>
      <c r="AR108" s="539">
        <v>1</v>
      </c>
    </row>
    <row r="109" spans="1:44" x14ac:dyDescent="0.25">
      <c r="A109" s="190">
        <v>5584</v>
      </c>
      <c r="B109" s="440" t="s">
        <v>320</v>
      </c>
      <c r="C109" s="528">
        <v>21640754.899999999</v>
      </c>
      <c r="D109" s="528">
        <v>4578820.9800000004</v>
      </c>
      <c r="E109" s="528"/>
      <c r="F109" s="529"/>
      <c r="G109" s="528">
        <v>1295637</v>
      </c>
      <c r="H109" s="528">
        <v>397475.1</v>
      </c>
      <c r="I109" s="528">
        <v>384606.3</v>
      </c>
      <c r="J109" s="528">
        <v>624375.05000000005</v>
      </c>
      <c r="K109" s="528">
        <v>342617.05</v>
      </c>
      <c r="L109" s="528">
        <v>2428685.31</v>
      </c>
      <c r="M109" s="491">
        <f t="shared" si="4"/>
        <v>31692971.690000001</v>
      </c>
      <c r="N109" s="241">
        <v>351357.3</v>
      </c>
      <c r="O109" s="241">
        <v>2252594.5</v>
      </c>
      <c r="P109" s="241">
        <v>891041.3</v>
      </c>
      <c r="Q109" s="241">
        <v>230723.20000000001</v>
      </c>
      <c r="R109" s="241">
        <v>1562752.1</v>
      </c>
      <c r="S109" s="528">
        <v>176938.91</v>
      </c>
      <c r="T109" s="491">
        <f t="shared" si="5"/>
        <v>37158379</v>
      </c>
      <c r="U109" s="237">
        <v>-462529.99</v>
      </c>
      <c r="V109" s="241"/>
      <c r="W109" s="241">
        <v>-48182.400000000001</v>
      </c>
      <c r="X109" s="533">
        <v>64.5</v>
      </c>
      <c r="Y109" s="536">
        <v>1</v>
      </c>
      <c r="Z109" s="213">
        <v>9828</v>
      </c>
      <c r="AA109" s="265"/>
      <c r="AB109" s="235"/>
      <c r="AC109" s="436">
        <f>AB109/VPI!R109</f>
        <v>0</v>
      </c>
      <c r="AD109" s="438">
        <f t="shared" si="6"/>
        <v>0</v>
      </c>
      <c r="AE109" s="436">
        <f>AD109/VPI!R109</f>
        <v>0</v>
      </c>
      <c r="AF109" s="235"/>
      <c r="AG109" s="235"/>
      <c r="AH109" s="235"/>
      <c r="AI109" s="268"/>
      <c r="AJ109" s="8"/>
      <c r="AK109" s="436">
        <f>AJ109/VPI!R109</f>
        <v>0</v>
      </c>
      <c r="AL109" s="438">
        <f t="shared" si="7"/>
        <v>0</v>
      </c>
      <c r="AM109" s="436">
        <f>AL109/VPI!R109</f>
        <v>0</v>
      </c>
      <c r="AN109" s="8"/>
      <c r="AO109" s="268"/>
      <c r="AP109" s="522">
        <v>22.403571554395622</v>
      </c>
      <c r="AR109" s="539">
        <v>0</v>
      </c>
    </row>
    <row r="110" spans="1:44" x14ac:dyDescent="0.25">
      <c r="A110" s="190">
        <v>5585</v>
      </c>
      <c r="B110" s="440" t="s">
        <v>321</v>
      </c>
      <c r="C110" s="528">
        <v>7699617.4900000002</v>
      </c>
      <c r="D110" s="528">
        <v>5885359.6699999999</v>
      </c>
      <c r="E110" s="528"/>
      <c r="F110" s="529"/>
      <c r="G110" s="528">
        <v>61070.2</v>
      </c>
      <c r="H110" s="528">
        <v>6923.15</v>
      </c>
      <c r="I110" s="528">
        <v>575098.6</v>
      </c>
      <c r="J110" s="528">
        <v>123355.29</v>
      </c>
      <c r="K110" s="528">
        <v>7799</v>
      </c>
      <c r="L110" s="528">
        <v>591167.35</v>
      </c>
      <c r="M110" s="491">
        <f t="shared" si="4"/>
        <v>14950390.749999998</v>
      </c>
      <c r="N110" s="241">
        <v>770.1</v>
      </c>
      <c r="O110" s="241"/>
      <c r="P110" s="241">
        <v>359717.3</v>
      </c>
      <c r="Q110" s="241">
        <v>12084.04</v>
      </c>
      <c r="R110" s="241">
        <v>375596.25</v>
      </c>
      <c r="S110" s="528">
        <v>7105.65</v>
      </c>
      <c r="T110" s="491">
        <f t="shared" si="5"/>
        <v>15705664.089999998</v>
      </c>
      <c r="U110" s="237">
        <v>-24206.23</v>
      </c>
      <c r="V110" s="241"/>
      <c r="W110" s="241">
        <v>-21529.38</v>
      </c>
      <c r="X110" s="533">
        <v>59</v>
      </c>
      <c r="Y110" s="536">
        <v>1</v>
      </c>
      <c r="Z110" s="213">
        <v>1469</v>
      </c>
      <c r="AA110" s="265"/>
      <c r="AB110" s="235"/>
      <c r="AC110" s="436">
        <f>AB110/VPI!R110</f>
        <v>0</v>
      </c>
      <c r="AD110" s="438">
        <f t="shared" si="6"/>
        <v>0</v>
      </c>
      <c r="AE110" s="436">
        <f>AD110/VPI!R110</f>
        <v>0</v>
      </c>
      <c r="AF110" s="235"/>
      <c r="AG110" s="235"/>
      <c r="AH110" s="235"/>
      <c r="AI110" s="268"/>
      <c r="AJ110" s="8"/>
      <c r="AK110" s="436">
        <f>AJ110/VPI!R110</f>
        <v>0</v>
      </c>
      <c r="AL110" s="438">
        <f t="shared" si="7"/>
        <v>0</v>
      </c>
      <c r="AM110" s="436">
        <f>AL110/VPI!R110</f>
        <v>0</v>
      </c>
      <c r="AN110" s="8"/>
      <c r="AO110" s="268"/>
      <c r="AP110" s="522">
        <v>44.297697793456138</v>
      </c>
      <c r="AR110" s="539">
        <v>0</v>
      </c>
    </row>
    <row r="111" spans="1:44" x14ac:dyDescent="0.25">
      <c r="A111" s="190">
        <v>5586</v>
      </c>
      <c r="B111" s="440" t="s">
        <v>108</v>
      </c>
      <c r="C111" s="528">
        <v>303581563.23000002</v>
      </c>
      <c r="D111" s="528">
        <v>46208749.829999998</v>
      </c>
      <c r="E111" s="528"/>
      <c r="F111" s="529"/>
      <c r="G111" s="528">
        <v>95581505.689999998</v>
      </c>
      <c r="H111" s="528">
        <v>6186282.0499999998</v>
      </c>
      <c r="I111" s="528">
        <v>4416616.38</v>
      </c>
      <c r="J111" s="528">
        <v>26043977.149999999</v>
      </c>
      <c r="K111" s="528">
        <v>6615252.75</v>
      </c>
      <c r="L111" s="528">
        <v>47207561.049999997</v>
      </c>
      <c r="M111" s="491">
        <f t="shared" si="4"/>
        <v>535841508.13</v>
      </c>
      <c r="N111" s="241">
        <v>13587309.25</v>
      </c>
      <c r="O111" s="241">
        <v>14911668.4</v>
      </c>
      <c r="P111" s="241">
        <v>12720517.75</v>
      </c>
      <c r="Q111" s="241">
        <v>2478909.39</v>
      </c>
      <c r="R111" s="241">
        <v>10623425.550000001</v>
      </c>
      <c r="S111" s="528">
        <v>10635256.25</v>
      </c>
      <c r="T111" s="491">
        <f t="shared" si="5"/>
        <v>600798594.71999991</v>
      </c>
      <c r="U111" s="237">
        <v>-7524770.8200000003</v>
      </c>
      <c r="V111" s="241"/>
      <c r="W111" s="241">
        <v>-1986114.97</v>
      </c>
      <c r="X111" s="533">
        <v>78.5</v>
      </c>
      <c r="Y111" s="536">
        <v>1.5</v>
      </c>
      <c r="Z111" s="213">
        <v>141616</v>
      </c>
      <c r="AA111" s="265"/>
      <c r="AB111" s="235"/>
      <c r="AC111" s="436">
        <f>AB111/VPI!R111</f>
        <v>0</v>
      </c>
      <c r="AD111" s="438">
        <f t="shared" si="6"/>
        <v>0</v>
      </c>
      <c r="AE111" s="436">
        <f>AD111/VPI!R111</f>
        <v>0</v>
      </c>
      <c r="AF111" s="235"/>
      <c r="AG111" s="235"/>
      <c r="AH111" s="235"/>
      <c r="AI111" s="268"/>
      <c r="AJ111" s="8"/>
      <c r="AK111" s="436">
        <f>AJ111/VPI!R111</f>
        <v>0</v>
      </c>
      <c r="AL111" s="438">
        <f t="shared" si="7"/>
        <v>0</v>
      </c>
      <c r="AM111" s="436">
        <f>AL111/VPI!R111</f>
        <v>0</v>
      </c>
      <c r="AN111" s="8"/>
      <c r="AO111" s="268"/>
      <c r="AP111" s="522">
        <v>7.5920879495233926</v>
      </c>
      <c r="AR111" s="539">
        <v>1</v>
      </c>
    </row>
    <row r="112" spans="1:44" x14ac:dyDescent="0.25">
      <c r="A112" s="190">
        <v>5587</v>
      </c>
      <c r="B112" s="440" t="s">
        <v>109</v>
      </c>
      <c r="C112" s="528">
        <v>24803526.59</v>
      </c>
      <c r="D112" s="528">
        <v>4401213.04</v>
      </c>
      <c r="E112" s="528"/>
      <c r="F112" s="529"/>
      <c r="G112" s="528">
        <v>1933536.05</v>
      </c>
      <c r="H112" s="528">
        <v>369703.9</v>
      </c>
      <c r="I112" s="528">
        <v>275234.95</v>
      </c>
      <c r="J112" s="528">
        <v>534999.24</v>
      </c>
      <c r="K112" s="528">
        <v>366915.15</v>
      </c>
      <c r="L112" s="528">
        <v>3392273.85</v>
      </c>
      <c r="M112" s="491">
        <f t="shared" si="4"/>
        <v>36077402.769999996</v>
      </c>
      <c r="N112" s="241">
        <v>464624.55</v>
      </c>
      <c r="O112" s="241">
        <v>1921762.6</v>
      </c>
      <c r="P112" s="241">
        <v>1446366.7</v>
      </c>
      <c r="Q112" s="241">
        <v>62316.08</v>
      </c>
      <c r="R112" s="241">
        <v>1048974.6499999999</v>
      </c>
      <c r="S112" s="528">
        <v>240700.4</v>
      </c>
      <c r="T112" s="491">
        <f t="shared" si="5"/>
        <v>41262147.749999993</v>
      </c>
      <c r="U112" s="237">
        <v>-210338.26</v>
      </c>
      <c r="V112" s="241"/>
      <c r="W112" s="241">
        <v>-27002.71</v>
      </c>
      <c r="X112" s="533">
        <v>73.5</v>
      </c>
      <c r="Y112" s="536">
        <v>1.2</v>
      </c>
      <c r="Z112" s="213">
        <v>9301</v>
      </c>
      <c r="AA112" s="265"/>
      <c r="AB112" s="235"/>
      <c r="AC112" s="436">
        <f>AB112/VPI!R112</f>
        <v>0</v>
      </c>
      <c r="AD112" s="438">
        <f t="shared" si="6"/>
        <v>0</v>
      </c>
      <c r="AE112" s="436">
        <f>AD112/VPI!R112</f>
        <v>0</v>
      </c>
      <c r="AF112" s="235"/>
      <c r="AG112" s="235"/>
      <c r="AH112" s="235"/>
      <c r="AI112" s="268"/>
      <c r="AJ112" s="8"/>
      <c r="AK112" s="436">
        <f>AJ112/VPI!R112</f>
        <v>0</v>
      </c>
      <c r="AL112" s="438">
        <f t="shared" si="7"/>
        <v>0</v>
      </c>
      <c r="AM112" s="436">
        <f>AL112/VPI!R112</f>
        <v>0</v>
      </c>
      <c r="AN112" s="8"/>
      <c r="AO112" s="268"/>
      <c r="AP112" s="522">
        <v>23.418616403211388</v>
      </c>
      <c r="AR112" s="539">
        <v>0</v>
      </c>
    </row>
    <row r="113" spans="1:44" x14ac:dyDescent="0.25">
      <c r="A113" s="190">
        <v>5588</v>
      </c>
      <c r="B113" s="440" t="s">
        <v>110</v>
      </c>
      <c r="C113" s="528">
        <v>4677921.8</v>
      </c>
      <c r="D113" s="528">
        <v>1864738.63</v>
      </c>
      <c r="E113" s="528"/>
      <c r="F113" s="529"/>
      <c r="G113" s="528">
        <v>481760.7</v>
      </c>
      <c r="H113" s="528">
        <v>398789.95</v>
      </c>
      <c r="I113" s="528">
        <v>697545.62</v>
      </c>
      <c r="J113" s="528">
        <v>382480.49</v>
      </c>
      <c r="K113" s="528">
        <v>46010.95</v>
      </c>
      <c r="L113" s="528">
        <v>395498.3</v>
      </c>
      <c r="M113" s="491">
        <f t="shared" si="4"/>
        <v>8944746.4399999995</v>
      </c>
      <c r="N113" s="241">
        <v>15604.6</v>
      </c>
      <c r="O113" s="241">
        <v>185956.6</v>
      </c>
      <c r="P113" s="241">
        <v>329477.5</v>
      </c>
      <c r="Q113" s="241">
        <v>7826.85</v>
      </c>
      <c r="R113" s="241">
        <v>63196.25</v>
      </c>
      <c r="S113" s="528">
        <v>92022.06</v>
      </c>
      <c r="T113" s="491">
        <f t="shared" si="5"/>
        <v>9638830.2999999989</v>
      </c>
      <c r="U113" s="237">
        <v>-9392.98</v>
      </c>
      <c r="V113" s="241"/>
      <c r="W113" s="241">
        <v>-57193.65</v>
      </c>
      <c r="X113" s="533">
        <v>66.5</v>
      </c>
      <c r="Y113" s="536">
        <v>0.7</v>
      </c>
      <c r="Z113" s="213">
        <v>1549</v>
      </c>
      <c r="AA113" s="265"/>
      <c r="AB113" s="235"/>
      <c r="AC113" s="436">
        <f>AB113/VPI!R113</f>
        <v>0</v>
      </c>
      <c r="AD113" s="438">
        <f t="shared" si="6"/>
        <v>0</v>
      </c>
      <c r="AE113" s="436">
        <f>AD113/VPI!R113</f>
        <v>0</v>
      </c>
      <c r="AF113" s="235"/>
      <c r="AG113" s="235"/>
      <c r="AH113" s="235"/>
      <c r="AI113" s="268"/>
      <c r="AJ113" s="8"/>
      <c r="AK113" s="436">
        <f>AJ113/VPI!R113</f>
        <v>0</v>
      </c>
      <c r="AL113" s="438">
        <f t="shared" si="7"/>
        <v>0</v>
      </c>
      <c r="AM113" s="436">
        <f>AL113/VPI!R113</f>
        <v>0</v>
      </c>
      <c r="AN113" s="8"/>
      <c r="AO113" s="268"/>
      <c r="AP113" s="522">
        <v>47.201896533994592</v>
      </c>
      <c r="AR113" s="539">
        <v>1</v>
      </c>
    </row>
    <row r="114" spans="1:44" x14ac:dyDescent="0.25">
      <c r="A114" s="190">
        <v>5589</v>
      </c>
      <c r="B114" s="440" t="s">
        <v>111</v>
      </c>
      <c r="C114" s="528">
        <v>18610572.949999999</v>
      </c>
      <c r="D114" s="528">
        <v>2397743.61</v>
      </c>
      <c r="E114" s="528"/>
      <c r="F114" s="529"/>
      <c r="G114" s="528">
        <v>3544894.95</v>
      </c>
      <c r="H114" s="528">
        <v>243223.65</v>
      </c>
      <c r="I114" s="528">
        <v>84190.25</v>
      </c>
      <c r="J114" s="528">
        <v>1456662.44</v>
      </c>
      <c r="K114" s="528">
        <v>425656</v>
      </c>
      <c r="L114" s="528">
        <v>3114195.45</v>
      </c>
      <c r="M114" s="491">
        <f t="shared" si="4"/>
        <v>29877139.299999997</v>
      </c>
      <c r="N114" s="241">
        <v>1184545.2</v>
      </c>
      <c r="O114" s="241">
        <v>138578.29999999999</v>
      </c>
      <c r="P114" s="241">
        <v>1260897.8999999999</v>
      </c>
      <c r="Q114" s="241">
        <v>141535.81</v>
      </c>
      <c r="R114" s="241">
        <v>1378761.05</v>
      </c>
      <c r="S114" s="528">
        <v>395877.84</v>
      </c>
      <c r="T114" s="491">
        <f t="shared" si="5"/>
        <v>34377335.399999999</v>
      </c>
      <c r="U114" s="237">
        <v>-383235.47</v>
      </c>
      <c r="V114" s="241"/>
      <c r="W114" s="241">
        <v>-6772.24</v>
      </c>
      <c r="X114" s="533">
        <v>72.5</v>
      </c>
      <c r="Y114" s="536">
        <v>1.3</v>
      </c>
      <c r="Z114" s="213">
        <v>12323</v>
      </c>
      <c r="AA114" s="265"/>
      <c r="AB114" s="235"/>
      <c r="AC114" s="436">
        <f>AB114/VPI!R114</f>
        <v>0</v>
      </c>
      <c r="AD114" s="438">
        <f t="shared" si="6"/>
        <v>0</v>
      </c>
      <c r="AE114" s="436">
        <f>AD114/VPI!R114</f>
        <v>0</v>
      </c>
      <c r="AF114" s="235"/>
      <c r="AG114" s="235"/>
      <c r="AH114" s="235"/>
      <c r="AI114" s="268"/>
      <c r="AJ114" s="8"/>
      <c r="AK114" s="436">
        <f>AJ114/VPI!R114</f>
        <v>0</v>
      </c>
      <c r="AL114" s="438">
        <f t="shared" si="7"/>
        <v>0</v>
      </c>
      <c r="AM114" s="436">
        <f>AL114/VPI!R114</f>
        <v>0</v>
      </c>
      <c r="AN114" s="8"/>
      <c r="AO114" s="268"/>
      <c r="AP114" s="522">
        <v>5.0367081815805124</v>
      </c>
      <c r="AR114" s="539">
        <v>1</v>
      </c>
    </row>
    <row r="115" spans="1:44" x14ac:dyDescent="0.25">
      <c r="A115" s="190">
        <v>5590</v>
      </c>
      <c r="B115" s="440" t="s">
        <v>112</v>
      </c>
      <c r="C115" s="528">
        <v>56321039.859999999</v>
      </c>
      <c r="D115" s="528">
        <v>16110074.220000001</v>
      </c>
      <c r="E115" s="528"/>
      <c r="F115" s="529"/>
      <c r="G115" s="528">
        <v>2114100.25</v>
      </c>
      <c r="H115" s="528">
        <v>2227289.85</v>
      </c>
      <c r="I115" s="528">
        <v>2335527.14</v>
      </c>
      <c r="J115" s="528">
        <v>1272358.1399999999</v>
      </c>
      <c r="K115" s="528">
        <v>412106.55</v>
      </c>
      <c r="L115" s="528">
        <v>3824738.75</v>
      </c>
      <c r="M115" s="491">
        <f t="shared" si="4"/>
        <v>84617234.75999999</v>
      </c>
      <c r="N115" s="241">
        <v>201845.05</v>
      </c>
      <c r="O115" s="241">
        <v>2030374.65</v>
      </c>
      <c r="P115" s="241">
        <v>3236255.25</v>
      </c>
      <c r="Q115" s="241">
        <v>203865.32</v>
      </c>
      <c r="R115" s="241">
        <v>3502627.2</v>
      </c>
      <c r="S115" s="528">
        <v>453697.55</v>
      </c>
      <c r="T115" s="491">
        <f t="shared" si="5"/>
        <v>94245899.779999986</v>
      </c>
      <c r="U115" s="237">
        <v>-498047.88</v>
      </c>
      <c r="V115" s="241"/>
      <c r="W115" s="241">
        <v>-1231121.6399999999</v>
      </c>
      <c r="X115" s="533">
        <v>61</v>
      </c>
      <c r="Y115" s="536">
        <v>0.7</v>
      </c>
      <c r="Z115" s="213">
        <v>19014</v>
      </c>
      <c r="AA115" s="265"/>
      <c r="AB115" s="235"/>
      <c r="AC115" s="436">
        <f>AB115/VPI!R115</f>
        <v>0</v>
      </c>
      <c r="AD115" s="438">
        <f t="shared" si="6"/>
        <v>0</v>
      </c>
      <c r="AE115" s="436">
        <f>AD115/VPI!R115</f>
        <v>0</v>
      </c>
      <c r="AF115" s="235"/>
      <c r="AG115" s="235"/>
      <c r="AH115" s="235"/>
      <c r="AI115" s="268"/>
      <c r="AJ115" s="8"/>
      <c r="AK115" s="436">
        <f>AJ115/VPI!R115</f>
        <v>0</v>
      </c>
      <c r="AL115" s="438">
        <f t="shared" si="7"/>
        <v>0</v>
      </c>
      <c r="AM115" s="436">
        <f>AL115/VPI!R115</f>
        <v>0</v>
      </c>
      <c r="AN115" s="8"/>
      <c r="AO115" s="268"/>
      <c r="AP115" s="522">
        <v>30.189560998117585</v>
      </c>
      <c r="AR115" s="539">
        <v>1</v>
      </c>
    </row>
    <row r="116" spans="1:44" x14ac:dyDescent="0.25">
      <c r="A116" s="190">
        <v>5591</v>
      </c>
      <c r="B116" s="440" t="s">
        <v>324</v>
      </c>
      <c r="C116" s="528">
        <v>28815931.27</v>
      </c>
      <c r="D116" s="528">
        <v>3193094.07</v>
      </c>
      <c r="E116" s="528"/>
      <c r="F116" s="529"/>
      <c r="G116" s="528">
        <v>5524248.5999999996</v>
      </c>
      <c r="H116" s="528">
        <v>586544.6</v>
      </c>
      <c r="I116" s="528"/>
      <c r="J116" s="528">
        <v>3001968.75</v>
      </c>
      <c r="K116" s="528">
        <v>907219.95</v>
      </c>
      <c r="L116" s="528">
        <v>5608288.5499999998</v>
      </c>
      <c r="M116" s="491">
        <f t="shared" si="4"/>
        <v>47637295.789999999</v>
      </c>
      <c r="N116" s="241">
        <v>2707366.5</v>
      </c>
      <c r="O116" s="241">
        <v>438463.5</v>
      </c>
      <c r="P116" s="241">
        <v>1546278.25</v>
      </c>
      <c r="Q116" s="241">
        <v>341109.08</v>
      </c>
      <c r="R116" s="241">
        <v>2287015</v>
      </c>
      <c r="S116" s="528">
        <v>638609.26</v>
      </c>
      <c r="T116" s="491">
        <f t="shared" si="5"/>
        <v>55596137.379999995</v>
      </c>
      <c r="U116" s="237">
        <v>-1349093.16</v>
      </c>
      <c r="V116" s="241"/>
      <c r="W116" s="241">
        <v>-11657.28</v>
      </c>
      <c r="X116" s="533">
        <v>77</v>
      </c>
      <c r="Y116" s="536">
        <v>1.4</v>
      </c>
      <c r="Z116" s="213">
        <v>21128</v>
      </c>
      <c r="AA116" s="265"/>
      <c r="AB116" s="235"/>
      <c r="AC116" s="436">
        <f>AB116/VPI!R116</f>
        <v>0</v>
      </c>
      <c r="AD116" s="438">
        <f t="shared" si="6"/>
        <v>0</v>
      </c>
      <c r="AE116" s="436">
        <f>AD116/VPI!R116</f>
        <v>0</v>
      </c>
      <c r="AF116" s="235"/>
      <c r="AG116" s="235"/>
      <c r="AH116" s="235"/>
      <c r="AI116" s="268"/>
      <c r="AJ116" s="8"/>
      <c r="AK116" s="436">
        <f>AJ116/VPI!R116</f>
        <v>0</v>
      </c>
      <c r="AL116" s="438">
        <f t="shared" si="7"/>
        <v>0</v>
      </c>
      <c r="AM116" s="436">
        <f>AL116/VPI!R116</f>
        <v>0</v>
      </c>
      <c r="AN116" s="8"/>
      <c r="AO116" s="268"/>
      <c r="AP116" s="522">
        <v>-15.53639944944795</v>
      </c>
      <c r="AR116" s="539">
        <v>1</v>
      </c>
    </row>
    <row r="117" spans="1:44" x14ac:dyDescent="0.25">
      <c r="A117" s="190">
        <v>5592</v>
      </c>
      <c r="B117" s="440" t="s">
        <v>191</v>
      </c>
      <c r="C117" s="528">
        <v>5693829.3300000001</v>
      </c>
      <c r="D117" s="528">
        <v>847195.76</v>
      </c>
      <c r="E117" s="528"/>
      <c r="F117" s="529"/>
      <c r="G117" s="528">
        <v>242337.5</v>
      </c>
      <c r="H117" s="528">
        <v>101659.55</v>
      </c>
      <c r="I117" s="528">
        <v>-45356.85</v>
      </c>
      <c r="J117" s="528">
        <v>225493.06</v>
      </c>
      <c r="K117" s="528">
        <v>161525.35</v>
      </c>
      <c r="L117" s="528">
        <v>1020259.05</v>
      </c>
      <c r="M117" s="491">
        <f t="shared" si="4"/>
        <v>8246942.7499999991</v>
      </c>
      <c r="N117" s="241">
        <v>267061.65000000002</v>
      </c>
      <c r="O117" s="241">
        <v>3062.1</v>
      </c>
      <c r="P117" s="241">
        <v>788636.25</v>
      </c>
      <c r="Q117" s="241">
        <v>32450.22</v>
      </c>
      <c r="R117" s="241">
        <v>616070.15</v>
      </c>
      <c r="S117" s="528">
        <v>35949.46</v>
      </c>
      <c r="T117" s="491">
        <f t="shared" si="5"/>
        <v>9990172.5800000001</v>
      </c>
      <c r="U117" s="237">
        <v>-96637.86</v>
      </c>
      <c r="V117" s="241"/>
      <c r="W117" s="241">
        <v>-5525.39</v>
      </c>
      <c r="X117" s="533">
        <v>70.5</v>
      </c>
      <c r="Y117" s="536">
        <v>1.25</v>
      </c>
      <c r="Z117" s="213">
        <v>3796</v>
      </c>
      <c r="AA117" s="265"/>
      <c r="AB117" s="235"/>
      <c r="AC117" s="436">
        <f>AB117/VPI!R117</f>
        <v>0</v>
      </c>
      <c r="AD117" s="438">
        <f t="shared" si="6"/>
        <v>0</v>
      </c>
      <c r="AE117" s="436">
        <f>AD117/VPI!R117</f>
        <v>0</v>
      </c>
      <c r="AF117" s="235"/>
      <c r="AG117" s="235"/>
      <c r="AH117" s="235"/>
      <c r="AI117" s="268"/>
      <c r="AJ117" s="8"/>
      <c r="AK117" s="436">
        <f>AJ117/VPI!R117</f>
        <v>0</v>
      </c>
      <c r="AL117" s="438">
        <f t="shared" si="7"/>
        <v>0</v>
      </c>
      <c r="AM117" s="436">
        <f>AL117/VPI!R117</f>
        <v>0</v>
      </c>
      <c r="AN117" s="8"/>
      <c r="AO117" s="268"/>
      <c r="AP117" s="522">
        <v>14.293870113930197</v>
      </c>
      <c r="AR117" s="539">
        <v>0</v>
      </c>
    </row>
    <row r="118" spans="1:44" x14ac:dyDescent="0.25">
      <c r="A118" s="190">
        <v>5601</v>
      </c>
      <c r="B118" s="440" t="s">
        <v>253</v>
      </c>
      <c r="C118" s="528">
        <v>5204129.28</v>
      </c>
      <c r="D118" s="528">
        <v>1214363.79</v>
      </c>
      <c r="E118" s="528"/>
      <c r="F118" s="529"/>
      <c r="G118" s="528">
        <v>70956.45</v>
      </c>
      <c r="H118" s="528">
        <v>13943.45</v>
      </c>
      <c r="I118" s="528">
        <v>0</v>
      </c>
      <c r="J118" s="528">
        <v>131129.57999999999</v>
      </c>
      <c r="K118" s="528">
        <v>27519.95</v>
      </c>
      <c r="L118" s="528">
        <v>531188.69999999995</v>
      </c>
      <c r="M118" s="491">
        <f t="shared" si="4"/>
        <v>7193231.2000000011</v>
      </c>
      <c r="N118" s="241">
        <v>66937.55</v>
      </c>
      <c r="O118" s="241">
        <v>262825.59999999998</v>
      </c>
      <c r="P118" s="241">
        <v>282662.65000000002</v>
      </c>
      <c r="Q118" s="241">
        <v>30442.58</v>
      </c>
      <c r="R118" s="241">
        <v>333813.05</v>
      </c>
      <c r="S118" s="528">
        <v>8872.48</v>
      </c>
      <c r="T118" s="491">
        <f t="shared" si="5"/>
        <v>8178785.1100000013</v>
      </c>
      <c r="U118" s="237">
        <v>-69891.5</v>
      </c>
      <c r="V118" s="241"/>
      <c r="W118" s="241">
        <v>-6622.34</v>
      </c>
      <c r="X118" s="533">
        <v>67.5</v>
      </c>
      <c r="Y118" s="536">
        <v>1</v>
      </c>
      <c r="Z118" s="213">
        <v>2207</v>
      </c>
      <c r="AA118" s="265"/>
      <c r="AB118" s="235"/>
      <c r="AC118" s="436">
        <f>AB118/VPI!R118</f>
        <v>0</v>
      </c>
      <c r="AD118" s="438">
        <f t="shared" si="6"/>
        <v>0</v>
      </c>
      <c r="AE118" s="436">
        <f>AD118/VPI!R118</f>
        <v>0</v>
      </c>
      <c r="AF118" s="235"/>
      <c r="AG118" s="235"/>
      <c r="AH118" s="235"/>
      <c r="AI118" s="268"/>
      <c r="AJ118" s="8"/>
      <c r="AK118" s="436">
        <f>AJ118/VPI!R118</f>
        <v>0</v>
      </c>
      <c r="AL118" s="438">
        <f t="shared" si="7"/>
        <v>0</v>
      </c>
      <c r="AM118" s="436">
        <f>AL118/VPI!R118</f>
        <v>0</v>
      </c>
      <c r="AN118" s="8"/>
      <c r="AO118" s="268"/>
      <c r="AP118" s="522">
        <v>25.299159852215311</v>
      </c>
      <c r="AR118" s="539">
        <v>1</v>
      </c>
    </row>
    <row r="119" spans="1:44" x14ac:dyDescent="0.25">
      <c r="A119" s="190">
        <v>5604</v>
      </c>
      <c r="B119" s="440" t="s">
        <v>128</v>
      </c>
      <c r="C119" s="528">
        <v>3601452.39</v>
      </c>
      <c r="D119" s="528">
        <v>569310.22</v>
      </c>
      <c r="E119" s="528"/>
      <c r="F119" s="529"/>
      <c r="G119" s="528">
        <v>235442.45</v>
      </c>
      <c r="H119" s="528">
        <v>4699.5</v>
      </c>
      <c r="I119" s="528"/>
      <c r="J119" s="528">
        <v>54026.31</v>
      </c>
      <c r="K119" s="528">
        <v>30025.15</v>
      </c>
      <c r="L119" s="528">
        <v>421616</v>
      </c>
      <c r="M119" s="491">
        <f t="shared" si="4"/>
        <v>4916572.0200000005</v>
      </c>
      <c r="N119" s="241">
        <v>123228.75</v>
      </c>
      <c r="O119" s="241">
        <v>11.8</v>
      </c>
      <c r="P119" s="241">
        <v>156134.85</v>
      </c>
      <c r="Q119" s="241">
        <v>56537.36</v>
      </c>
      <c r="R119" s="241">
        <v>226751.85</v>
      </c>
      <c r="S119" s="528">
        <v>25096.07</v>
      </c>
      <c r="T119" s="491">
        <f t="shared" si="5"/>
        <v>5504332.7000000002</v>
      </c>
      <c r="U119" s="237">
        <v>-101263.12</v>
      </c>
      <c r="V119" s="241"/>
      <c r="W119" s="241">
        <v>-611.53</v>
      </c>
      <c r="X119" s="533">
        <v>69</v>
      </c>
      <c r="Y119" s="536">
        <v>1</v>
      </c>
      <c r="Z119" s="213">
        <v>2071</v>
      </c>
      <c r="AA119" s="265"/>
      <c r="AB119" s="235"/>
      <c r="AC119" s="436">
        <f>AB119/VPI!R119</f>
        <v>0</v>
      </c>
      <c r="AD119" s="438">
        <f t="shared" si="6"/>
        <v>0</v>
      </c>
      <c r="AE119" s="436">
        <f>AD119/VPI!R119</f>
        <v>0</v>
      </c>
      <c r="AF119" s="235"/>
      <c r="AG119" s="235"/>
      <c r="AH119" s="235"/>
      <c r="AI119" s="268"/>
      <c r="AJ119" s="8"/>
      <c r="AK119" s="436">
        <f>AJ119/VPI!R119</f>
        <v>0</v>
      </c>
      <c r="AL119" s="438">
        <f t="shared" si="7"/>
        <v>0</v>
      </c>
      <c r="AM119" s="436">
        <f>AL119/VPI!R119</f>
        <v>0</v>
      </c>
      <c r="AN119" s="8"/>
      <c r="AO119" s="268"/>
      <c r="AP119" s="522">
        <v>17.500631815976849</v>
      </c>
      <c r="AR119" s="539">
        <v>0</v>
      </c>
    </row>
    <row r="120" spans="1:44" x14ac:dyDescent="0.25">
      <c r="A120" s="190">
        <v>5606</v>
      </c>
      <c r="B120" s="440" t="s">
        <v>129</v>
      </c>
      <c r="C120" s="528">
        <v>35133666.960000001</v>
      </c>
      <c r="D120" s="528">
        <v>8952702.9499999993</v>
      </c>
      <c r="E120" s="528"/>
      <c r="F120" s="529"/>
      <c r="G120" s="528">
        <v>14562866.99</v>
      </c>
      <c r="H120" s="528">
        <v>176032.15</v>
      </c>
      <c r="I120" s="528">
        <v>1212906.26</v>
      </c>
      <c r="J120" s="528">
        <v>752716.53</v>
      </c>
      <c r="K120" s="528">
        <v>146921.60000000001</v>
      </c>
      <c r="L120" s="528">
        <v>2420964.25</v>
      </c>
      <c r="M120" s="491">
        <f t="shared" si="4"/>
        <v>63358777.689999998</v>
      </c>
      <c r="N120" s="241">
        <v>156322.04999999999</v>
      </c>
      <c r="O120" s="241">
        <v>1630596.3</v>
      </c>
      <c r="P120" s="241">
        <v>2393509.25</v>
      </c>
      <c r="Q120" s="241">
        <v>80465.960000000006</v>
      </c>
      <c r="R120" s="241">
        <v>2331739.1</v>
      </c>
      <c r="S120" s="528">
        <v>1540290.63</v>
      </c>
      <c r="T120" s="491">
        <f t="shared" si="5"/>
        <v>71491700.979999974</v>
      </c>
      <c r="U120" s="237">
        <v>-461209.8</v>
      </c>
      <c r="V120" s="241"/>
      <c r="W120" s="241">
        <v>-98634.42</v>
      </c>
      <c r="X120" s="533">
        <v>54</v>
      </c>
      <c r="Y120" s="536">
        <v>0.7</v>
      </c>
      <c r="Z120" s="213">
        <v>10718</v>
      </c>
      <c r="AA120" s="265"/>
      <c r="AB120" s="235"/>
      <c r="AC120" s="436">
        <f>AB120/VPI!R120</f>
        <v>0</v>
      </c>
      <c r="AD120" s="438">
        <f t="shared" si="6"/>
        <v>0</v>
      </c>
      <c r="AE120" s="436">
        <f>AD120/VPI!R120</f>
        <v>0</v>
      </c>
      <c r="AF120" s="235"/>
      <c r="AG120" s="235"/>
      <c r="AH120" s="235"/>
      <c r="AI120" s="268"/>
      <c r="AJ120" s="8"/>
      <c r="AK120" s="436">
        <f>AJ120/VPI!R120</f>
        <v>0</v>
      </c>
      <c r="AL120" s="438">
        <f t="shared" si="7"/>
        <v>0</v>
      </c>
      <c r="AM120" s="436">
        <f>AL120/VPI!R120</f>
        <v>0</v>
      </c>
      <c r="AN120" s="8"/>
      <c r="AO120" s="268"/>
      <c r="AP120" s="522">
        <v>32.466963405285384</v>
      </c>
      <c r="AR120" s="539">
        <v>1</v>
      </c>
    </row>
    <row r="121" spans="1:44" x14ac:dyDescent="0.25">
      <c r="A121" s="190">
        <v>5607</v>
      </c>
      <c r="B121" s="440" t="s">
        <v>255</v>
      </c>
      <c r="C121" s="528">
        <v>5519577.6699999999</v>
      </c>
      <c r="D121" s="528">
        <v>1020846.35</v>
      </c>
      <c r="E121" s="528"/>
      <c r="F121" s="529"/>
      <c r="G121" s="528">
        <v>553177.4</v>
      </c>
      <c r="H121" s="528">
        <v>4043.3000000000102</v>
      </c>
      <c r="I121" s="528">
        <v>8.5</v>
      </c>
      <c r="J121" s="528">
        <v>146986.91</v>
      </c>
      <c r="K121" s="528">
        <v>35256.9</v>
      </c>
      <c r="L121" s="528">
        <v>874569.8</v>
      </c>
      <c r="M121" s="491">
        <f t="shared" si="4"/>
        <v>8154466.8300000001</v>
      </c>
      <c r="N121" s="241">
        <v>235821.95</v>
      </c>
      <c r="O121" s="241">
        <v>-101797.5</v>
      </c>
      <c r="P121" s="241">
        <v>1138688.6499999999</v>
      </c>
      <c r="Q121" s="241">
        <v>3935.43</v>
      </c>
      <c r="R121" s="241">
        <v>175550.45</v>
      </c>
      <c r="S121" s="528">
        <v>58232.42</v>
      </c>
      <c r="T121" s="491">
        <f t="shared" si="5"/>
        <v>9664898.2299999986</v>
      </c>
      <c r="U121" s="237">
        <v>-51057.17</v>
      </c>
      <c r="V121" s="241"/>
      <c r="W121" s="241">
        <v>-3024.38</v>
      </c>
      <c r="X121" s="533">
        <v>68.5</v>
      </c>
      <c r="Y121" s="536">
        <v>1.1499999999999999</v>
      </c>
      <c r="Z121" s="213">
        <v>2994</v>
      </c>
      <c r="AA121" s="265"/>
      <c r="AB121" s="235"/>
      <c r="AC121" s="436">
        <f>AB121/VPI!R121</f>
        <v>0</v>
      </c>
      <c r="AD121" s="438">
        <f t="shared" si="6"/>
        <v>0</v>
      </c>
      <c r="AE121" s="436">
        <f>AD121/VPI!R121</f>
        <v>0</v>
      </c>
      <c r="AF121" s="235"/>
      <c r="AG121" s="235"/>
      <c r="AH121" s="235"/>
      <c r="AI121" s="268"/>
      <c r="AJ121" s="8"/>
      <c r="AK121" s="436">
        <f>AJ121/VPI!R121</f>
        <v>0</v>
      </c>
      <c r="AL121" s="438">
        <f t="shared" si="7"/>
        <v>0</v>
      </c>
      <c r="AM121" s="436">
        <f>AL121/VPI!R121</f>
        <v>0</v>
      </c>
      <c r="AN121" s="8"/>
      <c r="AO121" s="268"/>
      <c r="AP121" s="522">
        <v>18.686736665427265</v>
      </c>
      <c r="AR121" s="539">
        <v>1</v>
      </c>
    </row>
    <row r="122" spans="1:44" x14ac:dyDescent="0.25">
      <c r="A122" s="190">
        <v>5609</v>
      </c>
      <c r="B122" s="440" t="s">
        <v>114</v>
      </c>
      <c r="C122" s="528">
        <v>676541.78</v>
      </c>
      <c r="D122" s="528">
        <v>161057.79</v>
      </c>
      <c r="E122" s="528"/>
      <c r="F122" s="529"/>
      <c r="G122" s="528">
        <v>8546.9500000000007</v>
      </c>
      <c r="H122" s="528">
        <v>374.35</v>
      </c>
      <c r="I122" s="528"/>
      <c r="J122" s="528">
        <v>21318.27</v>
      </c>
      <c r="K122" s="528">
        <v>1050.4000000000001</v>
      </c>
      <c r="L122" s="528">
        <v>60957.9</v>
      </c>
      <c r="M122" s="491">
        <f t="shared" si="4"/>
        <v>929847.44000000006</v>
      </c>
      <c r="N122" s="241">
        <v>0</v>
      </c>
      <c r="O122" s="241"/>
      <c r="P122" s="241">
        <v>40460.199999999997</v>
      </c>
      <c r="Q122" s="241"/>
      <c r="R122" s="241">
        <v>100714.15</v>
      </c>
      <c r="S122" s="528">
        <v>932.32</v>
      </c>
      <c r="T122" s="491">
        <f t="shared" si="5"/>
        <v>1071954.1100000001</v>
      </c>
      <c r="U122" s="237">
        <v>-4521.76</v>
      </c>
      <c r="V122" s="241"/>
      <c r="W122" s="241">
        <v>-585.5</v>
      </c>
      <c r="X122" s="533">
        <v>62</v>
      </c>
      <c r="Y122" s="536">
        <v>1</v>
      </c>
      <c r="Z122" s="213">
        <v>332</v>
      </c>
      <c r="AA122" s="265"/>
      <c r="AB122" s="235"/>
      <c r="AC122" s="436">
        <f>AB122/VPI!R122</f>
        <v>0</v>
      </c>
      <c r="AD122" s="438">
        <f t="shared" si="6"/>
        <v>0</v>
      </c>
      <c r="AE122" s="436">
        <f>AD122/VPI!R122</f>
        <v>0</v>
      </c>
      <c r="AF122" s="235"/>
      <c r="AG122" s="235"/>
      <c r="AH122" s="235"/>
      <c r="AI122" s="268"/>
      <c r="AJ122" s="8"/>
      <c r="AK122" s="436">
        <f>AJ122/VPI!R122</f>
        <v>0</v>
      </c>
      <c r="AL122" s="438">
        <f t="shared" si="7"/>
        <v>0</v>
      </c>
      <c r="AM122" s="436">
        <f>AL122/VPI!R122</f>
        <v>0</v>
      </c>
      <c r="AN122" s="8"/>
      <c r="AO122" s="268"/>
      <c r="AP122" s="522">
        <v>26.924556763635032</v>
      </c>
      <c r="AR122" s="539">
        <v>1</v>
      </c>
    </row>
    <row r="123" spans="1:44" x14ac:dyDescent="0.25">
      <c r="A123" s="190">
        <v>5610</v>
      </c>
      <c r="B123" s="440" t="s">
        <v>115</v>
      </c>
      <c r="C123" s="528">
        <v>1123787.96</v>
      </c>
      <c r="D123" s="528">
        <v>243217.65</v>
      </c>
      <c r="E123" s="528"/>
      <c r="F123" s="529"/>
      <c r="G123" s="528">
        <v>24184.85</v>
      </c>
      <c r="H123" s="528">
        <v>1428.85</v>
      </c>
      <c r="I123" s="528">
        <v>689.599999999999</v>
      </c>
      <c r="J123" s="528">
        <v>32843.82</v>
      </c>
      <c r="K123" s="528">
        <v>6721.15</v>
      </c>
      <c r="L123" s="528">
        <v>126034</v>
      </c>
      <c r="M123" s="491">
        <f t="shared" si="4"/>
        <v>1558907.8800000001</v>
      </c>
      <c r="N123" s="241">
        <v>0</v>
      </c>
      <c r="O123" s="241">
        <v>-102.25</v>
      </c>
      <c r="P123" s="241">
        <v>26455</v>
      </c>
      <c r="Q123" s="241"/>
      <c r="R123" s="241">
        <v>48658.6</v>
      </c>
      <c r="S123" s="528">
        <v>2676.76</v>
      </c>
      <c r="T123" s="491">
        <f t="shared" si="5"/>
        <v>1636595.9900000002</v>
      </c>
      <c r="U123" s="237">
        <v>-4930.59</v>
      </c>
      <c r="V123" s="241"/>
      <c r="W123" s="241">
        <v>-127.45</v>
      </c>
      <c r="X123" s="533">
        <v>72</v>
      </c>
      <c r="Y123" s="536">
        <v>1.2</v>
      </c>
      <c r="Z123" s="213">
        <v>402</v>
      </c>
      <c r="AA123" s="265"/>
      <c r="AB123" s="235"/>
      <c r="AC123" s="436">
        <f>AB123/VPI!R123</f>
        <v>0</v>
      </c>
      <c r="AD123" s="438">
        <f t="shared" si="6"/>
        <v>0</v>
      </c>
      <c r="AE123" s="436">
        <f>AD123/VPI!R123</f>
        <v>0</v>
      </c>
      <c r="AF123" s="235"/>
      <c r="AG123" s="235"/>
      <c r="AH123" s="235"/>
      <c r="AI123" s="268"/>
      <c r="AJ123" s="8"/>
      <c r="AK123" s="436">
        <f>AJ123/VPI!R123</f>
        <v>0</v>
      </c>
      <c r="AL123" s="438">
        <f t="shared" si="7"/>
        <v>0</v>
      </c>
      <c r="AM123" s="436">
        <f>AL123/VPI!R123</f>
        <v>0</v>
      </c>
      <c r="AN123" s="8"/>
      <c r="AO123" s="268"/>
      <c r="AP123" s="522">
        <v>31.516074205789643</v>
      </c>
      <c r="AR123" s="539">
        <v>1</v>
      </c>
    </row>
    <row r="124" spans="1:44" x14ac:dyDescent="0.25">
      <c r="A124" s="190">
        <v>5611</v>
      </c>
      <c r="B124" s="440" t="s">
        <v>252</v>
      </c>
      <c r="C124" s="528">
        <v>7087686.3700000001</v>
      </c>
      <c r="D124" s="528">
        <v>1275206.1499999999</v>
      </c>
      <c r="E124" s="528"/>
      <c r="F124" s="529"/>
      <c r="G124" s="528">
        <v>270439.40000000002</v>
      </c>
      <c r="H124" s="528">
        <v>29540.9</v>
      </c>
      <c r="I124" s="528">
        <v>194791.07</v>
      </c>
      <c r="J124" s="528">
        <v>142647.49</v>
      </c>
      <c r="K124" s="528">
        <v>-11676.65</v>
      </c>
      <c r="L124" s="528">
        <v>838517.25</v>
      </c>
      <c r="M124" s="491">
        <f t="shared" si="4"/>
        <v>9827151.9800000004</v>
      </c>
      <c r="N124" s="241">
        <v>144819.9</v>
      </c>
      <c r="O124" s="241">
        <v>85027.5</v>
      </c>
      <c r="P124" s="241">
        <v>357359.9</v>
      </c>
      <c r="Q124" s="241">
        <v>1434.81</v>
      </c>
      <c r="R124" s="241">
        <v>383324.2</v>
      </c>
      <c r="S124" s="528">
        <v>31349.48</v>
      </c>
      <c r="T124" s="491">
        <f t="shared" si="5"/>
        <v>10830467.770000001</v>
      </c>
      <c r="U124" s="237">
        <v>-84373.38</v>
      </c>
      <c r="V124" s="241"/>
      <c r="W124" s="241">
        <v>-1362.76</v>
      </c>
      <c r="X124" s="533">
        <v>69</v>
      </c>
      <c r="Y124" s="536">
        <v>1.2</v>
      </c>
      <c r="Z124" s="213">
        <v>3421</v>
      </c>
      <c r="AA124" s="265"/>
      <c r="AB124" s="235"/>
      <c r="AC124" s="436">
        <f>AB124/VPI!R124</f>
        <v>0</v>
      </c>
      <c r="AD124" s="438">
        <f t="shared" si="6"/>
        <v>0</v>
      </c>
      <c r="AE124" s="436">
        <f>AD124/VPI!R124</f>
        <v>0</v>
      </c>
      <c r="AF124" s="235"/>
      <c r="AG124" s="235"/>
      <c r="AH124" s="235"/>
      <c r="AI124" s="268"/>
      <c r="AJ124" s="8"/>
      <c r="AK124" s="436">
        <f>AJ124/VPI!R124</f>
        <v>0</v>
      </c>
      <c r="AL124" s="438">
        <f t="shared" si="7"/>
        <v>0</v>
      </c>
      <c r="AM124" s="436">
        <f>AL124/VPI!R124</f>
        <v>0</v>
      </c>
      <c r="AN124" s="8"/>
      <c r="AO124" s="268"/>
      <c r="AP124" s="522">
        <v>20.72244817701354</v>
      </c>
      <c r="AR124" s="539">
        <v>1</v>
      </c>
    </row>
    <row r="125" spans="1:44" x14ac:dyDescent="0.25">
      <c r="A125" s="190">
        <v>5613</v>
      </c>
      <c r="B125" s="440" t="s">
        <v>342</v>
      </c>
      <c r="C125" s="528">
        <v>16286684.6</v>
      </c>
      <c r="D125" s="528">
        <v>4125393.52</v>
      </c>
      <c r="E125" s="528"/>
      <c r="F125" s="529"/>
      <c r="G125" s="528">
        <v>115174.95</v>
      </c>
      <c r="H125" s="528">
        <v>54241.45</v>
      </c>
      <c r="I125" s="528">
        <v>161532.93</v>
      </c>
      <c r="J125" s="528">
        <v>580976.21</v>
      </c>
      <c r="K125" s="528">
        <v>33459.9</v>
      </c>
      <c r="L125" s="528">
        <v>2405017.5499999998</v>
      </c>
      <c r="M125" s="491">
        <f t="shared" si="4"/>
        <v>23762481.109999999</v>
      </c>
      <c r="N125" s="241">
        <v>47430.1</v>
      </c>
      <c r="O125" s="241">
        <v>129708.8</v>
      </c>
      <c r="P125" s="241">
        <v>1456226.6</v>
      </c>
      <c r="Q125" s="241">
        <v>77821.679999999993</v>
      </c>
      <c r="R125" s="241">
        <v>1867720.65</v>
      </c>
      <c r="S125" s="528">
        <v>17704.88</v>
      </c>
      <c r="T125" s="491">
        <f t="shared" si="5"/>
        <v>27359093.82</v>
      </c>
      <c r="U125" s="237">
        <v>-69130.13</v>
      </c>
      <c r="V125" s="241"/>
      <c r="W125" s="241">
        <v>-36807.72</v>
      </c>
      <c r="X125" s="533">
        <v>62.5</v>
      </c>
      <c r="Y125" s="536">
        <v>1.5</v>
      </c>
      <c r="Z125" s="213">
        <v>5394</v>
      </c>
      <c r="AA125" s="265"/>
      <c r="AB125" s="235"/>
      <c r="AC125" s="436">
        <f>AB125/VPI!R125</f>
        <v>0</v>
      </c>
      <c r="AD125" s="438">
        <f t="shared" si="6"/>
        <v>0</v>
      </c>
      <c r="AE125" s="436">
        <f>AD125/VPI!R125</f>
        <v>0</v>
      </c>
      <c r="AF125" s="235"/>
      <c r="AG125" s="235"/>
      <c r="AH125" s="235"/>
      <c r="AI125" s="268"/>
      <c r="AJ125" s="8"/>
      <c r="AK125" s="436">
        <f>AJ125/VPI!R125</f>
        <v>0</v>
      </c>
      <c r="AL125" s="438">
        <f t="shared" si="7"/>
        <v>0</v>
      </c>
      <c r="AM125" s="436">
        <f>AL125/VPI!R125</f>
        <v>0</v>
      </c>
      <c r="AN125" s="8"/>
      <c r="AO125" s="268"/>
      <c r="AP125" s="522">
        <v>29.346387429960178</v>
      </c>
      <c r="AR125" s="539">
        <v>1</v>
      </c>
    </row>
    <row r="126" spans="1:44" x14ac:dyDescent="0.25">
      <c r="A126" s="190">
        <v>5621</v>
      </c>
      <c r="B126" s="440" t="s">
        <v>333</v>
      </c>
      <c r="C126" s="528">
        <v>1233433.8500000001</v>
      </c>
      <c r="D126" s="528">
        <v>131005.33</v>
      </c>
      <c r="E126" s="528"/>
      <c r="F126" s="529"/>
      <c r="G126" s="528">
        <v>539185.19999999995</v>
      </c>
      <c r="H126" s="528">
        <v>26782.799999999999</v>
      </c>
      <c r="I126" s="528"/>
      <c r="J126" s="528">
        <v>105751.2</v>
      </c>
      <c r="K126" s="528">
        <v>35902.75</v>
      </c>
      <c r="L126" s="528">
        <v>333481.25</v>
      </c>
      <c r="M126" s="491">
        <f t="shared" si="4"/>
        <v>2405542.38</v>
      </c>
      <c r="N126" s="241">
        <v>263613.5</v>
      </c>
      <c r="O126" s="241">
        <v>-17590.5</v>
      </c>
      <c r="P126" s="241">
        <v>108499.85</v>
      </c>
      <c r="Q126" s="241">
        <v>2940.49</v>
      </c>
      <c r="R126" s="241">
        <v>92906.7</v>
      </c>
      <c r="S126" s="528">
        <v>59146.559999999998</v>
      </c>
      <c r="T126" s="491">
        <f t="shared" si="5"/>
        <v>2915058.9800000004</v>
      </c>
      <c r="U126" s="237">
        <v>-6670.87</v>
      </c>
      <c r="V126" s="241"/>
      <c r="W126" s="241">
        <v>-50.25</v>
      </c>
      <c r="X126" s="533">
        <v>62</v>
      </c>
      <c r="Y126" s="536">
        <v>1.1000000000000001</v>
      </c>
      <c r="Z126" s="213">
        <v>557</v>
      </c>
      <c r="AA126" s="265"/>
      <c r="AB126" s="235"/>
      <c r="AC126" s="436">
        <f>AB126/VPI!R126</f>
        <v>0</v>
      </c>
      <c r="AD126" s="438">
        <f t="shared" si="6"/>
        <v>0</v>
      </c>
      <c r="AE126" s="436">
        <f>AD126/VPI!R126</f>
        <v>0</v>
      </c>
      <c r="AF126" s="235"/>
      <c r="AG126" s="235"/>
      <c r="AH126" s="235"/>
      <c r="AI126" s="268"/>
      <c r="AJ126" s="8"/>
      <c r="AK126" s="436">
        <f>AJ126/VPI!R126</f>
        <v>0</v>
      </c>
      <c r="AL126" s="438">
        <f t="shared" si="7"/>
        <v>0</v>
      </c>
      <c r="AM126" s="436">
        <f>AL126/VPI!R126</f>
        <v>0</v>
      </c>
      <c r="AN126" s="8"/>
      <c r="AO126" s="268"/>
      <c r="AP126" s="522">
        <v>32.0722717696556</v>
      </c>
      <c r="AR126" s="539">
        <v>0</v>
      </c>
    </row>
    <row r="127" spans="1:44" x14ac:dyDescent="0.25">
      <c r="A127" s="190">
        <v>5622</v>
      </c>
      <c r="B127" s="440" t="s">
        <v>130</v>
      </c>
      <c r="C127" s="528">
        <v>1635076.41</v>
      </c>
      <c r="D127" s="528">
        <v>240941.08</v>
      </c>
      <c r="E127" s="528"/>
      <c r="F127" s="529"/>
      <c r="G127" s="528">
        <v>61386.65</v>
      </c>
      <c r="H127" s="528">
        <v>5129.3500000000004</v>
      </c>
      <c r="I127" s="528"/>
      <c r="J127" s="528">
        <v>18105.21</v>
      </c>
      <c r="K127" s="528">
        <v>-5671.9</v>
      </c>
      <c r="L127" s="528">
        <v>159874.5</v>
      </c>
      <c r="M127" s="491">
        <f t="shared" si="4"/>
        <v>2114841.2999999998</v>
      </c>
      <c r="N127" s="241">
        <v>29179.1</v>
      </c>
      <c r="O127" s="241"/>
      <c r="P127" s="241">
        <v>141268.6</v>
      </c>
      <c r="Q127" s="241"/>
      <c r="R127" s="241">
        <v>157153.70000000001</v>
      </c>
      <c r="S127" s="528">
        <v>6951.26</v>
      </c>
      <c r="T127" s="491">
        <f t="shared" si="5"/>
        <v>2449393.96</v>
      </c>
      <c r="U127" s="237">
        <v>-23464.13</v>
      </c>
      <c r="V127" s="241"/>
      <c r="W127" s="241">
        <v>-340.64</v>
      </c>
      <c r="X127" s="533">
        <v>68</v>
      </c>
      <c r="Y127" s="536">
        <v>1</v>
      </c>
      <c r="Z127" s="213">
        <v>604</v>
      </c>
      <c r="AA127" s="265"/>
      <c r="AB127" s="235"/>
      <c r="AC127" s="436">
        <f>AB127/VPI!R127</f>
        <v>0</v>
      </c>
      <c r="AD127" s="438">
        <f t="shared" si="6"/>
        <v>0</v>
      </c>
      <c r="AE127" s="436">
        <f>AD127/VPI!R127</f>
        <v>0</v>
      </c>
      <c r="AF127" s="235"/>
      <c r="AG127" s="235"/>
      <c r="AH127" s="235"/>
      <c r="AI127" s="268"/>
      <c r="AJ127" s="8"/>
      <c r="AK127" s="436">
        <f>AJ127/VPI!R127</f>
        <v>0</v>
      </c>
      <c r="AL127" s="438">
        <f t="shared" si="7"/>
        <v>0</v>
      </c>
      <c r="AM127" s="436">
        <f>AL127/VPI!R127</f>
        <v>0</v>
      </c>
      <c r="AN127" s="8"/>
      <c r="AO127" s="268"/>
      <c r="AP127" s="522">
        <v>27.738019278444892</v>
      </c>
      <c r="AR127" s="539">
        <v>0</v>
      </c>
    </row>
    <row r="128" spans="1:44" x14ac:dyDescent="0.25">
      <c r="A128" s="190">
        <v>5623</v>
      </c>
      <c r="B128" s="440" t="s">
        <v>131</v>
      </c>
      <c r="C128" s="528">
        <v>2745788.83</v>
      </c>
      <c r="D128" s="528">
        <v>1181473.75</v>
      </c>
      <c r="E128" s="528"/>
      <c r="F128" s="529"/>
      <c r="G128" s="528">
        <v>67856.350000000006</v>
      </c>
      <c r="H128" s="528">
        <v>78053.5</v>
      </c>
      <c r="I128" s="528">
        <v>161315.03</v>
      </c>
      <c r="J128" s="528">
        <v>35154.949999999997</v>
      </c>
      <c r="K128" s="528">
        <v>3049</v>
      </c>
      <c r="L128" s="528">
        <v>367777.35</v>
      </c>
      <c r="M128" s="491">
        <f t="shared" si="4"/>
        <v>4640468.76</v>
      </c>
      <c r="N128" s="241">
        <v>3341.85</v>
      </c>
      <c r="O128" s="241">
        <v>7464.6</v>
      </c>
      <c r="P128" s="241">
        <v>98752.5</v>
      </c>
      <c r="Q128" s="241">
        <v>68.2</v>
      </c>
      <c r="R128" s="241">
        <v>73004.600000000006</v>
      </c>
      <c r="S128" s="528">
        <v>15248.33</v>
      </c>
      <c r="T128" s="491">
        <f t="shared" si="5"/>
        <v>4838348.8399999989</v>
      </c>
      <c r="U128" s="237">
        <v>-6749.01</v>
      </c>
      <c r="V128" s="241"/>
      <c r="W128" s="241">
        <v>-52075.94</v>
      </c>
      <c r="X128" s="533">
        <v>52</v>
      </c>
      <c r="Y128" s="536">
        <v>1</v>
      </c>
      <c r="Z128" s="213">
        <v>670</v>
      </c>
      <c r="AA128" s="265"/>
      <c r="AB128" s="235"/>
      <c r="AC128" s="436">
        <f>AB128/VPI!R128</f>
        <v>0</v>
      </c>
      <c r="AD128" s="438">
        <f t="shared" si="6"/>
        <v>0</v>
      </c>
      <c r="AE128" s="436">
        <f>AD128/VPI!R128</f>
        <v>0</v>
      </c>
      <c r="AF128" s="235"/>
      <c r="AG128" s="235"/>
      <c r="AH128" s="235"/>
      <c r="AI128" s="268"/>
      <c r="AJ128" s="8"/>
      <c r="AK128" s="436">
        <f>AJ128/VPI!R128</f>
        <v>0</v>
      </c>
      <c r="AL128" s="438">
        <f t="shared" si="7"/>
        <v>0</v>
      </c>
      <c r="AM128" s="436">
        <f>AL128/VPI!R128</f>
        <v>0</v>
      </c>
      <c r="AN128" s="8"/>
      <c r="AO128" s="268"/>
      <c r="AP128" s="522">
        <v>43.27615740979445</v>
      </c>
      <c r="AR128" s="539">
        <v>1</v>
      </c>
    </row>
    <row r="129" spans="1:92" x14ac:dyDescent="0.25">
      <c r="A129" s="190">
        <v>5624</v>
      </c>
      <c r="B129" s="440" t="s">
        <v>351</v>
      </c>
      <c r="C129" s="528">
        <v>15952155.77</v>
      </c>
      <c r="D129" s="528">
        <v>1602241.1</v>
      </c>
      <c r="E129" s="528"/>
      <c r="F129" s="529"/>
      <c r="G129" s="528">
        <v>10200752.1</v>
      </c>
      <c r="H129" s="528">
        <v>133196.1</v>
      </c>
      <c r="I129" s="528"/>
      <c r="J129" s="528">
        <v>901078.31</v>
      </c>
      <c r="K129" s="528">
        <v>498778.2</v>
      </c>
      <c r="L129" s="528">
        <v>3169933.55</v>
      </c>
      <c r="M129" s="491">
        <f t="shared" si="4"/>
        <v>32458135.129999999</v>
      </c>
      <c r="N129" s="241">
        <v>1175452</v>
      </c>
      <c r="O129" s="241">
        <v>115620.6</v>
      </c>
      <c r="P129" s="241">
        <v>2048042.95</v>
      </c>
      <c r="Q129" s="241">
        <v>20657.740000000002</v>
      </c>
      <c r="R129" s="241">
        <v>773790.35</v>
      </c>
      <c r="S129" s="528">
        <v>1079950.6399999999</v>
      </c>
      <c r="T129" s="491">
        <f t="shared" si="5"/>
        <v>37671649.410000004</v>
      </c>
      <c r="U129" s="237">
        <v>-250394.66</v>
      </c>
      <c r="V129" s="241"/>
      <c r="W129" s="241">
        <v>-2625.03</v>
      </c>
      <c r="X129" s="533">
        <v>62.5</v>
      </c>
      <c r="Y129" s="536">
        <v>1.25</v>
      </c>
      <c r="Z129" s="213">
        <v>10397</v>
      </c>
      <c r="AA129" s="265"/>
      <c r="AB129" s="235"/>
      <c r="AC129" s="436">
        <f>AB129/VPI!R129</f>
        <v>0</v>
      </c>
      <c r="AD129" s="438">
        <f t="shared" si="6"/>
        <v>0</v>
      </c>
      <c r="AE129" s="436">
        <f>AD129/VPI!R129</f>
        <v>0</v>
      </c>
      <c r="AF129" s="235"/>
      <c r="AG129" s="235"/>
      <c r="AH129" s="235"/>
      <c r="AI129" s="268"/>
      <c r="AJ129" s="8"/>
      <c r="AK129" s="436">
        <f>AJ129/VPI!R129</f>
        <v>0</v>
      </c>
      <c r="AL129" s="438">
        <f t="shared" si="7"/>
        <v>0</v>
      </c>
      <c r="AM129" s="436">
        <f>AL129/VPI!R129</f>
        <v>0</v>
      </c>
      <c r="AN129" s="8"/>
      <c r="AO129" s="268"/>
      <c r="AP129" s="522">
        <v>16.994594506724209</v>
      </c>
      <c r="AR129" s="539">
        <v>1</v>
      </c>
    </row>
    <row r="130" spans="1:92" x14ac:dyDescent="0.25">
      <c r="A130" s="190">
        <v>5627</v>
      </c>
      <c r="B130" s="440" t="s">
        <v>220</v>
      </c>
      <c r="C130" s="528">
        <v>10411109.050000001</v>
      </c>
      <c r="D130" s="528">
        <v>721203.07</v>
      </c>
      <c r="E130" s="528"/>
      <c r="F130" s="529"/>
      <c r="G130" s="528">
        <v>941003.75</v>
      </c>
      <c r="H130" s="528">
        <v>169582.1</v>
      </c>
      <c r="I130" s="528"/>
      <c r="J130" s="528">
        <v>1043045.66</v>
      </c>
      <c r="K130" s="528">
        <v>343110.65</v>
      </c>
      <c r="L130" s="528">
        <v>1731077.1</v>
      </c>
      <c r="M130" s="491">
        <f t="shared" si="4"/>
        <v>15360131.380000001</v>
      </c>
      <c r="N130" s="241">
        <v>448239.95</v>
      </c>
      <c r="O130" s="241">
        <v>273706.7</v>
      </c>
      <c r="P130" s="241">
        <v>1097686.5</v>
      </c>
      <c r="Q130" s="241">
        <v>70635.490000000005</v>
      </c>
      <c r="R130" s="241">
        <v>344514.55</v>
      </c>
      <c r="S130" s="528">
        <v>116061.92</v>
      </c>
      <c r="T130" s="491">
        <f t="shared" si="5"/>
        <v>17710976.490000002</v>
      </c>
      <c r="U130" s="237">
        <v>-344405.42</v>
      </c>
      <c r="V130" s="241"/>
      <c r="W130" s="241">
        <v>-1864.13</v>
      </c>
      <c r="X130" s="533">
        <v>77.5</v>
      </c>
      <c r="Y130" s="536">
        <v>1.5</v>
      </c>
      <c r="Z130" s="213">
        <v>8734</v>
      </c>
      <c r="AA130" s="265"/>
      <c r="AB130" s="235"/>
      <c r="AC130" s="436">
        <f>AB130/VPI!R130</f>
        <v>0</v>
      </c>
      <c r="AD130" s="438">
        <f t="shared" si="6"/>
        <v>0</v>
      </c>
      <c r="AE130" s="436">
        <f>AD130/VPI!R130</f>
        <v>0</v>
      </c>
      <c r="AF130" s="235"/>
      <c r="AG130" s="235"/>
      <c r="AH130" s="235"/>
      <c r="AI130" s="268"/>
      <c r="AJ130" s="8"/>
      <c r="AK130" s="436">
        <f>AJ130/VPI!R130</f>
        <v>0</v>
      </c>
      <c r="AL130" s="438">
        <f t="shared" si="7"/>
        <v>0</v>
      </c>
      <c r="AM130" s="436">
        <f>AL130/VPI!R130</f>
        <v>0</v>
      </c>
      <c r="AN130" s="8"/>
      <c r="AO130" s="268"/>
      <c r="AP130" s="522">
        <v>-18.604475147736416</v>
      </c>
      <c r="AR130" s="539">
        <v>1</v>
      </c>
    </row>
    <row r="131" spans="1:92" x14ac:dyDescent="0.25">
      <c r="A131" s="190">
        <v>5628</v>
      </c>
      <c r="B131" s="440" t="s">
        <v>221</v>
      </c>
      <c r="C131" s="528">
        <v>1576307.52</v>
      </c>
      <c r="D131" s="528"/>
      <c r="E131" s="528"/>
      <c r="F131" s="529"/>
      <c r="G131" s="528">
        <v>7491.75</v>
      </c>
      <c r="H131" s="528">
        <v>1858.35</v>
      </c>
      <c r="I131" s="528"/>
      <c r="J131" s="528">
        <v>21662.06</v>
      </c>
      <c r="K131" s="528">
        <v>859.5</v>
      </c>
      <c r="L131" s="528">
        <v>110279.5</v>
      </c>
      <c r="M131" s="491">
        <f t="shared" si="4"/>
        <v>1718458.6800000002</v>
      </c>
      <c r="N131" s="241">
        <v>811.3</v>
      </c>
      <c r="O131" s="241">
        <v>0</v>
      </c>
      <c r="P131" s="241">
        <v>50682.3</v>
      </c>
      <c r="Q131" s="241">
        <v>0</v>
      </c>
      <c r="R131" s="241">
        <v>146560.5</v>
      </c>
      <c r="S131" s="528">
        <v>977.13</v>
      </c>
      <c r="T131" s="491">
        <f t="shared" si="5"/>
        <v>1917489.9100000001</v>
      </c>
      <c r="U131" s="237">
        <v>-4830.5</v>
      </c>
      <c r="V131" s="241"/>
      <c r="W131" s="241">
        <v>-1707.8</v>
      </c>
      <c r="X131" s="533">
        <v>62</v>
      </c>
      <c r="Y131" s="536">
        <v>1</v>
      </c>
      <c r="Z131" s="213">
        <v>419</v>
      </c>
      <c r="AA131" s="265"/>
      <c r="AB131" s="235"/>
      <c r="AC131" s="436">
        <f>AB131/VPI!R131</f>
        <v>0</v>
      </c>
      <c r="AD131" s="438">
        <f t="shared" si="6"/>
        <v>0</v>
      </c>
      <c r="AE131" s="436">
        <f>AD131/VPI!R131</f>
        <v>0</v>
      </c>
      <c r="AF131" s="235"/>
      <c r="AG131" s="235"/>
      <c r="AH131" s="235"/>
      <c r="AI131" s="268"/>
      <c r="AJ131" s="8"/>
      <c r="AK131" s="436">
        <f>AJ131/VPI!R131</f>
        <v>0</v>
      </c>
      <c r="AL131" s="438">
        <f t="shared" si="7"/>
        <v>0</v>
      </c>
      <c r="AM131" s="436">
        <f>AL131/VPI!R131</f>
        <v>0</v>
      </c>
      <c r="AN131" s="8"/>
      <c r="AO131" s="268"/>
      <c r="AP131" s="522">
        <v>32.416378277294953</v>
      </c>
      <c r="AR131" s="539">
        <v>0</v>
      </c>
    </row>
    <row r="132" spans="1:92" x14ac:dyDescent="0.25">
      <c r="A132" s="190">
        <v>5629</v>
      </c>
      <c r="B132" s="440" t="s">
        <v>134</v>
      </c>
      <c r="C132" s="528">
        <v>593500.59</v>
      </c>
      <c r="D132" s="528">
        <v>57429.81</v>
      </c>
      <c r="E132" s="528"/>
      <c r="F132" s="529"/>
      <c r="G132" s="528">
        <v>18773.349999999999</v>
      </c>
      <c r="H132" s="528">
        <v>413.25</v>
      </c>
      <c r="I132" s="528"/>
      <c r="J132" s="528">
        <v>7142.14</v>
      </c>
      <c r="K132" s="528">
        <v>386.55</v>
      </c>
      <c r="L132" s="528">
        <v>38891.550000000003</v>
      </c>
      <c r="M132" s="491">
        <f t="shared" si="4"/>
        <v>716537.24</v>
      </c>
      <c r="N132" s="241">
        <v>1329.8</v>
      </c>
      <c r="O132" s="241">
        <v>3323.1</v>
      </c>
      <c r="P132" s="241">
        <v>18315</v>
      </c>
      <c r="Q132" s="241"/>
      <c r="R132" s="241">
        <v>9695.5</v>
      </c>
      <c r="S132" s="528">
        <v>2005.1</v>
      </c>
      <c r="T132" s="491">
        <f t="shared" si="5"/>
        <v>751205.74</v>
      </c>
      <c r="U132" s="237">
        <v>-1080.8399999999999</v>
      </c>
      <c r="V132" s="241"/>
      <c r="W132" s="241">
        <v>0</v>
      </c>
      <c r="X132" s="533">
        <v>72</v>
      </c>
      <c r="Y132" s="536">
        <v>1</v>
      </c>
      <c r="Z132" s="213">
        <v>218</v>
      </c>
      <c r="AA132" s="265"/>
      <c r="AB132" s="235"/>
      <c r="AC132" s="436">
        <f>AB132/VPI!R132</f>
        <v>0</v>
      </c>
      <c r="AD132" s="438">
        <f t="shared" si="6"/>
        <v>0</v>
      </c>
      <c r="AE132" s="436">
        <f>AD132/VPI!R132</f>
        <v>0</v>
      </c>
      <c r="AF132" s="235"/>
      <c r="AG132" s="235"/>
      <c r="AH132" s="235"/>
      <c r="AI132" s="268"/>
      <c r="AJ132" s="8"/>
      <c r="AK132" s="436">
        <f>AJ132/VPI!R132</f>
        <v>0</v>
      </c>
      <c r="AL132" s="438">
        <f t="shared" si="7"/>
        <v>0</v>
      </c>
      <c r="AM132" s="436">
        <f>AL132/VPI!R132</f>
        <v>0</v>
      </c>
      <c r="AN132" s="8"/>
      <c r="AO132" s="268"/>
      <c r="AP132" s="522">
        <v>27.636928599741729</v>
      </c>
      <c r="AR132" s="539">
        <v>0</v>
      </c>
    </row>
    <row r="133" spans="1:92" x14ac:dyDescent="0.25">
      <c r="A133" s="190">
        <v>5631</v>
      </c>
      <c r="B133" s="440" t="s">
        <v>135</v>
      </c>
      <c r="C133" s="528">
        <v>2090716.09</v>
      </c>
      <c r="D133" s="528">
        <v>415488.77</v>
      </c>
      <c r="E133" s="528"/>
      <c r="F133" s="529"/>
      <c r="G133" s="528">
        <v>-16128.9</v>
      </c>
      <c r="H133" s="528">
        <v>3295.5</v>
      </c>
      <c r="I133" s="528">
        <v>184625.8</v>
      </c>
      <c r="J133" s="528">
        <v>-38180.25</v>
      </c>
      <c r="K133" s="528">
        <v>-2036.35</v>
      </c>
      <c r="L133" s="528">
        <v>221495.85</v>
      </c>
      <c r="M133" s="491">
        <f t="shared" si="4"/>
        <v>2859276.5100000002</v>
      </c>
      <c r="N133" s="241">
        <v>1062.3</v>
      </c>
      <c r="O133" s="241">
        <v>1656.1</v>
      </c>
      <c r="P133" s="241">
        <v>149679.79999999999</v>
      </c>
      <c r="Q133" s="241">
        <v>33.72</v>
      </c>
      <c r="R133" s="241">
        <v>127407.75</v>
      </c>
      <c r="S133" s="528">
        <v>-1341.16</v>
      </c>
      <c r="T133" s="491">
        <f t="shared" si="5"/>
        <v>3137775.02</v>
      </c>
      <c r="U133" s="237">
        <v>-21275.119999999999</v>
      </c>
      <c r="V133" s="241"/>
      <c r="W133" s="241">
        <v>-1480.83</v>
      </c>
      <c r="X133" s="533">
        <v>68</v>
      </c>
      <c r="Y133" s="536">
        <v>1</v>
      </c>
      <c r="Z133" s="213">
        <v>716</v>
      </c>
      <c r="AA133" s="265"/>
      <c r="AB133" s="235"/>
      <c r="AC133" s="436">
        <f>AB133/VPI!R133</f>
        <v>0</v>
      </c>
      <c r="AD133" s="438">
        <f t="shared" si="6"/>
        <v>0</v>
      </c>
      <c r="AE133" s="436">
        <f>AD133/VPI!R133</f>
        <v>0</v>
      </c>
      <c r="AF133" s="235"/>
      <c r="AG133" s="235"/>
      <c r="AH133" s="235"/>
      <c r="AI133" s="268"/>
      <c r="AJ133" s="8"/>
      <c r="AK133" s="436">
        <f>AJ133/VPI!R133</f>
        <v>0</v>
      </c>
      <c r="AL133" s="438">
        <f t="shared" si="7"/>
        <v>0</v>
      </c>
      <c r="AM133" s="436">
        <f>AL133/VPI!R133</f>
        <v>0</v>
      </c>
      <c r="AN133" s="8"/>
      <c r="AO133" s="268"/>
      <c r="AP133" s="522">
        <v>31.310099306135992</v>
      </c>
      <c r="AR133" s="539">
        <v>0</v>
      </c>
    </row>
    <row r="134" spans="1:92" x14ac:dyDescent="0.25">
      <c r="A134" s="190">
        <v>5632</v>
      </c>
      <c r="B134" s="440" t="s">
        <v>136</v>
      </c>
      <c r="C134" s="528">
        <v>3556874.3</v>
      </c>
      <c r="D134" s="528">
        <v>606104.28</v>
      </c>
      <c r="E134" s="528"/>
      <c r="F134" s="529"/>
      <c r="G134" s="528">
        <v>238783.75</v>
      </c>
      <c r="H134" s="528">
        <v>10588.95</v>
      </c>
      <c r="I134" s="528"/>
      <c r="J134" s="528">
        <v>240064.74</v>
      </c>
      <c r="K134" s="528">
        <v>43382.95</v>
      </c>
      <c r="L134" s="528">
        <v>377997.9</v>
      </c>
      <c r="M134" s="491">
        <f t="shared" si="4"/>
        <v>5073796.870000001</v>
      </c>
      <c r="N134" s="241">
        <v>124686.15</v>
      </c>
      <c r="O134" s="241">
        <v>149058.9</v>
      </c>
      <c r="P134" s="241">
        <v>253256.8</v>
      </c>
      <c r="Q134" s="241">
        <v>319.43</v>
      </c>
      <c r="R134" s="241">
        <v>201687.7</v>
      </c>
      <c r="S134" s="528">
        <v>25943.8</v>
      </c>
      <c r="T134" s="491">
        <f t="shared" si="5"/>
        <v>5828749.6500000013</v>
      </c>
      <c r="U134" s="237">
        <v>-34863.69</v>
      </c>
      <c r="V134" s="241"/>
      <c r="W134" s="241">
        <v>-3359.45</v>
      </c>
      <c r="X134" s="533">
        <v>62</v>
      </c>
      <c r="Y134" s="536">
        <v>1</v>
      </c>
      <c r="Z134" s="213">
        <v>1777</v>
      </c>
      <c r="AA134" s="265"/>
      <c r="AB134" s="235"/>
      <c r="AC134" s="436">
        <f>AB134/VPI!R134</f>
        <v>0</v>
      </c>
      <c r="AD134" s="438">
        <f t="shared" si="6"/>
        <v>0</v>
      </c>
      <c r="AE134" s="436">
        <f>AD134/VPI!R134</f>
        <v>0</v>
      </c>
      <c r="AF134" s="235"/>
      <c r="AG134" s="235"/>
      <c r="AH134" s="235"/>
      <c r="AI134" s="268"/>
      <c r="AJ134" s="8"/>
      <c r="AK134" s="436">
        <f>AJ134/VPI!R134</f>
        <v>0</v>
      </c>
      <c r="AL134" s="438">
        <f t="shared" si="7"/>
        <v>0</v>
      </c>
      <c r="AM134" s="436">
        <f>AL134/VPI!R134</f>
        <v>0</v>
      </c>
      <c r="AN134" s="8"/>
      <c r="AO134" s="268"/>
      <c r="AP134" s="522">
        <v>25.336604270426928</v>
      </c>
      <c r="AR134" s="539">
        <v>0</v>
      </c>
    </row>
    <row r="135" spans="1:92" x14ac:dyDescent="0.25">
      <c r="A135" s="190">
        <v>5633</v>
      </c>
      <c r="B135" s="440" t="s">
        <v>137</v>
      </c>
      <c r="C135" s="528">
        <v>5860041.6799999997</v>
      </c>
      <c r="D135" s="528">
        <v>1849324.47</v>
      </c>
      <c r="E135" s="528"/>
      <c r="F135" s="529"/>
      <c r="G135" s="528">
        <v>416259.75</v>
      </c>
      <c r="H135" s="528">
        <v>77853</v>
      </c>
      <c r="I135" s="528"/>
      <c r="J135" s="528">
        <v>209258.7</v>
      </c>
      <c r="K135" s="528">
        <v>12737.45</v>
      </c>
      <c r="L135" s="528">
        <v>690714.4</v>
      </c>
      <c r="M135" s="491">
        <f t="shared" ref="M135:M198" si="8">SUM(C135:L135)</f>
        <v>9116189.4499999993</v>
      </c>
      <c r="N135" s="241">
        <v>142644.15</v>
      </c>
      <c r="O135" s="241">
        <v>148192.9</v>
      </c>
      <c r="P135" s="241">
        <v>625375.4</v>
      </c>
      <c r="Q135" s="241">
        <v>-8001.33</v>
      </c>
      <c r="R135" s="241">
        <v>251776.5</v>
      </c>
      <c r="S135" s="528">
        <v>51637.32</v>
      </c>
      <c r="T135" s="491">
        <f t="shared" ref="T135:T198" si="9">SUM(M135:S135)</f>
        <v>10327814.390000001</v>
      </c>
      <c r="U135" s="237">
        <v>-72342.539999999994</v>
      </c>
      <c r="V135" s="241"/>
      <c r="W135" s="241">
        <v>-22444.35</v>
      </c>
      <c r="X135" s="533">
        <v>60.5</v>
      </c>
      <c r="Y135" s="536">
        <v>1</v>
      </c>
      <c r="Z135" s="213">
        <v>2891</v>
      </c>
      <c r="AA135" s="265"/>
      <c r="AB135" s="235"/>
      <c r="AC135" s="436">
        <f>AB135/VPI!R135</f>
        <v>0</v>
      </c>
      <c r="AD135" s="438">
        <f t="shared" ref="AD135:AD198" si="10">AF135-AB135</f>
        <v>0</v>
      </c>
      <c r="AE135" s="436">
        <f>AD135/VPI!R135</f>
        <v>0</v>
      </c>
      <c r="AF135" s="235"/>
      <c r="AG135" s="235"/>
      <c r="AH135" s="235"/>
      <c r="AI135" s="268"/>
      <c r="AJ135" s="8"/>
      <c r="AK135" s="436">
        <f>AJ135/VPI!R135</f>
        <v>0</v>
      </c>
      <c r="AL135" s="438">
        <f t="shared" ref="AL135:AL198" si="11">AN135-AJ135</f>
        <v>0</v>
      </c>
      <c r="AM135" s="436">
        <f>AL135/VPI!R135</f>
        <v>0</v>
      </c>
      <c r="AN135" s="8"/>
      <c r="AO135" s="268"/>
      <c r="AP135" s="522">
        <v>29.193563209628181</v>
      </c>
      <c r="AR135" s="539">
        <v>0</v>
      </c>
    </row>
    <row r="136" spans="1:92" x14ac:dyDescent="0.25">
      <c r="A136" s="190">
        <v>5634</v>
      </c>
      <c r="B136" s="440" t="s">
        <v>138</v>
      </c>
      <c r="C136" s="528">
        <v>9260401.5600000005</v>
      </c>
      <c r="D136" s="528">
        <v>1945097.98</v>
      </c>
      <c r="E136" s="528"/>
      <c r="F136" s="529"/>
      <c r="G136" s="528">
        <v>63667.1</v>
      </c>
      <c r="H136" s="528">
        <v>13042.95</v>
      </c>
      <c r="I136" s="528">
        <v>31390.35</v>
      </c>
      <c r="J136" s="528">
        <v>89514.71</v>
      </c>
      <c r="K136" s="528">
        <v>27518.25</v>
      </c>
      <c r="L136" s="528">
        <v>761438.6</v>
      </c>
      <c r="M136" s="491">
        <f t="shared" si="8"/>
        <v>12192071.5</v>
      </c>
      <c r="N136" s="241">
        <v>61138.1</v>
      </c>
      <c r="O136" s="241">
        <v>976200.8</v>
      </c>
      <c r="P136" s="241">
        <v>379080.7</v>
      </c>
      <c r="Q136" s="241">
        <v>243.8</v>
      </c>
      <c r="R136" s="241">
        <v>449542.7</v>
      </c>
      <c r="S136" s="528">
        <v>8016.59</v>
      </c>
      <c r="T136" s="491">
        <f t="shared" si="9"/>
        <v>14066294.189999999</v>
      </c>
      <c r="U136" s="237">
        <v>-102104.03</v>
      </c>
      <c r="V136" s="241"/>
      <c r="W136" s="241">
        <v>-11144</v>
      </c>
      <c r="X136" s="533">
        <v>66</v>
      </c>
      <c r="Y136" s="536">
        <v>1</v>
      </c>
      <c r="Z136" s="213">
        <v>3214</v>
      </c>
      <c r="AA136" s="265"/>
      <c r="AB136" s="235"/>
      <c r="AC136" s="436">
        <f>AB136/VPI!R136</f>
        <v>0</v>
      </c>
      <c r="AD136" s="438">
        <f t="shared" si="10"/>
        <v>0</v>
      </c>
      <c r="AE136" s="436">
        <f>AD136/VPI!R136</f>
        <v>0</v>
      </c>
      <c r="AF136" s="235"/>
      <c r="AG136" s="235"/>
      <c r="AH136" s="235"/>
      <c r="AI136" s="268"/>
      <c r="AJ136" s="8"/>
      <c r="AK136" s="436">
        <f>AJ136/VPI!R136</f>
        <v>0</v>
      </c>
      <c r="AL136" s="438">
        <f t="shared" si="11"/>
        <v>0</v>
      </c>
      <c r="AM136" s="436">
        <f>AL136/VPI!R136</f>
        <v>0</v>
      </c>
      <c r="AN136" s="8"/>
      <c r="AO136" s="268"/>
      <c r="AP136" s="522">
        <v>25.035936429124895</v>
      </c>
      <c r="AR136" s="539">
        <v>0</v>
      </c>
    </row>
    <row r="137" spans="1:92" x14ac:dyDescent="0.25">
      <c r="A137" s="190">
        <v>5635</v>
      </c>
      <c r="B137" s="440" t="s">
        <v>139</v>
      </c>
      <c r="C137" s="528">
        <v>19273622.510000002</v>
      </c>
      <c r="D137" s="528">
        <v>2956306.99</v>
      </c>
      <c r="E137" s="528"/>
      <c r="F137" s="529"/>
      <c r="G137" s="528">
        <v>3774914.85</v>
      </c>
      <c r="H137" s="528">
        <v>972171.8</v>
      </c>
      <c r="I137" s="528"/>
      <c r="J137" s="528">
        <v>1797106.7</v>
      </c>
      <c r="K137" s="528">
        <v>595772.35</v>
      </c>
      <c r="L137" s="528">
        <v>3214275.25</v>
      </c>
      <c r="M137" s="491">
        <f t="shared" si="8"/>
        <v>32584170.450000003</v>
      </c>
      <c r="N137" s="241">
        <v>1479159.55</v>
      </c>
      <c r="O137" s="241">
        <v>576265.80000000005</v>
      </c>
      <c r="P137" s="241">
        <v>2060246.7</v>
      </c>
      <c r="Q137" s="241">
        <v>101600.35</v>
      </c>
      <c r="R137" s="241">
        <v>1050738.45</v>
      </c>
      <c r="S137" s="528">
        <v>496094.93</v>
      </c>
      <c r="T137" s="491">
        <f t="shared" si="9"/>
        <v>38348276.230000004</v>
      </c>
      <c r="U137" s="237">
        <v>-334886.88</v>
      </c>
      <c r="V137" s="241"/>
      <c r="W137" s="241">
        <v>-50924.25</v>
      </c>
      <c r="X137" s="533">
        <v>62.5</v>
      </c>
      <c r="Y137" s="536">
        <v>1.2</v>
      </c>
      <c r="Z137" s="213">
        <v>13142</v>
      </c>
      <c r="AA137" s="265"/>
      <c r="AB137" s="235"/>
      <c r="AC137" s="436">
        <f>AB137/VPI!R137</f>
        <v>0</v>
      </c>
      <c r="AD137" s="438">
        <f t="shared" si="10"/>
        <v>0</v>
      </c>
      <c r="AE137" s="436">
        <f>AD137/VPI!R137</f>
        <v>0</v>
      </c>
      <c r="AF137" s="235"/>
      <c r="AG137" s="235"/>
      <c r="AH137" s="235"/>
      <c r="AI137" s="268"/>
      <c r="AJ137" s="8"/>
      <c r="AK137" s="436">
        <f>AJ137/VPI!R137</f>
        <v>0</v>
      </c>
      <c r="AL137" s="438">
        <f t="shared" si="11"/>
        <v>0</v>
      </c>
      <c r="AM137" s="436">
        <f>AL137/VPI!R137</f>
        <v>0</v>
      </c>
      <c r="AN137" s="8"/>
      <c r="AO137" s="268"/>
      <c r="AP137" s="522">
        <v>25.802334834925311</v>
      </c>
      <c r="AR137" s="539">
        <v>1</v>
      </c>
    </row>
    <row r="138" spans="1:92" x14ac:dyDescent="0.25">
      <c r="A138" s="190">
        <v>5636</v>
      </c>
      <c r="B138" s="440" t="s">
        <v>140</v>
      </c>
      <c r="C138" s="528">
        <v>6196968.7699999996</v>
      </c>
      <c r="D138" s="528">
        <v>1008985.86</v>
      </c>
      <c r="E138" s="528"/>
      <c r="F138" s="529"/>
      <c r="G138" s="528">
        <v>1852769</v>
      </c>
      <c r="H138" s="528">
        <v>314671.59999999998</v>
      </c>
      <c r="I138" s="528">
        <v>-30375.35</v>
      </c>
      <c r="J138" s="528">
        <v>466665.45</v>
      </c>
      <c r="K138" s="528">
        <v>227402.65</v>
      </c>
      <c r="L138" s="528">
        <v>1234985.1499999999</v>
      </c>
      <c r="M138" s="491">
        <f t="shared" si="8"/>
        <v>11272073.129999999</v>
      </c>
      <c r="N138" s="241">
        <v>642974.15</v>
      </c>
      <c r="O138" s="241">
        <v>546951.9</v>
      </c>
      <c r="P138" s="241">
        <v>698026.15</v>
      </c>
      <c r="Q138" s="241">
        <v>26419.23</v>
      </c>
      <c r="R138" s="241">
        <v>218410.7</v>
      </c>
      <c r="S138" s="528">
        <v>226508.67</v>
      </c>
      <c r="T138" s="491">
        <f t="shared" si="9"/>
        <v>13631363.93</v>
      </c>
      <c r="U138" s="237">
        <v>-153262.98000000001</v>
      </c>
      <c r="V138" s="241"/>
      <c r="W138" s="241">
        <v>-4237.0200000000004</v>
      </c>
      <c r="X138" s="533">
        <v>60</v>
      </c>
      <c r="Y138" s="536">
        <v>1</v>
      </c>
      <c r="Z138" s="213">
        <v>2941</v>
      </c>
      <c r="AA138" s="265"/>
      <c r="AB138" s="235"/>
      <c r="AC138" s="436">
        <f>AB138/VPI!R138</f>
        <v>0</v>
      </c>
      <c r="AD138" s="438">
        <f t="shared" si="10"/>
        <v>0</v>
      </c>
      <c r="AE138" s="436">
        <f>AD138/VPI!R138</f>
        <v>0</v>
      </c>
      <c r="AF138" s="235"/>
      <c r="AG138" s="235"/>
      <c r="AH138" s="235"/>
      <c r="AI138" s="268"/>
      <c r="AJ138" s="8"/>
      <c r="AK138" s="436">
        <f>AJ138/VPI!R138</f>
        <v>0</v>
      </c>
      <c r="AL138" s="438">
        <f t="shared" si="11"/>
        <v>0</v>
      </c>
      <c r="AM138" s="436">
        <f>AL138/VPI!R138</f>
        <v>0</v>
      </c>
      <c r="AN138" s="8"/>
      <c r="AO138" s="268"/>
      <c r="AP138" s="522">
        <v>30.11019375937699</v>
      </c>
      <c r="AR138" s="539">
        <v>0</v>
      </c>
    </row>
    <row r="139" spans="1:92" x14ac:dyDescent="0.25">
      <c r="A139" s="190">
        <v>5637</v>
      </c>
      <c r="B139" s="440" t="s">
        <v>141</v>
      </c>
      <c r="C139" s="528">
        <v>2056519.43</v>
      </c>
      <c r="D139" s="528">
        <v>260001.07</v>
      </c>
      <c r="E139" s="528"/>
      <c r="F139" s="529"/>
      <c r="G139" s="528">
        <v>44218.15</v>
      </c>
      <c r="H139" s="528">
        <v>1988.55</v>
      </c>
      <c r="I139" s="528"/>
      <c r="J139" s="528">
        <v>129469.89</v>
      </c>
      <c r="K139" s="528">
        <v>8415.35</v>
      </c>
      <c r="L139" s="528">
        <v>299425.5</v>
      </c>
      <c r="M139" s="491">
        <f t="shared" si="8"/>
        <v>2800037.94</v>
      </c>
      <c r="N139" s="241">
        <v>298364.55</v>
      </c>
      <c r="O139" s="241">
        <v>33358.9</v>
      </c>
      <c r="P139" s="241">
        <v>109515.5</v>
      </c>
      <c r="Q139" s="241">
        <v>610.61</v>
      </c>
      <c r="R139" s="241">
        <v>64010.3</v>
      </c>
      <c r="S139" s="528">
        <v>4828.84</v>
      </c>
      <c r="T139" s="491">
        <f t="shared" si="9"/>
        <v>3310726.6399999992</v>
      </c>
      <c r="U139" s="237">
        <v>-55283.46</v>
      </c>
      <c r="V139" s="241"/>
      <c r="W139" s="241">
        <v>-937.31</v>
      </c>
      <c r="X139" s="533">
        <v>73</v>
      </c>
      <c r="Y139" s="536">
        <v>1.5</v>
      </c>
      <c r="Z139" s="213">
        <v>1038</v>
      </c>
      <c r="AA139" s="265"/>
      <c r="AB139" s="235"/>
      <c r="AC139" s="436">
        <f>AB139/VPI!R139</f>
        <v>0</v>
      </c>
      <c r="AD139" s="438">
        <f t="shared" si="10"/>
        <v>0</v>
      </c>
      <c r="AE139" s="436">
        <f>AD139/VPI!R139</f>
        <v>0</v>
      </c>
      <c r="AF139" s="235"/>
      <c r="AG139" s="235"/>
      <c r="AH139" s="235"/>
      <c r="AI139" s="268"/>
      <c r="AJ139" s="8"/>
      <c r="AK139" s="436">
        <f>AJ139/VPI!R139</f>
        <v>0</v>
      </c>
      <c r="AL139" s="438">
        <f t="shared" si="11"/>
        <v>0</v>
      </c>
      <c r="AM139" s="436">
        <f>AL139/VPI!R139</f>
        <v>0</v>
      </c>
      <c r="AN139" s="8"/>
      <c r="AO139" s="268"/>
      <c r="AP139" s="522">
        <v>20.723978510820064</v>
      </c>
      <c r="AR139" s="539">
        <v>0</v>
      </c>
    </row>
    <row r="140" spans="1:92" x14ac:dyDescent="0.25">
      <c r="A140" s="190">
        <v>5638</v>
      </c>
      <c r="B140" s="440" t="s">
        <v>142</v>
      </c>
      <c r="C140" s="528">
        <v>5655345.04</v>
      </c>
      <c r="D140" s="528">
        <v>1236428.6100000001</v>
      </c>
      <c r="E140" s="528"/>
      <c r="F140" s="529"/>
      <c r="G140" s="528">
        <v>442645.8</v>
      </c>
      <c r="H140" s="528">
        <v>77750.149999999994</v>
      </c>
      <c r="I140" s="528">
        <v>71005.399999999994</v>
      </c>
      <c r="J140" s="528">
        <v>185754.57</v>
      </c>
      <c r="K140" s="528">
        <v>75992.850000000006</v>
      </c>
      <c r="L140" s="528">
        <v>711845.4</v>
      </c>
      <c r="M140" s="491">
        <f t="shared" si="8"/>
        <v>8456767.8200000003</v>
      </c>
      <c r="N140" s="241">
        <v>285838.84999999998</v>
      </c>
      <c r="O140" s="241">
        <v>5444593.7000000002</v>
      </c>
      <c r="P140" s="241">
        <v>244150.5</v>
      </c>
      <c r="Q140" s="241">
        <v>31883.33</v>
      </c>
      <c r="R140" s="241">
        <v>434599.5</v>
      </c>
      <c r="S140" s="528">
        <v>54384.05</v>
      </c>
      <c r="T140" s="491">
        <f t="shared" si="9"/>
        <v>14952217.750000002</v>
      </c>
      <c r="U140" s="237">
        <v>-60883.78</v>
      </c>
      <c r="V140" s="241"/>
      <c r="W140" s="241">
        <v>-17990.169999999998</v>
      </c>
      <c r="X140" s="533">
        <v>55</v>
      </c>
      <c r="Y140" s="536">
        <v>1</v>
      </c>
      <c r="Z140" s="213">
        <v>2677</v>
      </c>
      <c r="AA140" s="265"/>
      <c r="AB140" s="235"/>
      <c r="AC140" s="436">
        <f>AB140/VPI!R140</f>
        <v>0</v>
      </c>
      <c r="AD140" s="438">
        <f t="shared" si="10"/>
        <v>0</v>
      </c>
      <c r="AE140" s="436">
        <f>AD140/VPI!R140</f>
        <v>0</v>
      </c>
      <c r="AF140" s="235"/>
      <c r="AG140" s="235"/>
      <c r="AH140" s="235"/>
      <c r="AI140" s="268"/>
      <c r="AJ140" s="8"/>
      <c r="AK140" s="436">
        <f>AJ140/VPI!R140</f>
        <v>0</v>
      </c>
      <c r="AL140" s="438">
        <f t="shared" si="11"/>
        <v>0</v>
      </c>
      <c r="AM140" s="436">
        <f>AL140/VPI!R140</f>
        <v>0</v>
      </c>
      <c r="AN140" s="8"/>
      <c r="AO140" s="268"/>
      <c r="AP140" s="522">
        <v>29.670661709047426</v>
      </c>
      <c r="AR140" s="539">
        <v>0</v>
      </c>
    </row>
    <row r="141" spans="1:92" x14ac:dyDescent="0.25">
      <c r="A141" s="190">
        <v>5639</v>
      </c>
      <c r="B141" s="440" t="s">
        <v>143</v>
      </c>
      <c r="C141" s="528">
        <v>2220418.09</v>
      </c>
      <c r="D141" s="528">
        <v>666926.55000000005</v>
      </c>
      <c r="E141" s="528"/>
      <c r="F141" s="529"/>
      <c r="G141" s="528">
        <v>53571.35</v>
      </c>
      <c r="H141" s="528">
        <v>11569.2</v>
      </c>
      <c r="I141" s="528"/>
      <c r="J141" s="528">
        <v>17788.330000000002</v>
      </c>
      <c r="K141" s="528">
        <v>2807.35</v>
      </c>
      <c r="L141" s="528">
        <v>264611.55</v>
      </c>
      <c r="M141" s="491">
        <f t="shared" si="8"/>
        <v>3237692.42</v>
      </c>
      <c r="N141" s="241">
        <v>18593.8</v>
      </c>
      <c r="O141" s="241">
        <v>18310.400000000001</v>
      </c>
      <c r="P141" s="241">
        <v>152355.85</v>
      </c>
      <c r="Q141" s="241">
        <v>415.77</v>
      </c>
      <c r="R141" s="241">
        <v>52218.8</v>
      </c>
      <c r="S141" s="528">
        <v>6807.52</v>
      </c>
      <c r="T141" s="491">
        <f t="shared" si="9"/>
        <v>3486394.5599999996</v>
      </c>
      <c r="U141" s="237">
        <v>-3344.64</v>
      </c>
      <c r="V141" s="241"/>
      <c r="W141" s="241">
        <v>-1876.2</v>
      </c>
      <c r="X141" s="533">
        <v>61</v>
      </c>
      <c r="Y141" s="536">
        <v>1.25</v>
      </c>
      <c r="Z141" s="213">
        <v>827</v>
      </c>
      <c r="AA141" s="265"/>
      <c r="AB141" s="235"/>
      <c r="AC141" s="436">
        <f>AB141/VPI!R141</f>
        <v>0</v>
      </c>
      <c r="AD141" s="438">
        <f t="shared" si="10"/>
        <v>0</v>
      </c>
      <c r="AE141" s="436">
        <f>AD141/VPI!R141</f>
        <v>0</v>
      </c>
      <c r="AF141" s="235"/>
      <c r="AG141" s="235"/>
      <c r="AH141" s="235"/>
      <c r="AI141" s="268"/>
      <c r="AJ141" s="8"/>
      <c r="AK141" s="436">
        <f>AJ141/VPI!R141</f>
        <v>0</v>
      </c>
      <c r="AL141" s="438">
        <f t="shared" si="11"/>
        <v>0</v>
      </c>
      <c r="AM141" s="436">
        <f>AL141/VPI!R141</f>
        <v>0</v>
      </c>
      <c r="AN141" s="8"/>
      <c r="AO141" s="268"/>
      <c r="AP141" s="522">
        <v>32.666897351810789</v>
      </c>
      <c r="AR141" s="539">
        <v>0</v>
      </c>
    </row>
    <row r="142" spans="1:92" x14ac:dyDescent="0.25">
      <c r="A142" s="190">
        <v>5640</v>
      </c>
      <c r="B142" s="440" t="s">
        <v>144</v>
      </c>
      <c r="C142" s="528">
        <v>2593052.6800000002</v>
      </c>
      <c r="D142" s="528">
        <v>652227.94999999995</v>
      </c>
      <c r="E142" s="528"/>
      <c r="F142" s="529"/>
      <c r="G142" s="528">
        <v>65049</v>
      </c>
      <c r="H142" s="528">
        <v>4319.1000000000004</v>
      </c>
      <c r="I142" s="528">
        <v>104668.49</v>
      </c>
      <c r="J142" s="528">
        <v>74315.009999999995</v>
      </c>
      <c r="K142" s="528">
        <v>10925.25</v>
      </c>
      <c r="L142" s="528">
        <v>219923.65</v>
      </c>
      <c r="M142" s="491">
        <f t="shared" si="8"/>
        <v>3724481.13</v>
      </c>
      <c r="N142" s="241">
        <v>16539.650000000001</v>
      </c>
      <c r="O142" s="241">
        <v>4118191.9</v>
      </c>
      <c r="P142" s="241">
        <v>137918.39999999999</v>
      </c>
      <c r="Q142" s="241">
        <v>5572.33</v>
      </c>
      <c r="R142" s="241">
        <v>28369.4</v>
      </c>
      <c r="S142" s="528">
        <v>7249.32</v>
      </c>
      <c r="T142" s="491">
        <f t="shared" si="9"/>
        <v>8038322.1300000008</v>
      </c>
      <c r="U142" s="237">
        <v>-4352.1499999999996</v>
      </c>
      <c r="V142" s="241"/>
      <c r="W142" s="241">
        <v>-6689.35</v>
      </c>
      <c r="X142" s="533">
        <v>64.5</v>
      </c>
      <c r="Y142" s="536">
        <v>1</v>
      </c>
      <c r="Z142" s="213">
        <v>730</v>
      </c>
      <c r="AA142" s="265"/>
      <c r="AB142" s="235"/>
      <c r="AC142" s="436">
        <f>AB142/VPI!R142</f>
        <v>0</v>
      </c>
      <c r="AD142" s="438">
        <f t="shared" si="10"/>
        <v>0</v>
      </c>
      <c r="AE142" s="436">
        <f>AD142/VPI!R142</f>
        <v>0</v>
      </c>
      <c r="AF142" s="235"/>
      <c r="AG142" s="235"/>
      <c r="AH142" s="235"/>
      <c r="AI142" s="268"/>
      <c r="AJ142" s="8"/>
      <c r="AK142" s="436">
        <f>AJ142/VPI!R142</f>
        <v>0</v>
      </c>
      <c r="AL142" s="438">
        <f t="shared" si="11"/>
        <v>0</v>
      </c>
      <c r="AM142" s="436">
        <f>AL142/VPI!R142</f>
        <v>0</v>
      </c>
      <c r="AN142" s="8"/>
      <c r="AO142" s="268"/>
      <c r="AP142" s="522">
        <v>39.950806193764585</v>
      </c>
      <c r="AR142" s="539">
        <v>1</v>
      </c>
    </row>
    <row r="143" spans="1:92" s="187" customFormat="1" x14ac:dyDescent="0.25">
      <c r="A143" s="190">
        <v>5642</v>
      </c>
      <c r="B143" s="440" t="s">
        <v>145</v>
      </c>
      <c r="C143" s="528">
        <v>39870694.57</v>
      </c>
      <c r="D143" s="528">
        <v>6477261.3499999996</v>
      </c>
      <c r="E143" s="528"/>
      <c r="F143" s="529"/>
      <c r="G143" s="528">
        <v>12073829.199999999</v>
      </c>
      <c r="H143" s="528">
        <v>-153042.54999999999</v>
      </c>
      <c r="I143" s="528">
        <v>266429.24</v>
      </c>
      <c r="J143" s="528">
        <v>2400215.56</v>
      </c>
      <c r="K143" s="528">
        <v>527538.19999999995</v>
      </c>
      <c r="L143" s="528">
        <v>3517820.55</v>
      </c>
      <c r="M143" s="491">
        <f t="shared" si="8"/>
        <v>64980746.120000012</v>
      </c>
      <c r="N143" s="241">
        <v>1601890.1</v>
      </c>
      <c r="O143" s="241">
        <v>2935540.6</v>
      </c>
      <c r="P143" s="241">
        <v>1427831.4</v>
      </c>
      <c r="Q143" s="241">
        <v>120064.25</v>
      </c>
      <c r="R143" s="241">
        <v>1754574.8</v>
      </c>
      <c r="S143" s="528">
        <v>1245783.3999999999</v>
      </c>
      <c r="T143" s="491">
        <f t="shared" si="9"/>
        <v>74066430.670000017</v>
      </c>
      <c r="U143" s="237">
        <v>-609512.84</v>
      </c>
      <c r="V143" s="241"/>
      <c r="W143" s="241">
        <v>-40416.22</v>
      </c>
      <c r="X143" s="533">
        <v>67</v>
      </c>
      <c r="Y143" s="536">
        <v>1</v>
      </c>
      <c r="Z143" s="213">
        <v>17535</v>
      </c>
      <c r="AA143" s="265"/>
      <c r="AB143" s="235"/>
      <c r="AC143" s="436">
        <f>AB143/VPI!R143</f>
        <v>0</v>
      </c>
      <c r="AD143" s="438">
        <f t="shared" si="10"/>
        <v>0</v>
      </c>
      <c r="AE143" s="436">
        <f>AD143/VPI!R143</f>
        <v>0</v>
      </c>
      <c r="AF143" s="235"/>
      <c r="AG143" s="235"/>
      <c r="AH143" s="235"/>
      <c r="AI143" s="268"/>
      <c r="AJ143" s="8"/>
      <c r="AK143" s="436">
        <f>AJ143/VPI!R143</f>
        <v>0</v>
      </c>
      <c r="AL143" s="438">
        <f t="shared" si="11"/>
        <v>0</v>
      </c>
      <c r="AM143" s="436">
        <f>AL143/VPI!R143</f>
        <v>0</v>
      </c>
      <c r="AN143" s="8"/>
      <c r="AO143" s="268"/>
      <c r="AP143" s="522">
        <v>21.694953838872117</v>
      </c>
      <c r="AQ143" s="237"/>
      <c r="AR143" s="539">
        <v>1</v>
      </c>
      <c r="AS143" s="237"/>
      <c r="AT143" s="237"/>
      <c r="AU143" s="5"/>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row>
    <row r="144" spans="1:92" x14ac:dyDescent="0.25">
      <c r="A144" s="190">
        <v>5643</v>
      </c>
      <c r="B144" s="440" t="s">
        <v>146</v>
      </c>
      <c r="C144" s="528">
        <v>11295543.789999999</v>
      </c>
      <c r="D144" s="528">
        <v>2131823.7799999998</v>
      </c>
      <c r="E144" s="528"/>
      <c r="F144" s="529"/>
      <c r="G144" s="528">
        <v>361553.65</v>
      </c>
      <c r="H144" s="528">
        <v>80692.95</v>
      </c>
      <c r="I144" s="528">
        <v>358963.77</v>
      </c>
      <c r="J144" s="528">
        <v>412475.28</v>
      </c>
      <c r="K144" s="528">
        <v>108863.1</v>
      </c>
      <c r="L144" s="528">
        <v>1160950.95</v>
      </c>
      <c r="M144" s="491">
        <f t="shared" si="8"/>
        <v>15910867.269999996</v>
      </c>
      <c r="N144" s="241">
        <v>183126.6</v>
      </c>
      <c r="O144" s="241">
        <v>295689.8</v>
      </c>
      <c r="P144" s="241">
        <v>449965.2</v>
      </c>
      <c r="Q144" s="241">
        <v>10506.74</v>
      </c>
      <c r="R144" s="241">
        <v>377464.35</v>
      </c>
      <c r="S144" s="528">
        <v>46217.04</v>
      </c>
      <c r="T144" s="491">
        <f t="shared" si="9"/>
        <v>17273836.999999996</v>
      </c>
      <c r="U144" s="237">
        <v>-132251.26999999999</v>
      </c>
      <c r="V144" s="241"/>
      <c r="W144" s="241">
        <v>-40065.440000000002</v>
      </c>
      <c r="X144" s="533">
        <v>62.5</v>
      </c>
      <c r="Y144" s="536">
        <v>1</v>
      </c>
      <c r="Z144" s="213">
        <v>5218</v>
      </c>
      <c r="AA144" s="265"/>
      <c r="AB144" s="235"/>
      <c r="AC144" s="436">
        <f>AB144/VPI!R144</f>
        <v>0</v>
      </c>
      <c r="AD144" s="438">
        <f t="shared" si="10"/>
        <v>0</v>
      </c>
      <c r="AE144" s="436">
        <f>AD144/VPI!R144</f>
        <v>0</v>
      </c>
      <c r="AF144" s="235"/>
      <c r="AG144" s="235"/>
      <c r="AH144" s="235"/>
      <c r="AI144" s="268"/>
      <c r="AJ144" s="8"/>
      <c r="AK144" s="436">
        <f>AJ144/VPI!R144</f>
        <v>0</v>
      </c>
      <c r="AL144" s="438">
        <f t="shared" si="11"/>
        <v>0</v>
      </c>
      <c r="AM144" s="436">
        <f>AL144/VPI!R144</f>
        <v>0</v>
      </c>
      <c r="AN144" s="8"/>
      <c r="AO144" s="268"/>
      <c r="AP144" s="522">
        <v>23.580062684023339</v>
      </c>
      <c r="AR144" s="539">
        <v>1</v>
      </c>
    </row>
    <row r="145" spans="1:47" x14ac:dyDescent="0.25">
      <c r="A145" s="190">
        <v>5645</v>
      </c>
      <c r="B145" s="440" t="s">
        <v>262</v>
      </c>
      <c r="C145" s="528">
        <v>896866.06</v>
      </c>
      <c r="D145" s="528">
        <v>189168.52</v>
      </c>
      <c r="E145" s="528"/>
      <c r="F145" s="529"/>
      <c r="G145" s="528">
        <v>79152.850000000006</v>
      </c>
      <c r="H145" s="528">
        <v>-5231.55</v>
      </c>
      <c r="I145" s="528"/>
      <c r="J145" s="528">
        <v>-12613.84</v>
      </c>
      <c r="K145" s="528">
        <v>21580.5</v>
      </c>
      <c r="L145" s="528">
        <v>162671.5</v>
      </c>
      <c r="M145" s="491">
        <f t="shared" si="8"/>
        <v>1331594.04</v>
      </c>
      <c r="N145" s="241">
        <v>105835.3</v>
      </c>
      <c r="O145" s="241">
        <v>18.899999999999999</v>
      </c>
      <c r="P145" s="241">
        <v>26349.45</v>
      </c>
      <c r="Q145" s="241">
        <v>60.08</v>
      </c>
      <c r="R145" s="241">
        <v>32984.65</v>
      </c>
      <c r="S145" s="528">
        <v>7725.16</v>
      </c>
      <c r="T145" s="491">
        <f t="shared" si="9"/>
        <v>1504567.5799999998</v>
      </c>
      <c r="U145" s="237">
        <v>-7648.22</v>
      </c>
      <c r="V145" s="241"/>
      <c r="W145" s="241">
        <v>-667.21</v>
      </c>
      <c r="X145" s="533">
        <v>56</v>
      </c>
      <c r="Y145" s="536">
        <v>1</v>
      </c>
      <c r="Z145" s="213">
        <v>458</v>
      </c>
      <c r="AA145" s="265"/>
      <c r="AB145" s="235"/>
      <c r="AC145" s="436">
        <f>AB145/VPI!R145</f>
        <v>0</v>
      </c>
      <c r="AD145" s="438">
        <f t="shared" si="10"/>
        <v>0</v>
      </c>
      <c r="AE145" s="436">
        <f>AD145/VPI!R145</f>
        <v>0</v>
      </c>
      <c r="AF145" s="235"/>
      <c r="AG145" s="235"/>
      <c r="AH145" s="235"/>
      <c r="AI145" s="268"/>
      <c r="AJ145" s="8"/>
      <c r="AK145" s="436">
        <f>AJ145/VPI!R145</f>
        <v>0</v>
      </c>
      <c r="AL145" s="438">
        <f t="shared" si="11"/>
        <v>0</v>
      </c>
      <c r="AM145" s="436">
        <f>AL145/VPI!R145</f>
        <v>0</v>
      </c>
      <c r="AN145" s="8"/>
      <c r="AO145" s="268"/>
      <c r="AP145" s="522">
        <v>30.364870537888006</v>
      </c>
      <c r="AR145" s="539">
        <v>0</v>
      </c>
    </row>
    <row r="146" spans="1:47" x14ac:dyDescent="0.25">
      <c r="A146" s="190">
        <v>5646</v>
      </c>
      <c r="B146" s="440" t="s">
        <v>263</v>
      </c>
      <c r="C146" s="528">
        <v>14167285.82</v>
      </c>
      <c r="D146" s="528">
        <v>3291926.33</v>
      </c>
      <c r="E146" s="528"/>
      <c r="F146" s="529"/>
      <c r="G146" s="528">
        <v>3139877.25</v>
      </c>
      <c r="H146" s="528">
        <v>6135056.25</v>
      </c>
      <c r="I146" s="528">
        <v>675909.13</v>
      </c>
      <c r="J146" s="528">
        <v>328610.83</v>
      </c>
      <c r="K146" s="528">
        <v>162060.35</v>
      </c>
      <c r="L146" s="528">
        <v>2068669.05</v>
      </c>
      <c r="M146" s="491">
        <f t="shared" si="8"/>
        <v>29969395.009999998</v>
      </c>
      <c r="N146" s="241">
        <v>672225.75</v>
      </c>
      <c r="O146" s="241">
        <v>2856509</v>
      </c>
      <c r="P146" s="241">
        <v>805531.25</v>
      </c>
      <c r="Q146" s="241">
        <v>19039.990000000002</v>
      </c>
      <c r="R146" s="241">
        <v>755063.35</v>
      </c>
      <c r="S146" s="528">
        <v>969278.17</v>
      </c>
      <c r="T146" s="491">
        <f t="shared" si="9"/>
        <v>36047042.520000003</v>
      </c>
      <c r="U146" s="237">
        <v>-171672.91</v>
      </c>
      <c r="V146" s="241"/>
      <c r="W146" s="241">
        <v>-22144.55</v>
      </c>
      <c r="X146" s="533">
        <v>59</v>
      </c>
      <c r="Y146" s="536">
        <v>1.2</v>
      </c>
      <c r="Z146" s="213">
        <v>5877</v>
      </c>
      <c r="AA146" s="265"/>
      <c r="AB146" s="235"/>
      <c r="AC146" s="436">
        <f>AB146/VPI!R146</f>
        <v>0</v>
      </c>
      <c r="AD146" s="438">
        <f t="shared" si="10"/>
        <v>0</v>
      </c>
      <c r="AE146" s="436">
        <f>AD146/VPI!R146</f>
        <v>0</v>
      </c>
      <c r="AF146" s="235"/>
      <c r="AG146" s="235"/>
      <c r="AH146" s="235"/>
      <c r="AI146" s="268"/>
      <c r="AJ146" s="8"/>
      <c r="AK146" s="436">
        <f>AJ146/VPI!R146</f>
        <v>0</v>
      </c>
      <c r="AL146" s="438">
        <f t="shared" si="11"/>
        <v>0</v>
      </c>
      <c r="AM146" s="436">
        <f>AL146/VPI!R146</f>
        <v>0</v>
      </c>
      <c r="AN146" s="8"/>
      <c r="AO146" s="268"/>
      <c r="AP146" s="522">
        <v>35.111281801415565</v>
      </c>
      <c r="AR146" s="539">
        <v>1</v>
      </c>
    </row>
    <row r="147" spans="1:47" x14ac:dyDescent="0.25">
      <c r="A147" s="190">
        <v>5648</v>
      </c>
      <c r="B147" s="440" t="s">
        <v>264</v>
      </c>
      <c r="C147" s="528">
        <v>15006223.35</v>
      </c>
      <c r="D147" s="528">
        <v>4120924.67</v>
      </c>
      <c r="E147" s="528"/>
      <c r="F147" s="529"/>
      <c r="G147" s="528">
        <v>859650.2</v>
      </c>
      <c r="H147" s="528">
        <v>-10940.35</v>
      </c>
      <c r="I147" s="528">
        <v>246593.19</v>
      </c>
      <c r="J147" s="528">
        <v>839949.43</v>
      </c>
      <c r="K147" s="528">
        <v>235136.3</v>
      </c>
      <c r="L147" s="528">
        <v>1470926.29</v>
      </c>
      <c r="M147" s="491">
        <f t="shared" si="8"/>
        <v>22768463.079999998</v>
      </c>
      <c r="N147" s="241">
        <v>77180.149999999994</v>
      </c>
      <c r="O147" s="241">
        <v>54740.800000000003</v>
      </c>
      <c r="P147" s="241">
        <v>804965.25</v>
      </c>
      <c r="Q147" s="241">
        <v>28144.13</v>
      </c>
      <c r="R147" s="241">
        <v>847280.4</v>
      </c>
      <c r="S147" s="528">
        <v>88694.54</v>
      </c>
      <c r="T147" s="491">
        <f t="shared" si="9"/>
        <v>24669468.349999994</v>
      </c>
      <c r="U147" s="237">
        <v>-184047.47</v>
      </c>
      <c r="V147" s="241"/>
      <c r="W147" s="241">
        <v>-131761.34</v>
      </c>
      <c r="X147" s="533">
        <v>55</v>
      </c>
      <c r="Y147" s="536">
        <v>0.8</v>
      </c>
      <c r="Z147" s="213">
        <v>5043</v>
      </c>
      <c r="AA147" s="265"/>
      <c r="AB147" s="235"/>
      <c r="AC147" s="436">
        <f>AB147/VPI!R147</f>
        <v>0</v>
      </c>
      <c r="AD147" s="438">
        <f t="shared" si="10"/>
        <v>0</v>
      </c>
      <c r="AE147" s="436">
        <f>AD147/VPI!R147</f>
        <v>0</v>
      </c>
      <c r="AF147" s="235"/>
      <c r="AG147" s="235"/>
      <c r="AH147" s="235"/>
      <c r="AI147" s="268"/>
      <c r="AJ147" s="8"/>
      <c r="AK147" s="436">
        <f>AJ147/VPI!R147</f>
        <v>0</v>
      </c>
      <c r="AL147" s="438">
        <f t="shared" si="11"/>
        <v>0</v>
      </c>
      <c r="AM147" s="436">
        <f>AL147/VPI!R147</f>
        <v>0</v>
      </c>
      <c r="AN147" s="8"/>
      <c r="AO147" s="268"/>
      <c r="AP147" s="522">
        <v>32.678407814258158</v>
      </c>
      <c r="AR147" s="539">
        <v>1</v>
      </c>
    </row>
    <row r="148" spans="1:47" s="237" customFormat="1" x14ac:dyDescent="0.25">
      <c r="A148" s="190">
        <v>5649</v>
      </c>
      <c r="B148" s="440" t="s">
        <v>265</v>
      </c>
      <c r="C148" s="528">
        <v>3751341.45</v>
      </c>
      <c r="D148" s="528">
        <v>710795.8</v>
      </c>
      <c r="E148" s="528"/>
      <c r="F148" s="529"/>
      <c r="G148" s="528">
        <v>2777187.35</v>
      </c>
      <c r="H148" s="528">
        <v>2183846.7000000002</v>
      </c>
      <c r="I148" s="528">
        <v>58975.95</v>
      </c>
      <c r="J148" s="528">
        <v>526595.52</v>
      </c>
      <c r="K148" s="528">
        <v>58417.15</v>
      </c>
      <c r="L148" s="528">
        <v>577018.80000000005</v>
      </c>
      <c r="M148" s="491">
        <f t="shared" si="8"/>
        <v>10644178.720000001</v>
      </c>
      <c r="N148" s="241">
        <v>438984.5</v>
      </c>
      <c r="O148" s="241">
        <v>96361.7</v>
      </c>
      <c r="P148" s="241">
        <v>276914</v>
      </c>
      <c r="Q148" s="241">
        <v>5469.7</v>
      </c>
      <c r="R148" s="241">
        <v>372864.4</v>
      </c>
      <c r="S148" s="528">
        <v>518453.53</v>
      </c>
      <c r="T148" s="491">
        <f t="shared" si="9"/>
        <v>12353226.549999999</v>
      </c>
      <c r="U148" s="237">
        <v>-62186.33</v>
      </c>
      <c r="V148" s="241"/>
      <c r="W148" s="241">
        <v>-4216.2700000000004</v>
      </c>
      <c r="X148" s="533">
        <v>64</v>
      </c>
      <c r="Y148" s="536">
        <v>1</v>
      </c>
      <c r="Z148" s="213">
        <v>1890</v>
      </c>
      <c r="AA148" s="265"/>
      <c r="AB148" s="235"/>
      <c r="AC148" s="436">
        <f>AB148/VPI!R148</f>
        <v>0</v>
      </c>
      <c r="AD148" s="438">
        <f t="shared" si="10"/>
        <v>0</v>
      </c>
      <c r="AE148" s="436">
        <f>AD148/VPI!R148</f>
        <v>0</v>
      </c>
      <c r="AF148" s="235"/>
      <c r="AG148" s="235"/>
      <c r="AH148" s="235"/>
      <c r="AI148" s="268"/>
      <c r="AJ148" s="8"/>
      <c r="AK148" s="436">
        <f>AJ148/VPI!R148</f>
        <v>0</v>
      </c>
      <c r="AL148" s="438">
        <f t="shared" si="11"/>
        <v>0</v>
      </c>
      <c r="AM148" s="436">
        <f>AL148/VPI!R148</f>
        <v>0</v>
      </c>
      <c r="AN148" s="8"/>
      <c r="AO148" s="268"/>
      <c r="AP148" s="522">
        <v>36.041463686557279</v>
      </c>
      <c r="AR148" s="539">
        <v>1</v>
      </c>
      <c r="AU148" s="5"/>
    </row>
    <row r="149" spans="1:47" x14ac:dyDescent="0.25">
      <c r="A149" s="191">
        <v>5650</v>
      </c>
      <c r="B149" s="440" t="s">
        <v>266</v>
      </c>
      <c r="C149" s="528">
        <v>2341763.13</v>
      </c>
      <c r="D149" s="528">
        <v>2670086.7999999998</v>
      </c>
      <c r="E149" s="528"/>
      <c r="F149" s="529"/>
      <c r="G149" s="528">
        <v>8365.2000000000007</v>
      </c>
      <c r="H149" s="528">
        <v>16.45</v>
      </c>
      <c r="I149" s="528"/>
      <c r="J149" s="528">
        <v>-4147.5600000000004</v>
      </c>
      <c r="K149" s="528"/>
      <c r="L149" s="528">
        <v>57895</v>
      </c>
      <c r="M149" s="491">
        <f t="shared" si="8"/>
        <v>5073979.0200000005</v>
      </c>
      <c r="N149" s="241">
        <v>0</v>
      </c>
      <c r="O149" s="241">
        <v>32535.4</v>
      </c>
      <c r="P149" s="241">
        <v>0</v>
      </c>
      <c r="Q149" s="241">
        <v>0</v>
      </c>
      <c r="R149" s="241">
        <v>0</v>
      </c>
      <c r="S149" s="528">
        <v>875.93</v>
      </c>
      <c r="T149" s="491">
        <f t="shared" si="9"/>
        <v>5107390.3500000006</v>
      </c>
      <c r="U149" s="237">
        <v>-0.02</v>
      </c>
      <c r="V149" s="241"/>
      <c r="W149" s="241">
        <v>-435.55</v>
      </c>
      <c r="X149" s="533">
        <v>56</v>
      </c>
      <c r="Y149" s="536">
        <v>1.25</v>
      </c>
      <c r="Z149" s="213">
        <v>187</v>
      </c>
      <c r="AA149" s="265"/>
      <c r="AB149" s="235"/>
      <c r="AC149" s="436">
        <f>AB149/VPI!R149</f>
        <v>0</v>
      </c>
      <c r="AD149" s="438">
        <f t="shared" si="10"/>
        <v>0</v>
      </c>
      <c r="AE149" s="436">
        <f>AD149/VPI!R149</f>
        <v>0</v>
      </c>
      <c r="AF149" s="235"/>
      <c r="AG149" s="235"/>
      <c r="AH149" s="235"/>
      <c r="AI149" s="268"/>
      <c r="AJ149" s="8"/>
      <c r="AK149" s="436">
        <f>AJ149/VPI!R149</f>
        <v>0</v>
      </c>
      <c r="AL149" s="438">
        <f t="shared" si="11"/>
        <v>0</v>
      </c>
      <c r="AM149" s="436">
        <f>AL149/VPI!R149</f>
        <v>0</v>
      </c>
      <c r="AN149" s="8"/>
      <c r="AO149" s="268"/>
      <c r="AP149" s="522">
        <v>57.959022712080113</v>
      </c>
      <c r="AR149" s="539">
        <v>0</v>
      </c>
    </row>
    <row r="150" spans="1:47" x14ac:dyDescent="0.25">
      <c r="A150" s="190">
        <v>5651</v>
      </c>
      <c r="B150" s="440" t="s">
        <v>267</v>
      </c>
      <c r="C150" s="528">
        <v>2120790.39</v>
      </c>
      <c r="D150" s="528">
        <v>306464.87</v>
      </c>
      <c r="E150" s="528"/>
      <c r="F150" s="529"/>
      <c r="G150" s="528">
        <v>506064.9</v>
      </c>
      <c r="H150" s="528">
        <v>49863</v>
      </c>
      <c r="I150" s="528"/>
      <c r="J150" s="528">
        <v>59028.82</v>
      </c>
      <c r="K150" s="528">
        <v>3066.7</v>
      </c>
      <c r="L150" s="528">
        <v>377858.7</v>
      </c>
      <c r="M150" s="491">
        <f t="shared" si="8"/>
        <v>3423137.3800000004</v>
      </c>
      <c r="N150" s="241">
        <v>218515.45</v>
      </c>
      <c r="O150" s="241">
        <v>16601.900000000001</v>
      </c>
      <c r="P150" s="241">
        <v>167942.5</v>
      </c>
      <c r="Q150" s="241">
        <v>341300.04</v>
      </c>
      <c r="R150" s="241">
        <v>108775</v>
      </c>
      <c r="S150" s="528">
        <v>58097.32</v>
      </c>
      <c r="T150" s="491">
        <f t="shared" si="9"/>
        <v>4334369.5900000008</v>
      </c>
      <c r="U150" s="237">
        <v>-433097.85</v>
      </c>
      <c r="V150" s="241"/>
      <c r="W150" s="241">
        <v>-943.98</v>
      </c>
      <c r="X150" s="533">
        <v>60.5</v>
      </c>
      <c r="Y150" s="536">
        <v>1</v>
      </c>
      <c r="Z150" s="213">
        <v>978</v>
      </c>
      <c r="AA150" s="265"/>
      <c r="AB150" s="235"/>
      <c r="AC150" s="436">
        <f>AB150/VPI!R150</f>
        <v>0</v>
      </c>
      <c r="AD150" s="438">
        <f t="shared" si="10"/>
        <v>0</v>
      </c>
      <c r="AE150" s="436">
        <f>AD150/VPI!R150</f>
        <v>0</v>
      </c>
      <c r="AF150" s="235"/>
      <c r="AG150" s="235"/>
      <c r="AH150" s="235"/>
      <c r="AI150" s="268"/>
      <c r="AJ150" s="8"/>
      <c r="AK150" s="436">
        <f>AJ150/VPI!R150</f>
        <v>0</v>
      </c>
      <c r="AL150" s="438">
        <f t="shared" si="11"/>
        <v>0</v>
      </c>
      <c r="AM150" s="436">
        <f>AL150/VPI!R150</f>
        <v>0</v>
      </c>
      <c r="AN150" s="8"/>
      <c r="AO150" s="268"/>
      <c r="AP150" s="522">
        <v>31.374911077557531</v>
      </c>
      <c r="AR150" s="539">
        <v>1</v>
      </c>
    </row>
    <row r="151" spans="1:47" x14ac:dyDescent="0.25">
      <c r="A151" s="190">
        <v>5652</v>
      </c>
      <c r="B151" s="440" t="s">
        <v>178</v>
      </c>
      <c r="C151" s="528">
        <v>1519352.67</v>
      </c>
      <c r="D151" s="528">
        <v>303839.38</v>
      </c>
      <c r="E151" s="528"/>
      <c r="F151" s="529"/>
      <c r="G151" s="528">
        <v>7908.15</v>
      </c>
      <c r="H151" s="528">
        <v>375.55</v>
      </c>
      <c r="I151" s="528"/>
      <c r="J151" s="528">
        <v>41549.61</v>
      </c>
      <c r="K151" s="528">
        <v>854.15</v>
      </c>
      <c r="L151" s="528">
        <v>140133.95000000001</v>
      </c>
      <c r="M151" s="491">
        <f t="shared" si="8"/>
        <v>2014013.4599999997</v>
      </c>
      <c r="N151" s="241">
        <v>0</v>
      </c>
      <c r="O151" s="241">
        <v>301155.20000000001</v>
      </c>
      <c r="P151" s="241">
        <v>106029</v>
      </c>
      <c r="Q151" s="241">
        <v>697.31</v>
      </c>
      <c r="R151" s="241">
        <v>84138.25</v>
      </c>
      <c r="S151" s="528">
        <v>865.69</v>
      </c>
      <c r="T151" s="491">
        <f t="shared" si="9"/>
        <v>2506898.9099999997</v>
      </c>
      <c r="U151" s="237">
        <v>-17013.669999999998</v>
      </c>
      <c r="V151" s="241"/>
      <c r="W151" s="241">
        <v>-2458.98</v>
      </c>
      <c r="X151" s="533">
        <v>76</v>
      </c>
      <c r="Y151" s="536">
        <v>1.2</v>
      </c>
      <c r="Z151" s="213">
        <v>615</v>
      </c>
      <c r="AA151" s="265"/>
      <c r="AB151" s="235"/>
      <c r="AC151" s="436">
        <f>AB151/VPI!R151</f>
        <v>0</v>
      </c>
      <c r="AD151" s="438">
        <f t="shared" si="10"/>
        <v>0</v>
      </c>
      <c r="AE151" s="436">
        <f>AD151/VPI!R151</f>
        <v>0</v>
      </c>
      <c r="AF151" s="235"/>
      <c r="AG151" s="235"/>
      <c r="AH151" s="235"/>
      <c r="AI151" s="268"/>
      <c r="AJ151" s="8"/>
      <c r="AK151" s="436">
        <f>AJ151/VPI!R151</f>
        <v>0</v>
      </c>
      <c r="AL151" s="438">
        <f t="shared" si="11"/>
        <v>0</v>
      </c>
      <c r="AM151" s="436">
        <f>AL151/VPI!R151</f>
        <v>0</v>
      </c>
      <c r="AN151" s="8"/>
      <c r="AO151" s="268"/>
      <c r="AP151" s="522">
        <v>23.927594865418332</v>
      </c>
      <c r="AR151" s="539">
        <v>0</v>
      </c>
    </row>
    <row r="152" spans="1:47" x14ac:dyDescent="0.25">
      <c r="A152" s="190">
        <v>5653</v>
      </c>
      <c r="B152" s="440" t="s">
        <v>179</v>
      </c>
      <c r="C152" s="528">
        <v>2828765.97</v>
      </c>
      <c r="D152" s="528">
        <v>910564.86</v>
      </c>
      <c r="E152" s="528"/>
      <c r="F152" s="529"/>
      <c r="G152" s="528">
        <v>23623</v>
      </c>
      <c r="H152" s="528">
        <v>8527.2000000000007</v>
      </c>
      <c r="I152" s="528">
        <v>154696.4</v>
      </c>
      <c r="J152" s="528">
        <v>15596.85</v>
      </c>
      <c r="K152" s="528">
        <v>-15452.85</v>
      </c>
      <c r="L152" s="528">
        <v>214685</v>
      </c>
      <c r="M152" s="491">
        <f t="shared" si="8"/>
        <v>4141006.43</v>
      </c>
      <c r="N152" s="241">
        <v>4772.5</v>
      </c>
      <c r="O152" s="241"/>
      <c r="P152" s="241">
        <v>229944</v>
      </c>
      <c r="Q152" s="241">
        <v>133.04</v>
      </c>
      <c r="R152" s="241">
        <v>130038.3</v>
      </c>
      <c r="S152" s="528">
        <v>3359.86</v>
      </c>
      <c r="T152" s="491">
        <f t="shared" si="9"/>
        <v>4509254.13</v>
      </c>
      <c r="U152" s="237">
        <v>-406.57</v>
      </c>
      <c r="V152" s="241"/>
      <c r="W152" s="241">
        <v>-25790.98</v>
      </c>
      <c r="X152" s="533">
        <v>58.5</v>
      </c>
      <c r="Y152" s="536">
        <v>0.8</v>
      </c>
      <c r="Z152" s="213">
        <v>886</v>
      </c>
      <c r="AA152" s="265"/>
      <c r="AB152" s="235"/>
      <c r="AC152" s="436">
        <f>AB152/VPI!R152</f>
        <v>0</v>
      </c>
      <c r="AD152" s="438">
        <f t="shared" si="10"/>
        <v>0</v>
      </c>
      <c r="AE152" s="436">
        <f>AD152/VPI!R152</f>
        <v>0</v>
      </c>
      <c r="AF152" s="235"/>
      <c r="AG152" s="235"/>
      <c r="AH152" s="235"/>
      <c r="AI152" s="268"/>
      <c r="AJ152" s="8"/>
      <c r="AK152" s="436">
        <f>AJ152/VPI!R152</f>
        <v>0</v>
      </c>
      <c r="AL152" s="438">
        <f t="shared" si="11"/>
        <v>0</v>
      </c>
      <c r="AM152" s="436">
        <f>AL152/VPI!R152</f>
        <v>0</v>
      </c>
      <c r="AN152" s="8"/>
      <c r="AO152" s="268"/>
      <c r="AP152" s="522">
        <v>35.031043499808696</v>
      </c>
      <c r="AR152" s="539">
        <v>0</v>
      </c>
    </row>
    <row r="153" spans="1:47" x14ac:dyDescent="0.25">
      <c r="A153" s="190">
        <v>5654</v>
      </c>
      <c r="B153" s="440" t="s">
        <v>180</v>
      </c>
      <c r="C153" s="528">
        <v>1169645.44</v>
      </c>
      <c r="D153" s="528">
        <v>257708.72</v>
      </c>
      <c r="E153" s="528"/>
      <c r="F153" s="529"/>
      <c r="G153" s="528">
        <v>14576.6</v>
      </c>
      <c r="H153" s="528">
        <v>259.60000000000002</v>
      </c>
      <c r="I153" s="528"/>
      <c r="J153" s="528">
        <v>25957.38</v>
      </c>
      <c r="K153" s="528">
        <v>1821.5</v>
      </c>
      <c r="L153" s="528">
        <v>115215.45</v>
      </c>
      <c r="M153" s="491">
        <f t="shared" si="8"/>
        <v>1585184.69</v>
      </c>
      <c r="N153" s="241">
        <v>6384.2</v>
      </c>
      <c r="O153" s="241"/>
      <c r="P153" s="241">
        <v>42271.3</v>
      </c>
      <c r="Q153" s="241"/>
      <c r="R153" s="241">
        <v>36996.6</v>
      </c>
      <c r="S153" s="528">
        <v>1550.46</v>
      </c>
      <c r="T153" s="491">
        <f t="shared" si="9"/>
        <v>1672387.25</v>
      </c>
      <c r="U153" s="237">
        <v>-10079.64</v>
      </c>
      <c r="V153" s="241"/>
      <c r="W153" s="241">
        <v>-315.85000000000002</v>
      </c>
      <c r="X153" s="533">
        <v>76</v>
      </c>
      <c r="Y153" s="536">
        <v>1</v>
      </c>
      <c r="Z153" s="213">
        <v>563</v>
      </c>
      <c r="AA153" s="265"/>
      <c r="AB153" s="235"/>
      <c r="AC153" s="436">
        <f>AB153/VPI!R153</f>
        <v>0</v>
      </c>
      <c r="AD153" s="438">
        <f t="shared" si="10"/>
        <v>0</v>
      </c>
      <c r="AE153" s="436">
        <f>AD153/VPI!R153</f>
        <v>0</v>
      </c>
      <c r="AF153" s="235"/>
      <c r="AG153" s="235"/>
      <c r="AH153" s="235"/>
      <c r="AI153" s="268"/>
      <c r="AJ153" s="8"/>
      <c r="AK153" s="436">
        <f>AJ153/VPI!R153</f>
        <v>0</v>
      </c>
      <c r="AL153" s="438">
        <f t="shared" si="11"/>
        <v>0</v>
      </c>
      <c r="AM153" s="436">
        <f>AL153/VPI!R153</f>
        <v>0</v>
      </c>
      <c r="AN153" s="8"/>
      <c r="AO153" s="268"/>
      <c r="AP153" s="522">
        <v>20.290611793518941</v>
      </c>
      <c r="AR153" s="539">
        <v>0</v>
      </c>
    </row>
    <row r="154" spans="1:47" x14ac:dyDescent="0.25">
      <c r="A154" s="190">
        <v>5655</v>
      </c>
      <c r="B154" s="440" t="s">
        <v>181</v>
      </c>
      <c r="C154" s="528">
        <v>4397172.7</v>
      </c>
      <c r="D154" s="528">
        <v>830661.18</v>
      </c>
      <c r="E154" s="528"/>
      <c r="F154" s="529"/>
      <c r="G154" s="528">
        <v>28080.75</v>
      </c>
      <c r="H154" s="528">
        <v>36530.800000000003</v>
      </c>
      <c r="I154" s="528">
        <v>66010.45</v>
      </c>
      <c r="J154" s="528">
        <v>68413.63</v>
      </c>
      <c r="K154" s="528">
        <v>11954.3</v>
      </c>
      <c r="L154" s="528">
        <v>444149</v>
      </c>
      <c r="M154" s="491">
        <f t="shared" si="8"/>
        <v>5882972.8099999996</v>
      </c>
      <c r="N154" s="241">
        <v>90461.05</v>
      </c>
      <c r="O154" s="241">
        <v>80505.3</v>
      </c>
      <c r="P154" s="241">
        <v>258895.4</v>
      </c>
      <c r="Q154" s="241">
        <v>-1151.07</v>
      </c>
      <c r="R154" s="241">
        <v>296444.2</v>
      </c>
      <c r="S154" s="528">
        <v>6752.24</v>
      </c>
      <c r="T154" s="491">
        <f t="shared" si="9"/>
        <v>6614879.9299999997</v>
      </c>
      <c r="U154" s="237">
        <v>-57546.9</v>
      </c>
      <c r="V154" s="241"/>
      <c r="W154" s="241">
        <v>-4584.29</v>
      </c>
      <c r="X154" s="533">
        <v>71.5</v>
      </c>
      <c r="Y154" s="536">
        <v>1</v>
      </c>
      <c r="Z154" s="213">
        <v>1517</v>
      </c>
      <c r="AA154" s="265"/>
      <c r="AB154" s="235"/>
      <c r="AC154" s="436">
        <f>AB154/VPI!R154</f>
        <v>0</v>
      </c>
      <c r="AD154" s="438">
        <f t="shared" si="10"/>
        <v>0</v>
      </c>
      <c r="AE154" s="436">
        <f>AD154/VPI!R154</f>
        <v>0</v>
      </c>
      <c r="AF154" s="235"/>
      <c r="AG154" s="235"/>
      <c r="AH154" s="235"/>
      <c r="AI154" s="269"/>
      <c r="AJ154" s="8"/>
      <c r="AK154" s="436">
        <f>AJ154/VPI!R154</f>
        <v>0</v>
      </c>
      <c r="AL154" s="438">
        <f t="shared" si="11"/>
        <v>0</v>
      </c>
      <c r="AM154" s="436">
        <f>AL154/VPI!R154</f>
        <v>0</v>
      </c>
      <c r="AN154" s="8"/>
      <c r="AO154" s="269"/>
      <c r="AP154" s="522">
        <v>26.958871780481694</v>
      </c>
      <c r="AR154" s="539">
        <v>0</v>
      </c>
    </row>
    <row r="155" spans="1:47" s="237" customFormat="1" x14ac:dyDescent="0.25">
      <c r="A155" s="190">
        <v>5656</v>
      </c>
      <c r="B155" s="440" t="s">
        <v>396</v>
      </c>
      <c r="C155" s="528">
        <v>9174404.1999999993</v>
      </c>
      <c r="D155" s="528">
        <v>1616901.09</v>
      </c>
      <c r="E155" s="528"/>
      <c r="F155" s="528"/>
      <c r="G155" s="528">
        <v>175624.2</v>
      </c>
      <c r="H155" s="528">
        <v>121297.65</v>
      </c>
      <c r="I155" s="528">
        <v>113352.09</v>
      </c>
      <c r="J155" s="528">
        <v>249232.87</v>
      </c>
      <c r="K155" s="528">
        <v>29945.5</v>
      </c>
      <c r="L155" s="528">
        <v>885531.1</v>
      </c>
      <c r="M155" s="491">
        <f t="shared" si="8"/>
        <v>12366288.699999997</v>
      </c>
      <c r="N155" s="528">
        <v>56090.15</v>
      </c>
      <c r="O155" s="528">
        <v>203223.7</v>
      </c>
      <c r="P155" s="528">
        <v>573714.94999999995</v>
      </c>
      <c r="Q155" s="528">
        <v>19360.830000000002</v>
      </c>
      <c r="R155" s="528">
        <v>403873.65</v>
      </c>
      <c r="S155" s="528">
        <v>31029.86</v>
      </c>
      <c r="T155" s="491">
        <f t="shared" si="9"/>
        <v>13653581.839999996</v>
      </c>
      <c r="U155" s="528">
        <v>-155731.18</v>
      </c>
      <c r="V155" s="528"/>
      <c r="W155" s="528">
        <v>-13161.42</v>
      </c>
      <c r="X155" s="528">
        <v>72.5</v>
      </c>
      <c r="Y155" s="528">
        <v>1</v>
      </c>
      <c r="Z155" s="213">
        <v>4263</v>
      </c>
      <c r="AA155" s="528"/>
      <c r="AB155" s="552"/>
      <c r="AC155" s="436">
        <f>AB155/VPI!R155</f>
        <v>0</v>
      </c>
      <c r="AD155" s="438">
        <f t="shared" si="10"/>
        <v>0</v>
      </c>
      <c r="AE155" s="436">
        <f>AD155/VPI!R155</f>
        <v>0</v>
      </c>
      <c r="AF155" s="552"/>
      <c r="AG155" s="552"/>
      <c r="AH155" s="552"/>
      <c r="AI155" s="543"/>
      <c r="AJ155" s="528"/>
      <c r="AK155" s="436">
        <f>AJ155/VPI!R155</f>
        <v>0</v>
      </c>
      <c r="AL155" s="438">
        <f t="shared" si="11"/>
        <v>0</v>
      </c>
      <c r="AM155" s="436">
        <f>AL155/VPI!R155</f>
        <v>0</v>
      </c>
      <c r="AN155" s="552"/>
      <c r="AO155" s="543"/>
      <c r="AP155" s="522">
        <v>23.21</v>
      </c>
      <c r="AQ155" s="528"/>
      <c r="AR155" s="539">
        <v>0</v>
      </c>
      <c r="AU155" s="5"/>
    </row>
    <row r="156" spans="1:47" x14ac:dyDescent="0.25">
      <c r="A156" s="190">
        <v>5661</v>
      </c>
      <c r="B156" s="440" t="s">
        <v>182</v>
      </c>
      <c r="C156" s="528">
        <v>670331.80000000005</v>
      </c>
      <c r="D156" s="528">
        <v>48847.24</v>
      </c>
      <c r="E156" s="528"/>
      <c r="F156" s="529"/>
      <c r="G156" s="528">
        <v>9229.9500000000007</v>
      </c>
      <c r="H156" s="528">
        <v>-56.75</v>
      </c>
      <c r="I156" s="528"/>
      <c r="J156" s="528">
        <v>13189.56</v>
      </c>
      <c r="K156" s="528">
        <v>555</v>
      </c>
      <c r="L156" s="528">
        <v>60017</v>
      </c>
      <c r="M156" s="491">
        <f t="shared" si="8"/>
        <v>802113.8</v>
      </c>
      <c r="N156" s="241">
        <v>20927.2</v>
      </c>
      <c r="O156" s="241"/>
      <c r="P156" s="241">
        <v>11146.05</v>
      </c>
      <c r="Q156" s="241"/>
      <c r="R156" s="241">
        <v>3087.8</v>
      </c>
      <c r="S156" s="528">
        <v>958.65</v>
      </c>
      <c r="T156" s="491">
        <f t="shared" si="9"/>
        <v>838233.50000000012</v>
      </c>
      <c r="U156" s="237">
        <v>-15944.9</v>
      </c>
      <c r="V156" s="241"/>
      <c r="W156" s="241">
        <v>0</v>
      </c>
      <c r="X156" s="533">
        <v>71.5</v>
      </c>
      <c r="Y156" s="536">
        <v>1</v>
      </c>
      <c r="Z156" s="213">
        <v>383</v>
      </c>
      <c r="AA156" s="265"/>
      <c r="AB156" s="235"/>
      <c r="AC156" s="436">
        <f>AB156/VPI!R156</f>
        <v>0</v>
      </c>
      <c r="AD156" s="438">
        <f t="shared" si="10"/>
        <v>0</v>
      </c>
      <c r="AE156" s="436">
        <f>AD156/VPI!R156</f>
        <v>0</v>
      </c>
      <c r="AF156" s="235"/>
      <c r="AG156" s="235"/>
      <c r="AH156" s="235"/>
      <c r="AI156" s="269"/>
      <c r="AJ156" s="8"/>
      <c r="AK156" s="436">
        <f>AJ156/VPI!R156</f>
        <v>0</v>
      </c>
      <c r="AL156" s="438">
        <f t="shared" si="11"/>
        <v>0</v>
      </c>
      <c r="AM156" s="436">
        <f>AL156/VPI!R156</f>
        <v>0</v>
      </c>
      <c r="AN156" s="8"/>
      <c r="AO156" s="269"/>
      <c r="AP156" s="522">
        <v>14.49647014161059</v>
      </c>
      <c r="AR156" s="539">
        <v>0</v>
      </c>
    </row>
    <row r="157" spans="1:47" x14ac:dyDescent="0.25">
      <c r="A157" s="190">
        <v>5663</v>
      </c>
      <c r="B157" s="440" t="s">
        <v>183</v>
      </c>
      <c r="C157" s="528">
        <v>431649.94</v>
      </c>
      <c r="D157" s="528">
        <v>32952.43</v>
      </c>
      <c r="E157" s="528"/>
      <c r="F157" s="529">
        <v>1330</v>
      </c>
      <c r="G157" s="528">
        <v>-3080.25</v>
      </c>
      <c r="H157" s="528">
        <v>849.9</v>
      </c>
      <c r="I157" s="528"/>
      <c r="J157" s="528">
        <v>7475.8</v>
      </c>
      <c r="K157" s="528">
        <v>325.2</v>
      </c>
      <c r="L157" s="528">
        <v>33423.15</v>
      </c>
      <c r="M157" s="491">
        <f t="shared" si="8"/>
        <v>504926.17000000004</v>
      </c>
      <c r="N157" s="241">
        <v>0</v>
      </c>
      <c r="O157" s="241"/>
      <c r="P157" s="241">
        <v>14083.3</v>
      </c>
      <c r="Q157" s="241">
        <v>12732.51</v>
      </c>
      <c r="R157" s="241">
        <v>27199.45</v>
      </c>
      <c r="S157" s="528">
        <v>-233.08</v>
      </c>
      <c r="T157" s="491">
        <f t="shared" si="9"/>
        <v>558708.35</v>
      </c>
      <c r="U157" s="237">
        <v>-10255.459999999999</v>
      </c>
      <c r="V157" s="241"/>
      <c r="W157" s="241">
        <v>0</v>
      </c>
      <c r="X157" s="533">
        <v>78.5</v>
      </c>
      <c r="Y157" s="536">
        <v>1</v>
      </c>
      <c r="Z157" s="213">
        <v>246</v>
      </c>
      <c r="AA157" s="265"/>
      <c r="AB157" s="235"/>
      <c r="AC157" s="436">
        <f>AB157/VPI!R157</f>
        <v>0</v>
      </c>
      <c r="AD157" s="438">
        <f t="shared" si="10"/>
        <v>0</v>
      </c>
      <c r="AE157" s="436">
        <f>AD157/VPI!R157</f>
        <v>0</v>
      </c>
      <c r="AF157" s="235"/>
      <c r="AG157" s="235"/>
      <c r="AH157" s="235"/>
      <c r="AI157" s="269"/>
      <c r="AJ157" s="8"/>
      <c r="AK157" s="436">
        <f>AJ157/VPI!R157</f>
        <v>0</v>
      </c>
      <c r="AL157" s="438">
        <f t="shared" si="11"/>
        <v>0</v>
      </c>
      <c r="AM157" s="436">
        <f>AL157/VPI!R157</f>
        <v>0</v>
      </c>
      <c r="AN157" s="8"/>
      <c r="AO157" s="269"/>
      <c r="AP157" s="522">
        <v>-3.5263371875997129</v>
      </c>
      <c r="AR157" s="539">
        <v>0</v>
      </c>
    </row>
    <row r="158" spans="1:47" x14ac:dyDescent="0.25">
      <c r="A158" s="190">
        <v>5665</v>
      </c>
      <c r="B158" s="440" t="s">
        <v>85</v>
      </c>
      <c r="C158" s="528">
        <v>306165.69</v>
      </c>
      <c r="D158" s="528">
        <v>57579.12</v>
      </c>
      <c r="E158" s="528"/>
      <c r="F158" s="529"/>
      <c r="G158" s="528">
        <v>3297.35</v>
      </c>
      <c r="H158" s="528">
        <v>29.9</v>
      </c>
      <c r="I158" s="528"/>
      <c r="J158" s="528">
        <v>9616.44</v>
      </c>
      <c r="K158" s="528">
        <v>54.5</v>
      </c>
      <c r="L158" s="528">
        <v>28565.4</v>
      </c>
      <c r="M158" s="491">
        <f t="shared" si="8"/>
        <v>405308.4</v>
      </c>
      <c r="N158" s="241">
        <v>0</v>
      </c>
      <c r="O158" s="241"/>
      <c r="P158" s="241">
        <v>21230</v>
      </c>
      <c r="Q158" s="241">
        <v>120.89</v>
      </c>
      <c r="R158" s="241">
        <v>31269.8</v>
      </c>
      <c r="S158" s="528">
        <v>347.71</v>
      </c>
      <c r="T158" s="491">
        <f t="shared" si="9"/>
        <v>458276.80000000005</v>
      </c>
      <c r="U158" s="237">
        <v>-717.74</v>
      </c>
      <c r="V158" s="241"/>
      <c r="W158" s="241">
        <v>0</v>
      </c>
      <c r="X158" s="533">
        <v>70</v>
      </c>
      <c r="Y158" s="536">
        <v>1</v>
      </c>
      <c r="Z158" s="213">
        <v>218</v>
      </c>
      <c r="AA158" s="265"/>
      <c r="AB158" s="235"/>
      <c r="AC158" s="436">
        <f>AB158/VPI!R158</f>
        <v>0</v>
      </c>
      <c r="AD158" s="438">
        <f t="shared" si="10"/>
        <v>0</v>
      </c>
      <c r="AE158" s="436">
        <f>AD158/VPI!R158</f>
        <v>0</v>
      </c>
      <c r="AF158" s="235"/>
      <c r="AG158" s="235"/>
      <c r="AH158" s="235"/>
      <c r="AI158" s="269"/>
      <c r="AJ158" s="8"/>
      <c r="AK158" s="436">
        <f>AJ158/VPI!R158</f>
        <v>0</v>
      </c>
      <c r="AL158" s="438">
        <f t="shared" si="11"/>
        <v>0</v>
      </c>
      <c r="AM158" s="436">
        <f>AL158/VPI!R158</f>
        <v>0</v>
      </c>
      <c r="AN158" s="8"/>
      <c r="AO158" s="269"/>
      <c r="AP158" s="522">
        <v>2.0712709481829124</v>
      </c>
      <c r="AR158" s="539">
        <v>0</v>
      </c>
    </row>
    <row r="159" spans="1:47" x14ac:dyDescent="0.25">
      <c r="A159" s="190">
        <v>5669</v>
      </c>
      <c r="B159" s="440" t="s">
        <v>86</v>
      </c>
      <c r="C159" s="528">
        <v>452736.12</v>
      </c>
      <c r="D159" s="528">
        <v>118446.49</v>
      </c>
      <c r="E159" s="528"/>
      <c r="F159" s="529"/>
      <c r="G159" s="528">
        <v>-166.650000000001</v>
      </c>
      <c r="H159" s="528">
        <v>507.15</v>
      </c>
      <c r="I159" s="528"/>
      <c r="J159" s="528">
        <v>2535.21</v>
      </c>
      <c r="K159" s="528">
        <v>255.7</v>
      </c>
      <c r="L159" s="528">
        <v>24204.400000000001</v>
      </c>
      <c r="M159" s="491">
        <f t="shared" si="8"/>
        <v>598518.41999999993</v>
      </c>
      <c r="N159" s="241">
        <v>0</v>
      </c>
      <c r="O159" s="241"/>
      <c r="P159" s="241">
        <v>535.70000000000005</v>
      </c>
      <c r="Q159" s="241"/>
      <c r="R159" s="241">
        <v>9814.35</v>
      </c>
      <c r="S159" s="528">
        <v>35.58</v>
      </c>
      <c r="T159" s="491">
        <f t="shared" si="9"/>
        <v>608904.04999999981</v>
      </c>
      <c r="U159" s="237">
        <v>-7428.06</v>
      </c>
      <c r="V159" s="241"/>
      <c r="W159" s="241">
        <v>-84.3</v>
      </c>
      <c r="X159" s="533">
        <v>73</v>
      </c>
      <c r="Y159" s="536">
        <v>0.5</v>
      </c>
      <c r="Z159" s="213">
        <v>294</v>
      </c>
      <c r="AA159" s="265"/>
      <c r="AB159" s="235"/>
      <c r="AC159" s="436">
        <f>AB159/VPI!R159</f>
        <v>0</v>
      </c>
      <c r="AD159" s="438">
        <f t="shared" si="10"/>
        <v>0</v>
      </c>
      <c r="AE159" s="436">
        <f>AD159/VPI!R159</f>
        <v>0</v>
      </c>
      <c r="AF159" s="235"/>
      <c r="AG159" s="235"/>
      <c r="AH159" s="235"/>
      <c r="AI159" s="269"/>
      <c r="AJ159" s="8"/>
      <c r="AK159" s="436">
        <f>AJ159/VPI!R159</f>
        <v>0</v>
      </c>
      <c r="AL159" s="438">
        <f t="shared" si="11"/>
        <v>0</v>
      </c>
      <c r="AM159" s="436">
        <f>AL159/VPI!R159</f>
        <v>0</v>
      </c>
      <c r="AN159" s="8"/>
      <c r="AO159" s="269"/>
      <c r="AP159" s="522">
        <v>15.535929509168787</v>
      </c>
      <c r="AR159" s="539">
        <v>0</v>
      </c>
    </row>
    <row r="160" spans="1:47" x14ac:dyDescent="0.25">
      <c r="A160" s="190">
        <v>5671</v>
      </c>
      <c r="B160" s="440" t="s">
        <v>87</v>
      </c>
      <c r="C160" s="528">
        <v>422994.22</v>
      </c>
      <c r="D160" s="528">
        <v>58901.78</v>
      </c>
      <c r="E160" s="528"/>
      <c r="F160" s="529">
        <v>2150</v>
      </c>
      <c r="G160" s="528">
        <v>6157.3</v>
      </c>
      <c r="H160" s="528">
        <v>29.15</v>
      </c>
      <c r="I160" s="528">
        <v>0</v>
      </c>
      <c r="J160" s="528">
        <v>4571.75</v>
      </c>
      <c r="K160" s="528">
        <v>223.5</v>
      </c>
      <c r="L160" s="528">
        <v>34982.800000000003</v>
      </c>
      <c r="M160" s="491">
        <f t="shared" si="8"/>
        <v>530010.5</v>
      </c>
      <c r="N160" s="241">
        <v>3329.85</v>
      </c>
      <c r="O160" s="241"/>
      <c r="P160" s="241">
        <v>9900</v>
      </c>
      <c r="Q160" s="241">
        <v>5400.68</v>
      </c>
      <c r="R160" s="241">
        <v>6610.7</v>
      </c>
      <c r="S160" s="528">
        <v>646.52</v>
      </c>
      <c r="T160" s="491">
        <f t="shared" si="9"/>
        <v>555898.25</v>
      </c>
      <c r="U160" s="237">
        <v>-9450.3799999999992</v>
      </c>
      <c r="V160" s="241"/>
      <c r="W160" s="241">
        <v>0</v>
      </c>
      <c r="X160" s="533">
        <v>78</v>
      </c>
      <c r="Y160" s="536">
        <v>1</v>
      </c>
      <c r="Z160" s="213">
        <v>248</v>
      </c>
      <c r="AA160" s="265"/>
      <c r="AB160" s="235"/>
      <c r="AC160" s="436">
        <f>AB160/VPI!R160</f>
        <v>0</v>
      </c>
      <c r="AD160" s="438">
        <f t="shared" si="10"/>
        <v>0</v>
      </c>
      <c r="AE160" s="436">
        <f>AD160/VPI!R160</f>
        <v>0</v>
      </c>
      <c r="AF160" s="235"/>
      <c r="AG160" s="235"/>
      <c r="AH160" s="235"/>
      <c r="AI160" s="269"/>
      <c r="AJ160" s="8"/>
      <c r="AK160" s="436">
        <f>AJ160/VPI!R160</f>
        <v>0</v>
      </c>
      <c r="AL160" s="438">
        <f t="shared" si="11"/>
        <v>0</v>
      </c>
      <c r="AM160" s="436">
        <f>AL160/VPI!R160</f>
        <v>0</v>
      </c>
      <c r="AN160" s="8"/>
      <c r="AO160" s="269"/>
      <c r="AP160" s="522">
        <v>5.6550053553193553</v>
      </c>
      <c r="AR160" s="539">
        <v>0</v>
      </c>
    </row>
    <row r="161" spans="1:44" x14ac:dyDescent="0.25">
      <c r="A161" s="190">
        <v>5673</v>
      </c>
      <c r="B161" s="440" t="s">
        <v>88</v>
      </c>
      <c r="C161" s="528">
        <v>590014.69999999995</v>
      </c>
      <c r="D161" s="528">
        <v>67317.119999999995</v>
      </c>
      <c r="E161" s="528"/>
      <c r="F161" s="529">
        <v>2240</v>
      </c>
      <c r="G161" s="528">
        <v>3846.1</v>
      </c>
      <c r="H161" s="528">
        <v>899.65</v>
      </c>
      <c r="I161" s="528"/>
      <c r="J161" s="528">
        <v>-165.79</v>
      </c>
      <c r="K161" s="528">
        <v>408</v>
      </c>
      <c r="L161" s="528">
        <v>29513.1</v>
      </c>
      <c r="M161" s="491">
        <f t="shared" si="8"/>
        <v>694072.87999999989</v>
      </c>
      <c r="N161" s="241">
        <v>12176</v>
      </c>
      <c r="O161" s="241">
        <v>4727.7</v>
      </c>
      <c r="P161" s="241">
        <v>36408.85</v>
      </c>
      <c r="Q161" s="241">
        <v>2579.54</v>
      </c>
      <c r="R161" s="241">
        <v>17638.400000000001</v>
      </c>
      <c r="S161" s="528">
        <v>495.96</v>
      </c>
      <c r="T161" s="491">
        <f t="shared" si="9"/>
        <v>768099.32999999984</v>
      </c>
      <c r="U161" s="237">
        <v>-5636.18</v>
      </c>
      <c r="V161" s="241"/>
      <c r="W161" s="241">
        <v>-74.55</v>
      </c>
      <c r="X161" s="533">
        <v>73.5</v>
      </c>
      <c r="Y161" s="536">
        <v>0.6</v>
      </c>
      <c r="Z161" s="213">
        <v>374</v>
      </c>
      <c r="AA161" s="265"/>
      <c r="AB161" s="235"/>
      <c r="AC161" s="436">
        <f>AB161/VPI!R161</f>
        <v>0</v>
      </c>
      <c r="AD161" s="438">
        <f t="shared" si="10"/>
        <v>0</v>
      </c>
      <c r="AE161" s="436">
        <f>AD161/VPI!R161</f>
        <v>0</v>
      </c>
      <c r="AF161" s="235"/>
      <c r="AG161" s="235"/>
      <c r="AH161" s="235"/>
      <c r="AI161" s="269"/>
      <c r="AJ161" s="8"/>
      <c r="AK161" s="436">
        <f>AJ161/VPI!R161</f>
        <v>0</v>
      </c>
      <c r="AL161" s="438">
        <f t="shared" si="11"/>
        <v>0</v>
      </c>
      <c r="AM161" s="436">
        <f>AL161/VPI!R161</f>
        <v>0</v>
      </c>
      <c r="AN161" s="8"/>
      <c r="AO161" s="269"/>
      <c r="AP161" s="522">
        <v>10.028649394387617</v>
      </c>
      <c r="AR161" s="539">
        <v>0</v>
      </c>
    </row>
    <row r="162" spans="1:44" x14ac:dyDescent="0.25">
      <c r="A162" s="190">
        <v>5674</v>
      </c>
      <c r="B162" s="440" t="s">
        <v>89</v>
      </c>
      <c r="C162" s="528">
        <v>194148.82</v>
      </c>
      <c r="D162" s="528">
        <v>50592.11</v>
      </c>
      <c r="E162" s="528"/>
      <c r="F162" s="529"/>
      <c r="G162" s="528">
        <v>242.05</v>
      </c>
      <c r="H162" s="528">
        <v>101.7</v>
      </c>
      <c r="I162" s="528"/>
      <c r="J162" s="528">
        <v>122.21</v>
      </c>
      <c r="K162" s="528">
        <v>64.099999999999994</v>
      </c>
      <c r="L162" s="528">
        <v>14836.5</v>
      </c>
      <c r="M162" s="491">
        <f t="shared" si="8"/>
        <v>260107.49</v>
      </c>
      <c r="N162" s="241">
        <v>0</v>
      </c>
      <c r="O162" s="241"/>
      <c r="P162" s="241">
        <v>16742</v>
      </c>
      <c r="Q162" s="241"/>
      <c r="R162" s="241">
        <v>21208.15</v>
      </c>
      <c r="S162" s="528">
        <v>35.92</v>
      </c>
      <c r="T162" s="491">
        <f t="shared" si="9"/>
        <v>298093.56</v>
      </c>
      <c r="U162" s="237">
        <v>-943.13</v>
      </c>
      <c r="V162" s="241"/>
      <c r="W162" s="241">
        <v>-137.80000000000001</v>
      </c>
      <c r="X162" s="533">
        <v>75</v>
      </c>
      <c r="Y162" s="536">
        <v>0.7</v>
      </c>
      <c r="Z162" s="213">
        <v>143</v>
      </c>
      <c r="AA162" s="265"/>
      <c r="AB162" s="235"/>
      <c r="AC162" s="436">
        <f>AB162/VPI!R162</f>
        <v>0</v>
      </c>
      <c r="AD162" s="438">
        <f t="shared" si="10"/>
        <v>0</v>
      </c>
      <c r="AE162" s="436">
        <f>AD162/VPI!R162</f>
        <v>0</v>
      </c>
      <c r="AF162" s="235"/>
      <c r="AG162" s="235"/>
      <c r="AH162" s="235"/>
      <c r="AI162" s="269"/>
      <c r="AJ162" s="8"/>
      <c r="AK162" s="436">
        <f>AJ162/VPI!R162</f>
        <v>0</v>
      </c>
      <c r="AL162" s="438">
        <f t="shared" si="11"/>
        <v>0</v>
      </c>
      <c r="AM162" s="436">
        <f>AL162/VPI!R162</f>
        <v>0</v>
      </c>
      <c r="AN162" s="8"/>
      <c r="AO162" s="269"/>
      <c r="AP162" s="522">
        <v>11.417593387189671</v>
      </c>
      <c r="AR162" s="539">
        <v>0</v>
      </c>
    </row>
    <row r="163" spans="1:44" x14ac:dyDescent="0.25">
      <c r="A163" s="190">
        <v>5675</v>
      </c>
      <c r="B163" s="440" t="s">
        <v>90</v>
      </c>
      <c r="C163" s="528">
        <v>4742451.54</v>
      </c>
      <c r="D163" s="528">
        <v>520599.03</v>
      </c>
      <c r="E163" s="528"/>
      <c r="F163" s="529"/>
      <c r="G163" s="528">
        <v>298182.7</v>
      </c>
      <c r="H163" s="528">
        <v>36584.449999999997</v>
      </c>
      <c r="I163" s="528"/>
      <c r="J163" s="528">
        <v>280868.17</v>
      </c>
      <c r="K163" s="528">
        <v>58545</v>
      </c>
      <c r="L163" s="528">
        <v>735280.6</v>
      </c>
      <c r="M163" s="491">
        <f t="shared" si="8"/>
        <v>6672511.4900000002</v>
      </c>
      <c r="N163" s="241">
        <v>34660.699999999997</v>
      </c>
      <c r="O163" s="241">
        <v>23520.1</v>
      </c>
      <c r="P163" s="241">
        <v>412395.7</v>
      </c>
      <c r="Q163" s="241">
        <v>38604.35</v>
      </c>
      <c r="R163" s="241">
        <v>326555.84999999998</v>
      </c>
      <c r="S163" s="528">
        <v>34984.89</v>
      </c>
      <c r="T163" s="491">
        <f t="shared" si="9"/>
        <v>7543233.0799999991</v>
      </c>
      <c r="U163" s="237">
        <v>-227428.09</v>
      </c>
      <c r="V163" s="241"/>
      <c r="W163" s="241">
        <v>-1963.57</v>
      </c>
      <c r="X163" s="533">
        <v>69.5</v>
      </c>
      <c r="Y163" s="536">
        <v>1.1000000000000001</v>
      </c>
      <c r="Z163" s="213">
        <v>4429</v>
      </c>
      <c r="AA163" s="265"/>
      <c r="AB163" s="235"/>
      <c r="AC163" s="436">
        <f>AB163/VPI!R163</f>
        <v>0</v>
      </c>
      <c r="AD163" s="438">
        <f t="shared" si="10"/>
        <v>0</v>
      </c>
      <c r="AE163" s="436">
        <f>AD163/VPI!R163</f>
        <v>0</v>
      </c>
      <c r="AF163" s="235"/>
      <c r="AG163" s="235"/>
      <c r="AH163" s="235"/>
      <c r="AI163" s="269"/>
      <c r="AJ163" s="8"/>
      <c r="AK163" s="436">
        <f>AJ163/VPI!R163</f>
        <v>0</v>
      </c>
      <c r="AL163" s="438">
        <f t="shared" si="11"/>
        <v>0</v>
      </c>
      <c r="AM163" s="436">
        <f>AL163/VPI!R163</f>
        <v>0</v>
      </c>
      <c r="AN163" s="8"/>
      <c r="AO163" s="269"/>
      <c r="AP163" s="522">
        <v>-1.9078726133116397</v>
      </c>
      <c r="AR163" s="539">
        <v>0</v>
      </c>
    </row>
    <row r="164" spans="1:44" x14ac:dyDescent="0.25">
      <c r="A164" s="190">
        <v>5678</v>
      </c>
      <c r="B164" s="440" t="s">
        <v>91</v>
      </c>
      <c r="C164" s="528">
        <v>6675784.1500000004</v>
      </c>
      <c r="D164" s="528">
        <v>737875.74</v>
      </c>
      <c r="E164" s="528"/>
      <c r="F164" s="529">
        <v>35058.9</v>
      </c>
      <c r="G164" s="528">
        <v>788590.5</v>
      </c>
      <c r="H164" s="528">
        <v>17524.650000000001</v>
      </c>
      <c r="I164" s="528"/>
      <c r="J164" s="528">
        <v>443201.87</v>
      </c>
      <c r="K164" s="528">
        <v>45101.55</v>
      </c>
      <c r="L164" s="528">
        <v>894845.5</v>
      </c>
      <c r="M164" s="491">
        <f t="shared" si="8"/>
        <v>9637982.8600000013</v>
      </c>
      <c r="N164" s="241">
        <v>241493.45</v>
      </c>
      <c r="O164" s="241">
        <v>451136</v>
      </c>
      <c r="P164" s="241">
        <v>339572.4</v>
      </c>
      <c r="Q164" s="241">
        <v>106648.87</v>
      </c>
      <c r="R164" s="241">
        <v>208124.75</v>
      </c>
      <c r="S164" s="528">
        <v>84243.17</v>
      </c>
      <c r="T164" s="491">
        <f t="shared" si="9"/>
        <v>11069201.5</v>
      </c>
      <c r="U164" s="237">
        <v>-352863.06</v>
      </c>
      <c r="V164" s="241"/>
      <c r="W164" s="241">
        <v>-2020.57</v>
      </c>
      <c r="X164" s="533">
        <v>72.5</v>
      </c>
      <c r="Y164" s="536">
        <v>1</v>
      </c>
      <c r="Z164" s="213">
        <v>6136</v>
      </c>
      <c r="AA164" s="265"/>
      <c r="AB164" s="235"/>
      <c r="AC164" s="436">
        <f>AB164/VPI!R164</f>
        <v>0</v>
      </c>
      <c r="AD164" s="438">
        <f t="shared" si="10"/>
        <v>0</v>
      </c>
      <c r="AE164" s="436">
        <f>AD164/VPI!R164</f>
        <v>0</v>
      </c>
      <c r="AF164" s="235"/>
      <c r="AG164" s="235"/>
      <c r="AH164" s="235"/>
      <c r="AI164" s="269"/>
      <c r="AJ164" s="8"/>
      <c r="AK164" s="436">
        <f>AJ164/VPI!R164</f>
        <v>0</v>
      </c>
      <c r="AL164" s="438">
        <f t="shared" si="11"/>
        <v>0</v>
      </c>
      <c r="AM164" s="436">
        <f>AL164/VPI!R164</f>
        <v>0</v>
      </c>
      <c r="AN164" s="8"/>
      <c r="AO164" s="269"/>
      <c r="AP164" s="522">
        <v>-17.91780532672507</v>
      </c>
      <c r="AR164" s="539">
        <v>0</v>
      </c>
    </row>
    <row r="165" spans="1:44" x14ac:dyDescent="0.25">
      <c r="A165" s="190">
        <v>5680</v>
      </c>
      <c r="B165" s="440" t="s">
        <v>92</v>
      </c>
      <c r="C165" s="528">
        <v>514467.31</v>
      </c>
      <c r="D165" s="528">
        <v>101713.56</v>
      </c>
      <c r="E165" s="528"/>
      <c r="F165" s="529"/>
      <c r="G165" s="528">
        <v>93861.05</v>
      </c>
      <c r="H165" s="528">
        <v>6164.25</v>
      </c>
      <c r="I165" s="528"/>
      <c r="J165" s="528">
        <v>22372.31</v>
      </c>
      <c r="K165" s="528">
        <v>625</v>
      </c>
      <c r="L165" s="528">
        <v>86521.1</v>
      </c>
      <c r="M165" s="491">
        <f t="shared" si="8"/>
        <v>825724.58000000007</v>
      </c>
      <c r="N165" s="241">
        <v>0</v>
      </c>
      <c r="O165" s="241"/>
      <c r="P165" s="241">
        <v>99800.15</v>
      </c>
      <c r="Q165" s="241"/>
      <c r="R165" s="241">
        <v>49643.55</v>
      </c>
      <c r="S165" s="528">
        <v>10453.16</v>
      </c>
      <c r="T165" s="491">
        <f t="shared" si="9"/>
        <v>985621.44000000018</v>
      </c>
      <c r="U165" s="237">
        <v>-20425.57</v>
      </c>
      <c r="V165" s="241"/>
      <c r="W165" s="241">
        <v>0</v>
      </c>
      <c r="X165" s="533">
        <v>78</v>
      </c>
      <c r="Y165" s="536">
        <v>1.5</v>
      </c>
      <c r="Z165" s="213">
        <v>324</v>
      </c>
      <c r="AA165" s="265"/>
      <c r="AB165" s="235"/>
      <c r="AC165" s="436">
        <f>AB165/VPI!R165</f>
        <v>0</v>
      </c>
      <c r="AD165" s="438">
        <f t="shared" si="10"/>
        <v>0</v>
      </c>
      <c r="AE165" s="436">
        <f>AD165/VPI!R165</f>
        <v>0</v>
      </c>
      <c r="AF165" s="235"/>
      <c r="AG165" s="235"/>
      <c r="AH165" s="235"/>
      <c r="AI165" s="269"/>
      <c r="AJ165" s="8"/>
      <c r="AK165" s="436">
        <f>AJ165/VPI!R165</f>
        <v>0</v>
      </c>
      <c r="AL165" s="438">
        <f t="shared" si="11"/>
        <v>0</v>
      </c>
      <c r="AM165" s="436">
        <f>AL165/VPI!R165</f>
        <v>0</v>
      </c>
      <c r="AN165" s="8"/>
      <c r="AO165" s="269"/>
      <c r="AP165" s="522">
        <v>6.0441160707446988</v>
      </c>
      <c r="AR165" s="539">
        <v>0</v>
      </c>
    </row>
    <row r="166" spans="1:44" x14ac:dyDescent="0.25">
      <c r="A166" s="190">
        <v>5683</v>
      </c>
      <c r="B166" s="440" t="s">
        <v>93</v>
      </c>
      <c r="C166" s="528">
        <v>310715.03000000003</v>
      </c>
      <c r="D166" s="528">
        <v>17858.580000000002</v>
      </c>
      <c r="E166" s="528"/>
      <c r="F166" s="529"/>
      <c r="G166" s="528">
        <v>4459.2</v>
      </c>
      <c r="H166" s="528">
        <v>487.6</v>
      </c>
      <c r="I166" s="528"/>
      <c r="J166" s="528">
        <v>10522.58</v>
      </c>
      <c r="K166" s="528">
        <v>2220.5</v>
      </c>
      <c r="L166" s="528">
        <v>31663</v>
      </c>
      <c r="M166" s="491">
        <f t="shared" si="8"/>
        <v>377926.49000000005</v>
      </c>
      <c r="N166" s="241">
        <v>0</v>
      </c>
      <c r="O166" s="241"/>
      <c r="P166" s="241">
        <v>11117</v>
      </c>
      <c r="Q166" s="241"/>
      <c r="R166" s="241"/>
      <c r="S166" s="528">
        <v>516.97</v>
      </c>
      <c r="T166" s="491">
        <f t="shared" si="9"/>
        <v>389560.46</v>
      </c>
      <c r="U166" s="237">
        <v>-2777.64</v>
      </c>
      <c r="V166" s="241"/>
      <c r="W166" s="241">
        <v>-0.61</v>
      </c>
      <c r="X166" s="533">
        <v>72.5</v>
      </c>
      <c r="Y166" s="536">
        <v>1</v>
      </c>
      <c r="Z166" s="213">
        <v>220</v>
      </c>
      <c r="AA166" s="265"/>
      <c r="AB166" s="235"/>
      <c r="AC166" s="436">
        <f>AB166/VPI!R166</f>
        <v>0</v>
      </c>
      <c r="AD166" s="438">
        <f t="shared" si="10"/>
        <v>0</v>
      </c>
      <c r="AE166" s="436">
        <f>AD166/VPI!R166</f>
        <v>0</v>
      </c>
      <c r="AF166" s="235"/>
      <c r="AG166" s="235"/>
      <c r="AH166" s="235"/>
      <c r="AI166" s="269"/>
      <c r="AJ166" s="8"/>
      <c r="AK166" s="436">
        <f>AJ166/VPI!R166</f>
        <v>0</v>
      </c>
      <c r="AL166" s="438">
        <f t="shared" si="11"/>
        <v>0</v>
      </c>
      <c r="AM166" s="436">
        <f>AL166/VPI!R166</f>
        <v>0</v>
      </c>
      <c r="AN166" s="8"/>
      <c r="AO166" s="269"/>
      <c r="AP166" s="522">
        <v>6.3178602989642156</v>
      </c>
      <c r="AR166" s="539">
        <v>0</v>
      </c>
    </row>
    <row r="167" spans="1:44" x14ac:dyDescent="0.25">
      <c r="A167" s="190">
        <v>5684</v>
      </c>
      <c r="B167" s="440" t="s">
        <v>94</v>
      </c>
      <c r="C167" s="528">
        <v>376431.95</v>
      </c>
      <c r="D167" s="528">
        <v>123452.14</v>
      </c>
      <c r="E167" s="528"/>
      <c r="F167" s="529"/>
      <c r="G167" s="528">
        <v>1125.25</v>
      </c>
      <c r="H167" s="528">
        <v>9</v>
      </c>
      <c r="I167" s="528"/>
      <c r="J167" s="528">
        <v>12748.25</v>
      </c>
      <c r="K167" s="528"/>
      <c r="L167" s="528">
        <v>10906.1</v>
      </c>
      <c r="M167" s="491">
        <f t="shared" si="8"/>
        <v>524672.69000000006</v>
      </c>
      <c r="N167" s="241">
        <v>0</v>
      </c>
      <c r="O167" s="241"/>
      <c r="P167" s="241">
        <v>2777.5</v>
      </c>
      <c r="Q167" s="241"/>
      <c r="R167" s="241">
        <v>10149.15</v>
      </c>
      <c r="S167" s="528">
        <v>118.53</v>
      </c>
      <c r="T167" s="491">
        <f t="shared" si="9"/>
        <v>537717.87000000011</v>
      </c>
      <c r="U167" s="237">
        <v>-19.18</v>
      </c>
      <c r="V167" s="241"/>
      <c r="W167" s="241">
        <v>0</v>
      </c>
      <c r="X167" s="533">
        <v>75</v>
      </c>
      <c r="Y167" s="536">
        <v>0.8</v>
      </c>
      <c r="Z167" s="213">
        <v>93</v>
      </c>
      <c r="AA167" s="265"/>
      <c r="AB167" s="235"/>
      <c r="AC167" s="436">
        <f>AB167/VPI!R167</f>
        <v>0</v>
      </c>
      <c r="AD167" s="438">
        <f t="shared" si="10"/>
        <v>0</v>
      </c>
      <c r="AE167" s="436">
        <f>AD167/VPI!R167</f>
        <v>0</v>
      </c>
      <c r="AF167" s="235"/>
      <c r="AG167" s="235"/>
      <c r="AH167" s="235"/>
      <c r="AI167" s="269"/>
      <c r="AJ167" s="8"/>
      <c r="AK167" s="436">
        <f>AJ167/VPI!R167</f>
        <v>0</v>
      </c>
      <c r="AL167" s="438">
        <f t="shared" si="11"/>
        <v>0</v>
      </c>
      <c r="AM167" s="436">
        <f>AL167/VPI!R167</f>
        <v>0</v>
      </c>
      <c r="AN167" s="8"/>
      <c r="AO167" s="269"/>
      <c r="AP167" s="522">
        <v>18.676643175524021</v>
      </c>
      <c r="AR167" s="539">
        <v>0</v>
      </c>
    </row>
    <row r="168" spans="1:44" x14ac:dyDescent="0.25">
      <c r="A168" s="190">
        <v>5688</v>
      </c>
      <c r="B168" s="440" t="s">
        <v>95</v>
      </c>
      <c r="C168" s="528">
        <v>234499.7</v>
      </c>
      <c r="D168" s="528">
        <v>60667.35</v>
      </c>
      <c r="E168" s="528"/>
      <c r="F168" s="529"/>
      <c r="G168" s="528">
        <v>6381</v>
      </c>
      <c r="H168" s="528">
        <v>75.95</v>
      </c>
      <c r="I168" s="528"/>
      <c r="J168" s="528">
        <v>16049.15</v>
      </c>
      <c r="K168" s="528">
        <v>105</v>
      </c>
      <c r="L168" s="528">
        <v>24608.3</v>
      </c>
      <c r="M168" s="491">
        <f t="shared" si="8"/>
        <v>342386.45</v>
      </c>
      <c r="N168" s="241">
        <v>925.7</v>
      </c>
      <c r="O168" s="241"/>
      <c r="P168" s="241">
        <v>23595</v>
      </c>
      <c r="Q168" s="241"/>
      <c r="R168" s="241">
        <v>1882.3</v>
      </c>
      <c r="S168" s="528">
        <v>674.78</v>
      </c>
      <c r="T168" s="491">
        <f t="shared" si="9"/>
        <v>369464.23000000004</v>
      </c>
      <c r="U168" s="237">
        <v>-55.55</v>
      </c>
      <c r="V168" s="241"/>
      <c r="W168" s="241">
        <v>0</v>
      </c>
      <c r="X168" s="533">
        <v>65</v>
      </c>
      <c r="Y168" s="536">
        <v>1</v>
      </c>
      <c r="Z168" s="213">
        <v>164</v>
      </c>
      <c r="AA168" s="265"/>
      <c r="AB168" s="235"/>
      <c r="AC168" s="436">
        <f>AB168/VPI!R168</f>
        <v>0</v>
      </c>
      <c r="AD168" s="438">
        <f t="shared" si="10"/>
        <v>0</v>
      </c>
      <c r="AE168" s="436">
        <f>AD168/VPI!R168</f>
        <v>0</v>
      </c>
      <c r="AF168" s="235"/>
      <c r="AG168" s="235"/>
      <c r="AH168" s="235"/>
      <c r="AI168" s="269"/>
      <c r="AJ168" s="8"/>
      <c r="AK168" s="436">
        <f>AJ168/VPI!R168</f>
        <v>0</v>
      </c>
      <c r="AL168" s="438">
        <f t="shared" si="11"/>
        <v>0</v>
      </c>
      <c r="AM168" s="436">
        <f>AL168/VPI!R168</f>
        <v>0</v>
      </c>
      <c r="AN168" s="8"/>
      <c r="AO168" s="269"/>
      <c r="AP168" s="522">
        <v>23.102382640777282</v>
      </c>
      <c r="AR168" s="539">
        <v>0</v>
      </c>
    </row>
    <row r="169" spans="1:44" x14ac:dyDescent="0.25">
      <c r="A169" s="190">
        <v>5690</v>
      </c>
      <c r="B169" s="440" t="s">
        <v>96</v>
      </c>
      <c r="C169" s="528">
        <v>241397.32</v>
      </c>
      <c r="D169" s="528">
        <v>37695.870000000003</v>
      </c>
      <c r="E169" s="528"/>
      <c r="F169" s="529">
        <v>800</v>
      </c>
      <c r="G169" s="528">
        <v>999.6</v>
      </c>
      <c r="H169" s="528">
        <v>491.7</v>
      </c>
      <c r="I169" s="528"/>
      <c r="J169" s="528"/>
      <c r="K169" s="528">
        <v>184.1</v>
      </c>
      <c r="L169" s="528">
        <v>25844.9</v>
      </c>
      <c r="M169" s="491">
        <f t="shared" si="8"/>
        <v>307413.49</v>
      </c>
      <c r="N169" s="241">
        <v>0</v>
      </c>
      <c r="O169" s="241">
        <v>75.3</v>
      </c>
      <c r="P169" s="241">
        <v>20713.650000000001</v>
      </c>
      <c r="Q169" s="241"/>
      <c r="R169" s="241">
        <v>13571.55</v>
      </c>
      <c r="S169" s="528">
        <v>155.85</v>
      </c>
      <c r="T169" s="491">
        <f t="shared" si="9"/>
        <v>341929.83999999997</v>
      </c>
      <c r="U169" s="237">
        <v>-65</v>
      </c>
      <c r="V169" s="241"/>
      <c r="W169" s="241">
        <v>0</v>
      </c>
      <c r="X169" s="533">
        <v>70</v>
      </c>
      <c r="Y169" s="536">
        <v>1.2</v>
      </c>
      <c r="Z169" s="213">
        <v>138</v>
      </c>
      <c r="AA169" s="265"/>
      <c r="AB169" s="235"/>
      <c r="AC169" s="436">
        <f>AB169/VPI!R169</f>
        <v>0</v>
      </c>
      <c r="AD169" s="438">
        <f t="shared" si="10"/>
        <v>0</v>
      </c>
      <c r="AE169" s="436">
        <f>AD169/VPI!R169</f>
        <v>0</v>
      </c>
      <c r="AF169" s="235"/>
      <c r="AG169" s="235"/>
      <c r="AH169" s="235"/>
      <c r="AI169" s="269"/>
      <c r="AJ169" s="8"/>
      <c r="AK169" s="436">
        <f>AJ169/VPI!R169</f>
        <v>0</v>
      </c>
      <c r="AL169" s="438">
        <f t="shared" si="11"/>
        <v>0</v>
      </c>
      <c r="AM169" s="436">
        <f>AL169/VPI!R169</f>
        <v>0</v>
      </c>
      <c r="AN169" s="8"/>
      <c r="AO169" s="269"/>
      <c r="AP169" s="522">
        <v>9.811980845597013</v>
      </c>
      <c r="AR169" s="539">
        <v>0</v>
      </c>
    </row>
    <row r="170" spans="1:44" x14ac:dyDescent="0.25">
      <c r="A170" s="190">
        <v>5692</v>
      </c>
      <c r="B170" s="440" t="s">
        <v>97</v>
      </c>
      <c r="C170" s="528">
        <v>1233184.3700000001</v>
      </c>
      <c r="D170" s="528">
        <v>126698.6</v>
      </c>
      <c r="E170" s="528"/>
      <c r="F170" s="529"/>
      <c r="G170" s="528">
        <v>9212.4</v>
      </c>
      <c r="H170" s="528">
        <v>190.65</v>
      </c>
      <c r="I170" s="528"/>
      <c r="J170" s="528">
        <v>6340.52</v>
      </c>
      <c r="K170" s="528">
        <v>3062.05</v>
      </c>
      <c r="L170" s="528">
        <v>111093.4</v>
      </c>
      <c r="M170" s="491">
        <f t="shared" si="8"/>
        <v>1489781.99</v>
      </c>
      <c r="N170" s="241">
        <v>13129.25</v>
      </c>
      <c r="O170" s="241">
        <v>490.7</v>
      </c>
      <c r="P170" s="241">
        <v>86886.25</v>
      </c>
      <c r="Q170" s="241"/>
      <c r="R170" s="241">
        <v>86968.3</v>
      </c>
      <c r="S170" s="528">
        <v>982.67</v>
      </c>
      <c r="T170" s="491">
        <f t="shared" si="9"/>
        <v>1678239.16</v>
      </c>
      <c r="U170" s="237">
        <v>-31726.07</v>
      </c>
      <c r="V170" s="241"/>
      <c r="W170" s="241">
        <v>-19.45</v>
      </c>
      <c r="X170" s="533">
        <v>77</v>
      </c>
      <c r="Y170" s="536">
        <v>1</v>
      </c>
      <c r="Z170" s="213">
        <v>638</v>
      </c>
      <c r="AA170" s="265"/>
      <c r="AB170" s="235"/>
      <c r="AC170" s="436">
        <f>AB170/VPI!R170</f>
        <v>0</v>
      </c>
      <c r="AD170" s="438">
        <f t="shared" si="10"/>
        <v>0</v>
      </c>
      <c r="AE170" s="436">
        <f>AD170/VPI!R170</f>
        <v>0</v>
      </c>
      <c r="AF170" s="235"/>
      <c r="AG170" s="235"/>
      <c r="AH170" s="235"/>
      <c r="AI170" s="269"/>
      <c r="AJ170" s="8"/>
      <c r="AK170" s="436">
        <f>AJ170/VPI!R170</f>
        <v>0</v>
      </c>
      <c r="AL170" s="438">
        <f t="shared" si="11"/>
        <v>0</v>
      </c>
      <c r="AM170" s="436">
        <f>AL170/VPI!R170</f>
        <v>0</v>
      </c>
      <c r="AN170" s="8"/>
      <c r="AO170" s="269"/>
      <c r="AP170" s="522">
        <v>12.410454905275152</v>
      </c>
      <c r="AR170" s="539">
        <v>0</v>
      </c>
    </row>
    <row r="171" spans="1:44" x14ac:dyDescent="0.25">
      <c r="A171" s="190">
        <v>5693</v>
      </c>
      <c r="B171" s="440" t="s">
        <v>353</v>
      </c>
      <c r="C171" s="528">
        <v>4463533.08</v>
      </c>
      <c r="D171" s="528">
        <v>593669.14</v>
      </c>
      <c r="E171" s="528"/>
      <c r="F171" s="529"/>
      <c r="G171" s="528">
        <v>144153.15</v>
      </c>
      <c r="H171" s="528">
        <v>2633.6</v>
      </c>
      <c r="I171" s="528"/>
      <c r="J171" s="528">
        <v>73235.490000000005</v>
      </c>
      <c r="K171" s="528">
        <v>8525.6</v>
      </c>
      <c r="L171" s="528">
        <v>446483.3</v>
      </c>
      <c r="M171" s="491">
        <f t="shared" si="8"/>
        <v>5732233.3599999994</v>
      </c>
      <c r="N171" s="241">
        <v>74880.2</v>
      </c>
      <c r="O171" s="241">
        <v>14579.2</v>
      </c>
      <c r="P171" s="241">
        <v>181968.4</v>
      </c>
      <c r="Q171" s="241">
        <v>3859.79</v>
      </c>
      <c r="R171" s="241">
        <v>199173.4</v>
      </c>
      <c r="S171" s="528">
        <v>15339.97</v>
      </c>
      <c r="T171" s="491">
        <f t="shared" si="9"/>
        <v>6222034.3200000003</v>
      </c>
      <c r="U171" s="237">
        <v>-145624.10999999999</v>
      </c>
      <c r="V171" s="241"/>
      <c r="W171" s="241">
        <v>-345.86</v>
      </c>
      <c r="X171" s="533">
        <v>70</v>
      </c>
      <c r="Y171" s="536">
        <v>1</v>
      </c>
      <c r="Z171" s="213">
        <v>2820</v>
      </c>
      <c r="AA171" s="265"/>
      <c r="AB171" s="235"/>
      <c r="AC171" s="436">
        <f>AB171/VPI!R171</f>
        <v>0</v>
      </c>
      <c r="AD171" s="438">
        <f t="shared" si="10"/>
        <v>0</v>
      </c>
      <c r="AE171" s="436">
        <f>AD171/VPI!R171</f>
        <v>0</v>
      </c>
      <c r="AF171" s="235"/>
      <c r="AG171" s="235"/>
      <c r="AH171" s="235"/>
      <c r="AI171" s="269"/>
      <c r="AJ171" s="8"/>
      <c r="AK171" s="436">
        <f>AJ171/VPI!R171</f>
        <v>0</v>
      </c>
      <c r="AL171" s="438">
        <f t="shared" si="11"/>
        <v>0</v>
      </c>
      <c r="AM171" s="436">
        <f>AL171/VPI!R171</f>
        <v>0</v>
      </c>
      <c r="AN171" s="8"/>
      <c r="AO171" s="269"/>
      <c r="AP171" s="522">
        <v>5.9845115236161428</v>
      </c>
      <c r="AR171" s="539">
        <v>0</v>
      </c>
    </row>
    <row r="172" spans="1:44" x14ac:dyDescent="0.25">
      <c r="A172" s="190">
        <v>5701</v>
      </c>
      <c r="B172" s="440" t="s">
        <v>98</v>
      </c>
      <c r="C172" s="528">
        <v>564524.76</v>
      </c>
      <c r="D172" s="528">
        <v>183346.98</v>
      </c>
      <c r="E172" s="528"/>
      <c r="F172" s="529"/>
      <c r="G172" s="528">
        <v>2167.1</v>
      </c>
      <c r="H172" s="528">
        <v>1706.05</v>
      </c>
      <c r="I172" s="528">
        <v>65333.35</v>
      </c>
      <c r="J172" s="528">
        <v>22572</v>
      </c>
      <c r="K172" s="528">
        <v>508.25</v>
      </c>
      <c r="L172" s="528">
        <v>74026.600000000006</v>
      </c>
      <c r="M172" s="491">
        <f t="shared" si="8"/>
        <v>914185.09</v>
      </c>
      <c r="N172" s="241">
        <v>1445.9</v>
      </c>
      <c r="O172" s="241">
        <v>321000</v>
      </c>
      <c r="P172" s="241">
        <v>67485</v>
      </c>
      <c r="Q172" s="241"/>
      <c r="R172" s="241">
        <v>22990.85</v>
      </c>
      <c r="S172" s="528">
        <v>404.76</v>
      </c>
      <c r="T172" s="491">
        <f t="shared" si="9"/>
        <v>1327511.6000000001</v>
      </c>
      <c r="U172" s="237">
        <v>-1746.75</v>
      </c>
      <c r="V172" s="241"/>
      <c r="W172" s="241">
        <v>-3065.26</v>
      </c>
      <c r="X172" s="533">
        <v>70</v>
      </c>
      <c r="Y172" s="536">
        <v>1</v>
      </c>
      <c r="Z172" s="213">
        <v>240</v>
      </c>
      <c r="AA172" s="265"/>
      <c r="AB172" s="235"/>
      <c r="AC172" s="436">
        <f>AB172/VPI!R172</f>
        <v>0</v>
      </c>
      <c r="AD172" s="438">
        <f t="shared" si="10"/>
        <v>0</v>
      </c>
      <c r="AE172" s="436">
        <f>AD172/VPI!R172</f>
        <v>0</v>
      </c>
      <c r="AF172" s="235"/>
      <c r="AG172" s="235"/>
      <c r="AH172" s="235"/>
      <c r="AI172" s="269"/>
      <c r="AJ172" s="8"/>
      <c r="AK172" s="436">
        <f>AJ172/VPI!R172</f>
        <v>0</v>
      </c>
      <c r="AL172" s="438">
        <f t="shared" si="11"/>
        <v>0</v>
      </c>
      <c r="AM172" s="436">
        <f>AL172/VPI!R172</f>
        <v>0</v>
      </c>
      <c r="AN172" s="8"/>
      <c r="AO172" s="269"/>
      <c r="AP172" s="522">
        <v>32.997916489324467</v>
      </c>
      <c r="AR172" s="539">
        <v>0</v>
      </c>
    </row>
    <row r="173" spans="1:44" x14ac:dyDescent="0.25">
      <c r="A173" s="190">
        <v>5702</v>
      </c>
      <c r="B173" s="440" t="s">
        <v>352</v>
      </c>
      <c r="C173" s="528">
        <v>8914654.8000000007</v>
      </c>
      <c r="D173" s="528">
        <v>1615259.71</v>
      </c>
      <c r="E173" s="528"/>
      <c r="F173" s="529"/>
      <c r="G173" s="528">
        <v>67748.649999999994</v>
      </c>
      <c r="H173" s="528">
        <v>62512.7</v>
      </c>
      <c r="I173" s="528">
        <v>444158.53</v>
      </c>
      <c r="J173" s="528">
        <v>62657.440000000002</v>
      </c>
      <c r="K173" s="528">
        <v>19238.150000000001</v>
      </c>
      <c r="L173" s="528">
        <v>1298860.8</v>
      </c>
      <c r="M173" s="491">
        <f t="shared" si="8"/>
        <v>12485090.780000001</v>
      </c>
      <c r="N173" s="241">
        <v>82459.899999999994</v>
      </c>
      <c r="O173" s="241">
        <v>272482.5</v>
      </c>
      <c r="P173" s="241">
        <v>789846.55</v>
      </c>
      <c r="Q173" s="241">
        <v>12993.13</v>
      </c>
      <c r="R173" s="241">
        <v>574856.94999999995</v>
      </c>
      <c r="S173" s="528">
        <v>13612.98</v>
      </c>
      <c r="T173" s="491">
        <f t="shared" si="9"/>
        <v>14231342.790000003</v>
      </c>
      <c r="U173" s="237">
        <v>-30015.07</v>
      </c>
      <c r="V173" s="241"/>
      <c r="W173" s="241">
        <v>-17723.080000000002</v>
      </c>
      <c r="X173" s="533">
        <v>64</v>
      </c>
      <c r="Y173" s="536">
        <v>1.5</v>
      </c>
      <c r="Z173" s="213">
        <v>2955</v>
      </c>
      <c r="AA173" s="265"/>
      <c r="AB173" s="235"/>
      <c r="AC173" s="436">
        <f>AB173/VPI!R173</f>
        <v>0</v>
      </c>
      <c r="AD173" s="438">
        <f t="shared" si="10"/>
        <v>0</v>
      </c>
      <c r="AE173" s="436">
        <f>AD173/VPI!R173</f>
        <v>0</v>
      </c>
      <c r="AF173" s="235"/>
      <c r="AG173" s="235"/>
      <c r="AH173" s="235"/>
      <c r="AI173" s="269"/>
      <c r="AJ173" s="8"/>
      <c r="AK173" s="436">
        <f>AJ173/VPI!R173</f>
        <v>0</v>
      </c>
      <c r="AL173" s="438">
        <f t="shared" si="11"/>
        <v>0</v>
      </c>
      <c r="AM173" s="436">
        <f>AL173/VPI!R173</f>
        <v>0</v>
      </c>
      <c r="AN173" s="8"/>
      <c r="AO173" s="269"/>
      <c r="AP173" s="522">
        <v>28.74679314608375</v>
      </c>
      <c r="AR173" s="539">
        <v>0</v>
      </c>
    </row>
    <row r="174" spans="1:44" x14ac:dyDescent="0.25">
      <c r="A174" s="190">
        <v>5703</v>
      </c>
      <c r="B174" s="440" t="s">
        <v>99</v>
      </c>
      <c r="C174" s="528">
        <v>3673051.02</v>
      </c>
      <c r="D174" s="528">
        <v>506795.29</v>
      </c>
      <c r="E174" s="528"/>
      <c r="F174" s="529"/>
      <c r="G174" s="528">
        <v>46013.15</v>
      </c>
      <c r="H174" s="528">
        <v>1184.4000000000001</v>
      </c>
      <c r="I174" s="528"/>
      <c r="J174" s="528">
        <v>182230.27</v>
      </c>
      <c r="K174" s="528">
        <v>250.75</v>
      </c>
      <c r="L174" s="528">
        <v>482086.55</v>
      </c>
      <c r="M174" s="491">
        <f t="shared" si="8"/>
        <v>4891611.43</v>
      </c>
      <c r="N174" s="241">
        <v>43670.25</v>
      </c>
      <c r="O174" s="241">
        <v>42179.1</v>
      </c>
      <c r="P174" s="241">
        <v>260580.45</v>
      </c>
      <c r="Q174" s="241">
        <v>4661.6099999999997</v>
      </c>
      <c r="R174" s="241">
        <v>149753.20000000001</v>
      </c>
      <c r="S174" s="528">
        <v>4932.3900000000003</v>
      </c>
      <c r="T174" s="491">
        <f t="shared" si="9"/>
        <v>5397388.4299999997</v>
      </c>
      <c r="U174" s="237">
        <v>-17221.099999999999</v>
      </c>
      <c r="V174" s="241"/>
      <c r="W174" s="241">
        <v>-1754.91</v>
      </c>
      <c r="X174" s="533">
        <v>72.5</v>
      </c>
      <c r="Y174" s="536">
        <v>1.4</v>
      </c>
      <c r="Z174" s="213">
        <v>1478</v>
      </c>
      <c r="AA174" s="265"/>
      <c r="AB174" s="235"/>
      <c r="AC174" s="436">
        <f>AB174/VPI!R174</f>
        <v>0</v>
      </c>
      <c r="AD174" s="438">
        <f t="shared" si="10"/>
        <v>0</v>
      </c>
      <c r="AE174" s="436">
        <f>AD174/VPI!R174</f>
        <v>0</v>
      </c>
      <c r="AF174" s="235"/>
      <c r="AG174" s="235"/>
      <c r="AH174" s="235"/>
      <c r="AI174" s="269"/>
      <c r="AJ174" s="8"/>
      <c r="AK174" s="436">
        <f>AJ174/VPI!R174</f>
        <v>0</v>
      </c>
      <c r="AL174" s="438">
        <f t="shared" si="11"/>
        <v>0</v>
      </c>
      <c r="AM174" s="436">
        <f>AL174/VPI!R174</f>
        <v>0</v>
      </c>
      <c r="AN174" s="8"/>
      <c r="AO174" s="269"/>
      <c r="AP174" s="522">
        <v>24.81736067408449</v>
      </c>
      <c r="AR174" s="539">
        <v>0</v>
      </c>
    </row>
    <row r="175" spans="1:44" x14ac:dyDescent="0.25">
      <c r="A175" s="190">
        <v>5704</v>
      </c>
      <c r="B175" s="440" t="s">
        <v>195</v>
      </c>
      <c r="C175" s="528">
        <v>5387686.04</v>
      </c>
      <c r="D175" s="528">
        <v>1830590.67</v>
      </c>
      <c r="E175" s="528"/>
      <c r="F175" s="529"/>
      <c r="G175" s="528">
        <v>-25930.45</v>
      </c>
      <c r="H175" s="528">
        <v>3973.95</v>
      </c>
      <c r="I175" s="528">
        <v>259453.95</v>
      </c>
      <c r="J175" s="528">
        <v>107342.65</v>
      </c>
      <c r="K175" s="528">
        <v>21403.05</v>
      </c>
      <c r="L175" s="528">
        <v>818307.8</v>
      </c>
      <c r="M175" s="491">
        <f t="shared" si="8"/>
        <v>8402827.6600000001</v>
      </c>
      <c r="N175" s="241">
        <v>16362.45</v>
      </c>
      <c r="O175" s="241">
        <v>1453992.8</v>
      </c>
      <c r="P175" s="241">
        <v>589700.5</v>
      </c>
      <c r="Q175" s="241">
        <v>550.91999999999996</v>
      </c>
      <c r="R175" s="241">
        <v>577515.80000000005</v>
      </c>
      <c r="S175" s="528">
        <v>-2294.5700000000002</v>
      </c>
      <c r="T175" s="491">
        <f t="shared" si="9"/>
        <v>11038655.560000001</v>
      </c>
      <c r="U175" s="237">
        <v>-12433.37</v>
      </c>
      <c r="V175" s="241"/>
      <c r="W175" s="241">
        <v>-7754.07</v>
      </c>
      <c r="X175" s="533">
        <v>62.5</v>
      </c>
      <c r="Y175" s="536">
        <v>1.5</v>
      </c>
      <c r="Z175" s="213">
        <v>1939</v>
      </c>
      <c r="AA175" s="265"/>
      <c r="AB175" s="235"/>
      <c r="AC175" s="436">
        <f>AB175/VPI!R175</f>
        <v>0</v>
      </c>
      <c r="AD175" s="438">
        <f t="shared" si="10"/>
        <v>0</v>
      </c>
      <c r="AE175" s="436">
        <f>AD175/VPI!R175</f>
        <v>0</v>
      </c>
      <c r="AF175" s="235"/>
      <c r="AG175" s="235"/>
      <c r="AH175" s="235"/>
      <c r="AI175" s="269"/>
      <c r="AJ175" s="8"/>
      <c r="AK175" s="436">
        <f>AJ175/VPI!R175</f>
        <v>0</v>
      </c>
      <c r="AL175" s="438">
        <f t="shared" si="11"/>
        <v>0</v>
      </c>
      <c r="AM175" s="436">
        <f>AL175/VPI!R175</f>
        <v>0</v>
      </c>
      <c r="AN175" s="8"/>
      <c r="AO175" s="269"/>
      <c r="AP175" s="522">
        <v>40.422784337461025</v>
      </c>
      <c r="AR175" s="539">
        <v>0</v>
      </c>
    </row>
    <row r="176" spans="1:44" x14ac:dyDescent="0.25">
      <c r="A176" s="190">
        <v>5705</v>
      </c>
      <c r="B176" s="440" t="s">
        <v>196</v>
      </c>
      <c r="C176" s="528">
        <v>2968645.55</v>
      </c>
      <c r="D176" s="528">
        <v>463052.97</v>
      </c>
      <c r="E176" s="528"/>
      <c r="F176" s="529"/>
      <c r="G176" s="528">
        <v>40875.449999999997</v>
      </c>
      <c r="H176" s="528">
        <v>8309.1</v>
      </c>
      <c r="I176" s="528">
        <v>40643.15</v>
      </c>
      <c r="J176" s="528">
        <v>55908.49</v>
      </c>
      <c r="K176" s="528">
        <v>3484.75</v>
      </c>
      <c r="L176" s="528">
        <v>238427.2</v>
      </c>
      <c r="M176" s="491">
        <f t="shared" si="8"/>
        <v>3819346.66</v>
      </c>
      <c r="N176" s="241">
        <v>50994.15</v>
      </c>
      <c r="O176" s="241">
        <v>9306</v>
      </c>
      <c r="P176" s="241">
        <v>284952.8</v>
      </c>
      <c r="Q176" s="241">
        <v>573.07000000000005</v>
      </c>
      <c r="R176" s="241">
        <v>368957.2</v>
      </c>
      <c r="S176" s="528">
        <v>5140.04</v>
      </c>
      <c r="T176" s="491">
        <f t="shared" si="9"/>
        <v>4539269.92</v>
      </c>
      <c r="U176" s="237">
        <v>-16935.310000000001</v>
      </c>
      <c r="V176" s="241"/>
      <c r="W176" s="241">
        <v>-5341.23</v>
      </c>
      <c r="X176" s="533">
        <v>74.5</v>
      </c>
      <c r="Y176" s="536">
        <v>1</v>
      </c>
      <c r="Z176" s="213">
        <v>923</v>
      </c>
      <c r="AA176" s="265"/>
      <c r="AB176" s="235"/>
      <c r="AC176" s="436">
        <f>AB176/VPI!R176</f>
        <v>0</v>
      </c>
      <c r="AD176" s="438">
        <f t="shared" si="10"/>
        <v>0</v>
      </c>
      <c r="AE176" s="436">
        <f>AD176/VPI!R176</f>
        <v>0</v>
      </c>
      <c r="AF176" s="235"/>
      <c r="AG176" s="235"/>
      <c r="AH176" s="235"/>
      <c r="AI176" s="269"/>
      <c r="AJ176" s="8"/>
      <c r="AK176" s="436">
        <f>AJ176/VPI!R176</f>
        <v>0</v>
      </c>
      <c r="AL176" s="438">
        <f t="shared" si="11"/>
        <v>0</v>
      </c>
      <c r="AM176" s="436">
        <f>AL176/VPI!R176</f>
        <v>0</v>
      </c>
      <c r="AN176" s="8"/>
      <c r="AO176" s="269"/>
      <c r="AP176" s="522">
        <v>31.351349142717599</v>
      </c>
      <c r="AR176" s="539">
        <v>0</v>
      </c>
    </row>
    <row r="177" spans="1:44" x14ac:dyDescent="0.25">
      <c r="A177" s="190">
        <v>5706</v>
      </c>
      <c r="B177" s="440" t="s">
        <v>197</v>
      </c>
      <c r="C177" s="528">
        <v>7368348.4699999997</v>
      </c>
      <c r="D177" s="528">
        <v>1196440.28</v>
      </c>
      <c r="E177" s="528"/>
      <c r="F177" s="529"/>
      <c r="G177" s="528">
        <v>24463.1</v>
      </c>
      <c r="H177" s="528">
        <v>4411</v>
      </c>
      <c r="I177" s="528">
        <v>44894.05</v>
      </c>
      <c r="J177" s="528">
        <v>26641.87</v>
      </c>
      <c r="K177" s="528">
        <v>10637.7</v>
      </c>
      <c r="L177" s="528">
        <v>438367.2</v>
      </c>
      <c r="M177" s="491">
        <f t="shared" si="8"/>
        <v>9114203.6699999981</v>
      </c>
      <c r="N177" s="241">
        <v>9334.2000000000007</v>
      </c>
      <c r="O177" s="241">
        <v>75135.199999999997</v>
      </c>
      <c r="P177" s="241">
        <v>216715.4</v>
      </c>
      <c r="Q177" s="241"/>
      <c r="R177" s="241">
        <v>97050.7</v>
      </c>
      <c r="S177" s="528">
        <v>3017.49</v>
      </c>
      <c r="T177" s="491">
        <f t="shared" si="9"/>
        <v>9515456.6599999964</v>
      </c>
      <c r="U177" s="237">
        <v>-17075.64</v>
      </c>
      <c r="V177" s="241"/>
      <c r="W177" s="241">
        <v>-13118.28</v>
      </c>
      <c r="X177" s="533">
        <v>57</v>
      </c>
      <c r="Y177" s="536">
        <v>1.5</v>
      </c>
      <c r="Z177" s="213">
        <v>1131</v>
      </c>
      <c r="AA177" s="265"/>
      <c r="AB177" s="235"/>
      <c r="AC177" s="436">
        <f>AB177/VPI!R177</f>
        <v>0</v>
      </c>
      <c r="AD177" s="438">
        <f t="shared" si="10"/>
        <v>0</v>
      </c>
      <c r="AE177" s="436">
        <f>AD177/VPI!R177</f>
        <v>0</v>
      </c>
      <c r="AF177" s="235"/>
      <c r="AG177" s="235"/>
      <c r="AH177" s="235"/>
      <c r="AI177" s="269"/>
      <c r="AJ177" s="8"/>
      <c r="AK177" s="436">
        <f>AJ177/VPI!R177</f>
        <v>0</v>
      </c>
      <c r="AL177" s="438">
        <f t="shared" si="11"/>
        <v>0</v>
      </c>
      <c r="AM177" s="436">
        <f>AL177/VPI!R177</f>
        <v>0</v>
      </c>
      <c r="AN177" s="8"/>
      <c r="AO177" s="269"/>
      <c r="AP177" s="522">
        <v>30.949683807793424</v>
      </c>
      <c r="AR177" s="539">
        <v>0</v>
      </c>
    </row>
    <row r="178" spans="1:44" x14ac:dyDescent="0.25">
      <c r="A178" s="190">
        <v>5707</v>
      </c>
      <c r="B178" s="440" t="s">
        <v>198</v>
      </c>
      <c r="C178" s="528">
        <v>3234382.12</v>
      </c>
      <c r="D178" s="528">
        <v>488573.77</v>
      </c>
      <c r="E178" s="528"/>
      <c r="F178" s="529"/>
      <c r="G178" s="528">
        <v>588093.5</v>
      </c>
      <c r="H178" s="528">
        <v>11720.55</v>
      </c>
      <c r="I178" s="528">
        <v>31747.15</v>
      </c>
      <c r="J178" s="528">
        <v>68265.009999999995</v>
      </c>
      <c r="K178" s="528">
        <v>69453.600000000006</v>
      </c>
      <c r="L178" s="528">
        <v>743914.55</v>
      </c>
      <c r="M178" s="491">
        <f t="shared" si="8"/>
        <v>5236150.25</v>
      </c>
      <c r="N178" s="241">
        <v>677002.4</v>
      </c>
      <c r="O178" s="241">
        <v>10593</v>
      </c>
      <c r="P178" s="241">
        <v>318330.84999999998</v>
      </c>
      <c r="Q178" s="241">
        <v>2803.59</v>
      </c>
      <c r="R178" s="241">
        <v>319335.5</v>
      </c>
      <c r="S178" s="528">
        <v>62683.65</v>
      </c>
      <c r="T178" s="491">
        <f t="shared" si="9"/>
        <v>6626899.2400000002</v>
      </c>
      <c r="U178" s="237">
        <v>-14652.23</v>
      </c>
      <c r="V178" s="241"/>
      <c r="W178" s="241">
        <v>-4370.3100000000004</v>
      </c>
      <c r="X178" s="533">
        <v>58</v>
      </c>
      <c r="Y178" s="536">
        <v>1.5</v>
      </c>
      <c r="Z178" s="213">
        <v>1314</v>
      </c>
      <c r="AA178" s="265"/>
      <c r="AB178" s="235"/>
      <c r="AC178" s="436">
        <f>AB178/VPI!R178</f>
        <v>0</v>
      </c>
      <c r="AD178" s="438">
        <f t="shared" si="10"/>
        <v>0</v>
      </c>
      <c r="AE178" s="436">
        <f>AD178/VPI!R178</f>
        <v>0</v>
      </c>
      <c r="AF178" s="235"/>
      <c r="AG178" s="235"/>
      <c r="AH178" s="235"/>
      <c r="AI178" s="269"/>
      <c r="AJ178" s="8"/>
      <c r="AK178" s="436">
        <f>AJ178/VPI!R178</f>
        <v>0</v>
      </c>
      <c r="AL178" s="438">
        <f t="shared" si="11"/>
        <v>0</v>
      </c>
      <c r="AM178" s="436">
        <f>AL178/VPI!R178</f>
        <v>0</v>
      </c>
      <c r="AN178" s="8"/>
      <c r="AO178" s="269"/>
      <c r="AP178" s="522">
        <v>31.953930542812945</v>
      </c>
      <c r="AR178" s="539">
        <v>0</v>
      </c>
    </row>
    <row r="179" spans="1:44" x14ac:dyDescent="0.25">
      <c r="A179" s="190">
        <v>5708</v>
      </c>
      <c r="B179" s="440" t="s">
        <v>199</v>
      </c>
      <c r="C179" s="528">
        <v>3538264.84</v>
      </c>
      <c r="D179" s="528">
        <v>813957.27</v>
      </c>
      <c r="E179" s="528"/>
      <c r="F179" s="529"/>
      <c r="G179" s="528">
        <v>98169.2</v>
      </c>
      <c r="H179" s="528">
        <v>1045.55</v>
      </c>
      <c r="I179" s="528"/>
      <c r="J179" s="528">
        <v>39265.82</v>
      </c>
      <c r="K179" s="528">
        <v>12314.3</v>
      </c>
      <c r="L179" s="528">
        <v>444268.79999999999</v>
      </c>
      <c r="M179" s="491">
        <f t="shared" si="8"/>
        <v>4947285.7799999993</v>
      </c>
      <c r="N179" s="241">
        <v>14254.75</v>
      </c>
      <c r="O179" s="241">
        <v>7563.2</v>
      </c>
      <c r="P179" s="241">
        <v>164658.20000000001</v>
      </c>
      <c r="Q179" s="241"/>
      <c r="R179" s="241">
        <v>67084.7</v>
      </c>
      <c r="S179" s="528">
        <v>10368.450000000001</v>
      </c>
      <c r="T179" s="491">
        <f t="shared" si="9"/>
        <v>5211215.08</v>
      </c>
      <c r="U179" s="237">
        <v>-116497.4</v>
      </c>
      <c r="V179" s="241"/>
      <c r="W179" s="241">
        <v>-14207.44</v>
      </c>
      <c r="X179" s="533">
        <v>68</v>
      </c>
      <c r="Y179" s="536">
        <v>1.5</v>
      </c>
      <c r="Z179" s="213">
        <v>1020</v>
      </c>
      <c r="AA179" s="265"/>
      <c r="AB179" s="235"/>
      <c r="AC179" s="436">
        <f>AB179/VPI!R179</f>
        <v>0</v>
      </c>
      <c r="AD179" s="438">
        <f t="shared" si="10"/>
        <v>0</v>
      </c>
      <c r="AE179" s="436">
        <f>AD179/VPI!R179</f>
        <v>0</v>
      </c>
      <c r="AF179" s="235"/>
      <c r="AG179" s="235"/>
      <c r="AH179" s="235"/>
      <c r="AI179" s="269"/>
      <c r="AJ179" s="8"/>
      <c r="AK179" s="436">
        <f>AJ179/VPI!R179</f>
        <v>0</v>
      </c>
      <c r="AL179" s="438">
        <f t="shared" si="11"/>
        <v>0</v>
      </c>
      <c r="AM179" s="436">
        <f>AL179/VPI!R179</f>
        <v>0</v>
      </c>
      <c r="AN179" s="8"/>
      <c r="AO179" s="269"/>
      <c r="AP179" s="522">
        <v>33.56930142890549</v>
      </c>
      <c r="AR179" s="539">
        <v>0</v>
      </c>
    </row>
    <row r="180" spans="1:44" x14ac:dyDescent="0.25">
      <c r="A180" s="190">
        <v>5709</v>
      </c>
      <c r="B180" s="440" t="s">
        <v>200</v>
      </c>
      <c r="C180" s="528">
        <v>3807959.94</v>
      </c>
      <c r="D180" s="528">
        <v>254197.93</v>
      </c>
      <c r="E180" s="528"/>
      <c r="F180" s="529"/>
      <c r="G180" s="528">
        <v>16479.400000000001</v>
      </c>
      <c r="H180" s="528">
        <v>12819.65</v>
      </c>
      <c r="I180" s="528">
        <v>572271.35</v>
      </c>
      <c r="J180" s="528">
        <v>126473.49</v>
      </c>
      <c r="K180" s="528">
        <v>6559.15</v>
      </c>
      <c r="L180" s="528">
        <v>399004.85</v>
      </c>
      <c r="M180" s="491">
        <f t="shared" si="8"/>
        <v>5195765.7599999998</v>
      </c>
      <c r="N180" s="241">
        <v>56721.8</v>
      </c>
      <c r="O180" s="241">
        <v>64875</v>
      </c>
      <c r="P180" s="241">
        <v>265340.45</v>
      </c>
      <c r="Q180" s="241">
        <v>2596.36</v>
      </c>
      <c r="R180" s="241">
        <v>207669.15</v>
      </c>
      <c r="S180" s="528">
        <v>3061.9</v>
      </c>
      <c r="T180" s="491">
        <f t="shared" si="9"/>
        <v>5796030.4200000009</v>
      </c>
      <c r="U180" s="237">
        <v>-12340.81</v>
      </c>
      <c r="V180" s="241"/>
      <c r="W180" s="241">
        <v>-3016.02</v>
      </c>
      <c r="X180" s="533">
        <v>57</v>
      </c>
      <c r="Y180" s="536">
        <v>1</v>
      </c>
      <c r="Z180" s="213">
        <v>1251</v>
      </c>
      <c r="AA180" s="265"/>
      <c r="AB180" s="235"/>
      <c r="AC180" s="436">
        <f>AB180/VPI!R180</f>
        <v>0</v>
      </c>
      <c r="AD180" s="438">
        <f t="shared" si="10"/>
        <v>0</v>
      </c>
      <c r="AE180" s="436">
        <f>AD180/VPI!R180</f>
        <v>0</v>
      </c>
      <c r="AF180" s="235"/>
      <c r="AG180" s="235"/>
      <c r="AH180" s="235"/>
      <c r="AI180" s="269"/>
      <c r="AJ180" s="8"/>
      <c r="AK180" s="436">
        <f>AJ180/VPI!R180</f>
        <v>0</v>
      </c>
      <c r="AL180" s="438">
        <f t="shared" si="11"/>
        <v>0</v>
      </c>
      <c r="AM180" s="436">
        <f>AL180/VPI!R180</f>
        <v>0</v>
      </c>
      <c r="AN180" s="8"/>
      <c r="AO180" s="269"/>
      <c r="AP180" s="522">
        <v>32.880538137603345</v>
      </c>
      <c r="AR180" s="539">
        <v>0</v>
      </c>
    </row>
    <row r="181" spans="1:44" x14ac:dyDescent="0.25">
      <c r="A181" s="190">
        <v>5710</v>
      </c>
      <c r="B181" s="440" t="s">
        <v>201</v>
      </c>
      <c r="C181" s="528">
        <v>1067199.48</v>
      </c>
      <c r="D181" s="528">
        <v>208128.88</v>
      </c>
      <c r="E181" s="528"/>
      <c r="F181" s="529"/>
      <c r="G181" s="528">
        <v>159934.75</v>
      </c>
      <c r="H181" s="528">
        <v>4697.05</v>
      </c>
      <c r="I181" s="528">
        <v>110957.8</v>
      </c>
      <c r="J181" s="528">
        <v>11943.66</v>
      </c>
      <c r="K181" s="528">
        <v>3534.45</v>
      </c>
      <c r="L181" s="528">
        <v>134861.79999999999</v>
      </c>
      <c r="M181" s="491">
        <f t="shared" si="8"/>
        <v>1701257.8699999999</v>
      </c>
      <c r="N181" s="241">
        <v>42380.65</v>
      </c>
      <c r="O181" s="241"/>
      <c r="P181" s="241">
        <v>134985.65</v>
      </c>
      <c r="Q181" s="241">
        <v>5617.59</v>
      </c>
      <c r="R181" s="241">
        <v>54907.55</v>
      </c>
      <c r="S181" s="528">
        <v>17204.87</v>
      </c>
      <c r="T181" s="491">
        <f t="shared" si="9"/>
        <v>1956354.18</v>
      </c>
      <c r="U181" s="237">
        <v>-6007.97</v>
      </c>
      <c r="V181" s="241"/>
      <c r="W181" s="241">
        <v>-7040.39</v>
      </c>
      <c r="X181" s="533">
        <v>51</v>
      </c>
      <c r="Y181" s="536">
        <v>1</v>
      </c>
      <c r="Z181" s="213">
        <v>499</v>
      </c>
      <c r="AA181" s="265"/>
      <c r="AB181" s="235"/>
      <c r="AC181" s="436">
        <f>AB181/VPI!R181</f>
        <v>0</v>
      </c>
      <c r="AD181" s="438">
        <f t="shared" si="10"/>
        <v>0</v>
      </c>
      <c r="AE181" s="436">
        <f>AD181/VPI!R181</f>
        <v>0</v>
      </c>
      <c r="AF181" s="235"/>
      <c r="AG181" s="235"/>
      <c r="AH181" s="235"/>
      <c r="AI181" s="269"/>
      <c r="AJ181" s="8"/>
      <c r="AK181" s="436">
        <f>AJ181/VPI!R181</f>
        <v>0</v>
      </c>
      <c r="AL181" s="438">
        <f t="shared" si="11"/>
        <v>0</v>
      </c>
      <c r="AM181" s="436">
        <f>AL181/VPI!R181</f>
        <v>0</v>
      </c>
      <c r="AN181" s="8"/>
      <c r="AO181" s="269"/>
      <c r="AP181" s="522">
        <v>36.218506905666679</v>
      </c>
      <c r="AR181" s="539">
        <v>0</v>
      </c>
    </row>
    <row r="182" spans="1:44" x14ac:dyDescent="0.25">
      <c r="A182" s="190">
        <v>5711</v>
      </c>
      <c r="B182" s="440" t="s">
        <v>202</v>
      </c>
      <c r="C182" s="528">
        <v>13338996.949999999</v>
      </c>
      <c r="D182" s="528">
        <v>2802778.37</v>
      </c>
      <c r="E182" s="528"/>
      <c r="F182" s="529"/>
      <c r="G182" s="528">
        <v>48894.400000000001</v>
      </c>
      <c r="H182" s="528">
        <v>12501.8</v>
      </c>
      <c r="I182" s="528">
        <v>209185.35</v>
      </c>
      <c r="J182" s="528">
        <v>40295.019999999997</v>
      </c>
      <c r="K182" s="528">
        <v>18240.3</v>
      </c>
      <c r="L182" s="528">
        <v>1274038.5</v>
      </c>
      <c r="M182" s="491">
        <f t="shared" si="8"/>
        <v>17744930.690000001</v>
      </c>
      <c r="N182" s="241">
        <v>27324.400000000001</v>
      </c>
      <c r="O182" s="241"/>
      <c r="P182" s="241">
        <v>1125448.45</v>
      </c>
      <c r="Q182" s="241"/>
      <c r="R182" s="241">
        <v>1238976.95</v>
      </c>
      <c r="S182" s="528">
        <v>6416.22</v>
      </c>
      <c r="T182" s="491">
        <f t="shared" si="9"/>
        <v>20143096.709999997</v>
      </c>
      <c r="U182" s="237">
        <v>-20130.099999999999</v>
      </c>
      <c r="V182" s="241"/>
      <c r="W182" s="241">
        <v>-25925.59</v>
      </c>
      <c r="X182" s="533">
        <v>57</v>
      </c>
      <c r="Y182" s="536">
        <v>1.3</v>
      </c>
      <c r="Z182" s="213">
        <v>2989</v>
      </c>
      <c r="AA182" s="265"/>
      <c r="AB182" s="235"/>
      <c r="AC182" s="436">
        <f>AB182/VPI!R182</f>
        <v>0</v>
      </c>
      <c r="AD182" s="438">
        <f t="shared" si="10"/>
        <v>0</v>
      </c>
      <c r="AE182" s="436">
        <f>AD182/VPI!R182</f>
        <v>0</v>
      </c>
      <c r="AF182" s="235"/>
      <c r="AG182" s="235"/>
      <c r="AH182" s="235"/>
      <c r="AI182" s="269"/>
      <c r="AJ182" s="8"/>
      <c r="AK182" s="436">
        <f>AJ182/VPI!R182</f>
        <v>0</v>
      </c>
      <c r="AL182" s="438">
        <f t="shared" si="11"/>
        <v>0</v>
      </c>
      <c r="AM182" s="436">
        <f>AL182/VPI!R182</f>
        <v>0</v>
      </c>
      <c r="AN182" s="8"/>
      <c r="AO182" s="269"/>
      <c r="AP182" s="522">
        <v>36.9412331537659</v>
      </c>
      <c r="AR182" s="539">
        <v>0</v>
      </c>
    </row>
    <row r="183" spans="1:44" x14ac:dyDescent="0.25">
      <c r="A183" s="190">
        <v>5712</v>
      </c>
      <c r="B183" s="440" t="s">
        <v>203</v>
      </c>
      <c r="C183" s="528">
        <v>13756833.5</v>
      </c>
      <c r="D183" s="528">
        <v>5616364.3600000003</v>
      </c>
      <c r="E183" s="528"/>
      <c r="F183" s="529"/>
      <c r="G183" s="528">
        <v>366036.45</v>
      </c>
      <c r="H183" s="528">
        <v>31657</v>
      </c>
      <c r="I183" s="528">
        <v>1297891.26</v>
      </c>
      <c r="J183" s="528">
        <v>104926.78</v>
      </c>
      <c r="K183" s="528">
        <v>40505.5</v>
      </c>
      <c r="L183" s="528">
        <v>1843404.65</v>
      </c>
      <c r="M183" s="491">
        <f t="shared" si="8"/>
        <v>23057619.5</v>
      </c>
      <c r="N183" s="241">
        <v>171358.1</v>
      </c>
      <c r="O183" s="241">
        <v>993524.4</v>
      </c>
      <c r="P183" s="241">
        <v>1161553.3500000001</v>
      </c>
      <c r="Q183" s="241">
        <v>747.53</v>
      </c>
      <c r="R183" s="241">
        <v>785030.8</v>
      </c>
      <c r="S183" s="528">
        <v>41561.01</v>
      </c>
      <c r="T183" s="491">
        <f t="shared" si="9"/>
        <v>26211394.690000005</v>
      </c>
      <c r="U183" s="237">
        <v>-28182.14</v>
      </c>
      <c r="V183" s="241"/>
      <c r="W183" s="241">
        <v>-49800.53</v>
      </c>
      <c r="X183" s="533">
        <v>53</v>
      </c>
      <c r="Y183" s="536">
        <v>1.5</v>
      </c>
      <c r="Z183" s="213">
        <v>3184</v>
      </c>
      <c r="AA183" s="265"/>
      <c r="AB183" s="235"/>
      <c r="AC183" s="436">
        <f>AB183/VPI!R183</f>
        <v>0</v>
      </c>
      <c r="AD183" s="438">
        <f t="shared" si="10"/>
        <v>0</v>
      </c>
      <c r="AE183" s="436">
        <f>AD183/VPI!R183</f>
        <v>0</v>
      </c>
      <c r="AF183" s="235"/>
      <c r="AG183" s="235"/>
      <c r="AH183" s="235"/>
      <c r="AI183" s="269"/>
      <c r="AJ183" s="8"/>
      <c r="AK183" s="436">
        <f>AJ183/VPI!R183</f>
        <v>0</v>
      </c>
      <c r="AL183" s="438">
        <f t="shared" si="11"/>
        <v>0</v>
      </c>
      <c r="AM183" s="436">
        <f>AL183/VPI!R183</f>
        <v>0</v>
      </c>
      <c r="AN183" s="8"/>
      <c r="AO183" s="269"/>
      <c r="AP183" s="522">
        <v>38.037232224813991</v>
      </c>
      <c r="AR183" s="539">
        <v>0</v>
      </c>
    </row>
    <row r="184" spans="1:44" x14ac:dyDescent="0.25">
      <c r="A184" s="190">
        <v>5713</v>
      </c>
      <c r="B184" s="440" t="s">
        <v>556</v>
      </c>
      <c r="C184" s="528">
        <v>10159833.470000001</v>
      </c>
      <c r="D184" s="528">
        <v>4650634.74</v>
      </c>
      <c r="E184" s="528"/>
      <c r="F184" s="529"/>
      <c r="G184" s="528">
        <v>41149.1</v>
      </c>
      <c r="H184" s="528">
        <v>22635.4</v>
      </c>
      <c r="I184" s="528">
        <v>736044.95</v>
      </c>
      <c r="J184" s="528">
        <v>310875.25</v>
      </c>
      <c r="K184" s="528">
        <v>23710.65</v>
      </c>
      <c r="L184" s="528">
        <v>900695.9</v>
      </c>
      <c r="M184" s="491">
        <f t="shared" si="8"/>
        <v>16845579.460000001</v>
      </c>
      <c r="N184" s="241">
        <v>38257.35</v>
      </c>
      <c r="O184" s="241">
        <v>200464.8</v>
      </c>
      <c r="P184" s="241">
        <v>737540.45</v>
      </c>
      <c r="Q184" s="241"/>
      <c r="R184" s="241">
        <v>731442.85</v>
      </c>
      <c r="S184" s="528">
        <v>6665.81</v>
      </c>
      <c r="T184" s="491">
        <f t="shared" si="9"/>
        <v>18559950.720000003</v>
      </c>
      <c r="U184" s="237">
        <v>-34553.79</v>
      </c>
      <c r="V184" s="241"/>
      <c r="W184" s="241">
        <v>-45810.239999999998</v>
      </c>
      <c r="X184" s="533">
        <v>59</v>
      </c>
      <c r="Y184" s="536">
        <v>1</v>
      </c>
      <c r="Z184" s="213">
        <v>2360</v>
      </c>
      <c r="AA184" s="265"/>
      <c r="AB184" s="235"/>
      <c r="AC184" s="436">
        <f>AB184/VPI!R184</f>
        <v>0</v>
      </c>
      <c r="AD184" s="438">
        <f t="shared" si="10"/>
        <v>0</v>
      </c>
      <c r="AE184" s="436">
        <f>AD184/VPI!R184</f>
        <v>0</v>
      </c>
      <c r="AF184" s="235"/>
      <c r="AG184" s="235"/>
      <c r="AH184" s="235"/>
      <c r="AI184" s="269"/>
      <c r="AJ184" s="8"/>
      <c r="AK184" s="436">
        <f>AJ184/VPI!R184</f>
        <v>0</v>
      </c>
      <c r="AL184" s="438">
        <f t="shared" si="11"/>
        <v>0</v>
      </c>
      <c r="AM184" s="436">
        <f>AL184/VPI!R184</f>
        <v>0</v>
      </c>
      <c r="AN184" s="8"/>
      <c r="AO184" s="269"/>
      <c r="AP184" s="522">
        <v>42.611100485799973</v>
      </c>
      <c r="AR184" s="539">
        <v>1</v>
      </c>
    </row>
    <row r="185" spans="1:44" x14ac:dyDescent="0.25">
      <c r="A185" s="190">
        <v>5714</v>
      </c>
      <c r="B185" s="440" t="s">
        <v>204</v>
      </c>
      <c r="C185" s="528">
        <v>3115396.74</v>
      </c>
      <c r="D185" s="528">
        <v>547220.93000000005</v>
      </c>
      <c r="E185" s="528"/>
      <c r="F185" s="529"/>
      <c r="G185" s="528">
        <v>30062.85</v>
      </c>
      <c r="H185" s="528">
        <v>5957.3</v>
      </c>
      <c r="I185" s="528">
        <v>136399.54999999999</v>
      </c>
      <c r="J185" s="528">
        <v>15874.79</v>
      </c>
      <c r="K185" s="528">
        <v>6086.2</v>
      </c>
      <c r="L185" s="528">
        <v>305025.65000000002</v>
      </c>
      <c r="M185" s="491">
        <f t="shared" si="8"/>
        <v>4162024.0100000002</v>
      </c>
      <c r="N185" s="241">
        <v>131082.9</v>
      </c>
      <c r="O185" s="241">
        <v>16849.2</v>
      </c>
      <c r="P185" s="241">
        <v>246075.5</v>
      </c>
      <c r="Q185" s="241">
        <v>36357.440000000002</v>
      </c>
      <c r="R185" s="241">
        <v>201165.75</v>
      </c>
      <c r="S185" s="528">
        <v>3764.29</v>
      </c>
      <c r="T185" s="491">
        <f t="shared" si="9"/>
        <v>4797319.0900000008</v>
      </c>
      <c r="U185" s="237">
        <v>-40022.769999999997</v>
      </c>
      <c r="V185" s="241"/>
      <c r="W185" s="241">
        <v>-4233.3599999999997</v>
      </c>
      <c r="X185" s="533">
        <v>66.5</v>
      </c>
      <c r="Y185" s="536">
        <v>1</v>
      </c>
      <c r="Z185" s="213">
        <v>1234</v>
      </c>
      <c r="AA185" s="265"/>
      <c r="AB185" s="235"/>
      <c r="AC185" s="436">
        <f>AB185/VPI!R185</f>
        <v>0</v>
      </c>
      <c r="AD185" s="438">
        <f t="shared" si="10"/>
        <v>0</v>
      </c>
      <c r="AE185" s="436">
        <f>AD185/VPI!R185</f>
        <v>0</v>
      </c>
      <c r="AF185" s="235"/>
      <c r="AG185" s="235"/>
      <c r="AH185" s="235"/>
      <c r="AI185" s="269"/>
      <c r="AJ185" s="8"/>
      <c r="AK185" s="436">
        <f>AJ185/VPI!R185</f>
        <v>0</v>
      </c>
      <c r="AL185" s="438">
        <f t="shared" si="11"/>
        <v>0</v>
      </c>
      <c r="AM185" s="436">
        <f>AL185/VPI!R185</f>
        <v>0</v>
      </c>
      <c r="AN185" s="8"/>
      <c r="AO185" s="269"/>
      <c r="AP185" s="522">
        <v>28.155699452486139</v>
      </c>
      <c r="AR185" s="539">
        <v>0</v>
      </c>
    </row>
    <row r="186" spans="1:44" x14ac:dyDescent="0.25">
      <c r="A186" s="190">
        <v>5715</v>
      </c>
      <c r="B186" s="440" t="s">
        <v>205</v>
      </c>
      <c r="C186" s="528">
        <v>3063645.6</v>
      </c>
      <c r="D186" s="528">
        <v>560054.36</v>
      </c>
      <c r="E186" s="528"/>
      <c r="F186" s="529"/>
      <c r="G186" s="528">
        <v>40781.449999999997</v>
      </c>
      <c r="H186" s="528">
        <v>4891</v>
      </c>
      <c r="I186" s="528"/>
      <c r="J186" s="528">
        <v>49327.61</v>
      </c>
      <c r="K186" s="528">
        <v>7927.5</v>
      </c>
      <c r="L186" s="528">
        <v>294377.59999999998</v>
      </c>
      <c r="M186" s="491">
        <f t="shared" si="8"/>
        <v>4021005.12</v>
      </c>
      <c r="N186" s="241">
        <v>117778.5</v>
      </c>
      <c r="O186" s="241"/>
      <c r="P186" s="241">
        <v>237561.05</v>
      </c>
      <c r="Q186" s="241">
        <v>260.89</v>
      </c>
      <c r="R186" s="241">
        <v>131393.79999999999</v>
      </c>
      <c r="S186" s="528">
        <v>4773.01</v>
      </c>
      <c r="T186" s="491">
        <f t="shared" si="9"/>
        <v>4512772.3699999992</v>
      </c>
      <c r="U186" s="237">
        <v>-27142.51</v>
      </c>
      <c r="V186" s="241"/>
      <c r="W186" s="241">
        <v>-2589</v>
      </c>
      <c r="X186" s="533">
        <v>66</v>
      </c>
      <c r="Y186" s="536">
        <v>1</v>
      </c>
      <c r="Z186" s="213">
        <v>1116</v>
      </c>
      <c r="AA186" s="265"/>
      <c r="AB186" s="235"/>
      <c r="AC186" s="436">
        <f>AB186/VPI!R186</f>
        <v>0</v>
      </c>
      <c r="AD186" s="438">
        <f t="shared" si="10"/>
        <v>0</v>
      </c>
      <c r="AE186" s="436">
        <f>AD186/VPI!R186</f>
        <v>0</v>
      </c>
      <c r="AF186" s="235"/>
      <c r="AG186" s="235"/>
      <c r="AH186" s="235"/>
      <c r="AI186" s="269"/>
      <c r="AJ186" s="8"/>
      <c r="AK186" s="436">
        <f>AJ186/VPI!R186</f>
        <v>0</v>
      </c>
      <c r="AL186" s="438">
        <f t="shared" si="11"/>
        <v>0</v>
      </c>
      <c r="AM186" s="436">
        <f>AL186/VPI!R186</f>
        <v>0</v>
      </c>
      <c r="AN186" s="8"/>
      <c r="AO186" s="269"/>
      <c r="AP186" s="522">
        <v>31.517191779927614</v>
      </c>
      <c r="AR186" s="539">
        <v>0</v>
      </c>
    </row>
    <row r="187" spans="1:44" x14ac:dyDescent="0.25">
      <c r="A187" s="190">
        <v>5716</v>
      </c>
      <c r="B187" s="440" t="s">
        <v>206</v>
      </c>
      <c r="C187" s="528">
        <v>4144968.44</v>
      </c>
      <c r="D187" s="528">
        <v>572818.32999999996</v>
      </c>
      <c r="E187" s="528"/>
      <c r="F187" s="529"/>
      <c r="G187" s="528">
        <v>6450430.8499999996</v>
      </c>
      <c r="H187" s="528">
        <v>814020.05</v>
      </c>
      <c r="I187" s="528"/>
      <c r="J187" s="528">
        <v>228445.41</v>
      </c>
      <c r="K187" s="528">
        <v>177434.5</v>
      </c>
      <c r="L187" s="528">
        <v>716185.1</v>
      </c>
      <c r="M187" s="491">
        <f t="shared" si="8"/>
        <v>13104302.68</v>
      </c>
      <c r="N187" s="241">
        <v>672454.95</v>
      </c>
      <c r="O187" s="241"/>
      <c r="P187" s="241">
        <v>273828.34999999998</v>
      </c>
      <c r="Q187" s="241">
        <v>29452.22</v>
      </c>
      <c r="R187" s="241">
        <v>190442.3</v>
      </c>
      <c r="S187" s="528">
        <v>759172.41</v>
      </c>
      <c r="T187" s="491">
        <f t="shared" si="9"/>
        <v>15029652.91</v>
      </c>
      <c r="U187" s="237">
        <v>-44876.97</v>
      </c>
      <c r="V187" s="241"/>
      <c r="W187" s="241">
        <v>-10034.41</v>
      </c>
      <c r="X187" s="533">
        <v>59.5</v>
      </c>
      <c r="Y187" s="536">
        <v>1</v>
      </c>
      <c r="Z187" s="213">
        <v>1767</v>
      </c>
      <c r="AA187" s="265"/>
      <c r="AB187" s="235"/>
      <c r="AC187" s="436">
        <f>AB187/VPI!R187</f>
        <v>0</v>
      </c>
      <c r="AD187" s="438">
        <f t="shared" si="10"/>
        <v>0</v>
      </c>
      <c r="AE187" s="436">
        <f>AD187/VPI!R187</f>
        <v>0</v>
      </c>
      <c r="AF187" s="235"/>
      <c r="AG187" s="235"/>
      <c r="AH187" s="235"/>
      <c r="AI187" s="269"/>
      <c r="AJ187" s="8"/>
      <c r="AK187" s="436">
        <f>AJ187/VPI!R187</f>
        <v>0</v>
      </c>
      <c r="AL187" s="438">
        <f t="shared" si="11"/>
        <v>0</v>
      </c>
      <c r="AM187" s="436">
        <f>AL187/VPI!R187</f>
        <v>0</v>
      </c>
      <c r="AN187" s="8"/>
      <c r="AO187" s="269"/>
      <c r="AP187" s="522">
        <v>42.300609849685735</v>
      </c>
      <c r="AR187" s="539">
        <v>0</v>
      </c>
    </row>
    <row r="188" spans="1:44" x14ac:dyDescent="0.25">
      <c r="A188" s="190">
        <v>5717</v>
      </c>
      <c r="B188" s="440" t="s">
        <v>207</v>
      </c>
      <c r="C188" s="528">
        <v>13670744.41</v>
      </c>
      <c r="D188" s="528">
        <v>4130747.1</v>
      </c>
      <c r="E188" s="528"/>
      <c r="F188" s="529"/>
      <c r="G188" s="528">
        <v>116885.6</v>
      </c>
      <c r="H188" s="528">
        <v>35862.15</v>
      </c>
      <c r="I188" s="528">
        <v>914819</v>
      </c>
      <c r="J188" s="528">
        <v>436267.91</v>
      </c>
      <c r="K188" s="528">
        <v>47285.5</v>
      </c>
      <c r="L188" s="528">
        <v>1392543.4</v>
      </c>
      <c r="M188" s="491">
        <f t="shared" si="8"/>
        <v>20745155.07</v>
      </c>
      <c r="N188" s="241">
        <v>206504.3</v>
      </c>
      <c r="O188" s="241">
        <v>-7167.7</v>
      </c>
      <c r="P188" s="241">
        <v>1668847.2</v>
      </c>
      <c r="Q188" s="241">
        <v>2961.22</v>
      </c>
      <c r="R188" s="241">
        <v>1958785.4</v>
      </c>
      <c r="S188" s="528">
        <v>15962.92</v>
      </c>
      <c r="T188" s="491">
        <f t="shared" si="9"/>
        <v>24591048.41</v>
      </c>
      <c r="U188" s="237">
        <v>-84608.59</v>
      </c>
      <c r="V188" s="241"/>
      <c r="W188" s="241">
        <v>-69241.279999999999</v>
      </c>
      <c r="X188" s="533">
        <v>57</v>
      </c>
      <c r="Y188" s="536">
        <v>1</v>
      </c>
      <c r="Z188" s="213">
        <v>3766</v>
      </c>
      <c r="AA188" s="265"/>
      <c r="AB188" s="235"/>
      <c r="AC188" s="436">
        <f>AB188/VPI!R188</f>
        <v>0</v>
      </c>
      <c r="AD188" s="438">
        <f t="shared" si="10"/>
        <v>0</v>
      </c>
      <c r="AE188" s="436">
        <f>AD188/VPI!R188</f>
        <v>0</v>
      </c>
      <c r="AF188" s="235"/>
      <c r="AG188" s="235"/>
      <c r="AH188" s="235"/>
      <c r="AI188" s="269"/>
      <c r="AJ188" s="8"/>
      <c r="AK188" s="436">
        <f>AJ188/VPI!R188</f>
        <v>0</v>
      </c>
      <c r="AL188" s="438">
        <f t="shared" si="11"/>
        <v>0</v>
      </c>
      <c r="AM188" s="436">
        <f>AL188/VPI!R188</f>
        <v>0</v>
      </c>
      <c r="AN188" s="8"/>
      <c r="AO188" s="269"/>
      <c r="AP188" s="522">
        <v>38.117729228444745</v>
      </c>
      <c r="AR188" s="539">
        <v>0</v>
      </c>
    </row>
    <row r="189" spans="1:44" x14ac:dyDescent="0.25">
      <c r="A189" s="190">
        <v>5718</v>
      </c>
      <c r="B189" s="440" t="s">
        <v>208</v>
      </c>
      <c r="C189" s="528">
        <v>7845492.9500000002</v>
      </c>
      <c r="D189" s="528">
        <v>1979627.91</v>
      </c>
      <c r="E189" s="528"/>
      <c r="F189" s="529"/>
      <c r="G189" s="528">
        <v>540777.75</v>
      </c>
      <c r="H189" s="528">
        <v>20639.45</v>
      </c>
      <c r="I189" s="528">
        <v>371967.78</v>
      </c>
      <c r="J189" s="528">
        <v>229837.45</v>
      </c>
      <c r="K189" s="528">
        <v>44941.65</v>
      </c>
      <c r="L189" s="528">
        <v>713959.95</v>
      </c>
      <c r="M189" s="491">
        <f t="shared" si="8"/>
        <v>11747244.889999997</v>
      </c>
      <c r="N189" s="241">
        <v>253669.75</v>
      </c>
      <c r="O189" s="241">
        <v>47489.5</v>
      </c>
      <c r="P189" s="241">
        <v>516916.8</v>
      </c>
      <c r="Q189" s="241">
        <v>508.93</v>
      </c>
      <c r="R189" s="241">
        <v>566159.5</v>
      </c>
      <c r="S189" s="528">
        <v>58670.98</v>
      </c>
      <c r="T189" s="491">
        <f t="shared" si="9"/>
        <v>13190660.349999998</v>
      </c>
      <c r="U189" s="237">
        <v>-96453.06</v>
      </c>
      <c r="V189" s="241"/>
      <c r="W189" s="241">
        <v>-11514.28</v>
      </c>
      <c r="X189" s="533">
        <v>55</v>
      </c>
      <c r="Y189" s="536">
        <v>1</v>
      </c>
      <c r="Z189" s="213">
        <v>2027</v>
      </c>
      <c r="AA189" s="265"/>
      <c r="AB189" s="235"/>
      <c r="AC189" s="436">
        <f>AB189/VPI!R189</f>
        <v>0</v>
      </c>
      <c r="AD189" s="438">
        <f t="shared" si="10"/>
        <v>0</v>
      </c>
      <c r="AE189" s="436">
        <f>AD189/VPI!R189</f>
        <v>0</v>
      </c>
      <c r="AF189" s="235"/>
      <c r="AG189" s="235"/>
      <c r="AH189" s="235"/>
      <c r="AI189" s="269"/>
      <c r="AJ189" s="8"/>
      <c r="AK189" s="436">
        <f>AJ189/VPI!R189</f>
        <v>0</v>
      </c>
      <c r="AL189" s="438">
        <f t="shared" si="11"/>
        <v>0</v>
      </c>
      <c r="AM189" s="436">
        <f>AL189/VPI!R189</f>
        <v>0</v>
      </c>
      <c r="AN189" s="544"/>
      <c r="AO189" s="269"/>
      <c r="AP189" s="522">
        <v>37.191282319079278</v>
      </c>
      <c r="AR189" s="539">
        <v>0</v>
      </c>
    </row>
    <row r="190" spans="1:44" x14ac:dyDescent="0.25">
      <c r="A190" s="190">
        <v>5719</v>
      </c>
      <c r="B190" s="440" t="s">
        <v>209</v>
      </c>
      <c r="C190" s="528">
        <v>3978389.04</v>
      </c>
      <c r="D190" s="528">
        <v>2456059.21</v>
      </c>
      <c r="E190" s="528"/>
      <c r="F190" s="529"/>
      <c r="G190" s="528">
        <v>58307.9</v>
      </c>
      <c r="H190" s="528">
        <v>-1083.5</v>
      </c>
      <c r="I190" s="528">
        <v>241425.51</v>
      </c>
      <c r="J190" s="528">
        <v>61880.14</v>
      </c>
      <c r="K190" s="528">
        <v>14154.3</v>
      </c>
      <c r="L190" s="528">
        <v>263491.3</v>
      </c>
      <c r="M190" s="491">
        <f t="shared" si="8"/>
        <v>7072623.8999999994</v>
      </c>
      <c r="N190" s="241">
        <v>56832</v>
      </c>
      <c r="O190" s="241">
        <v>572041.80000000005</v>
      </c>
      <c r="P190" s="241">
        <v>244034.8</v>
      </c>
      <c r="Q190" s="241">
        <v>335.72</v>
      </c>
      <c r="R190" s="241">
        <v>330428.84999999998</v>
      </c>
      <c r="S190" s="528">
        <v>5980.24</v>
      </c>
      <c r="T190" s="491">
        <f t="shared" si="9"/>
        <v>8282277.3099999987</v>
      </c>
      <c r="U190" s="237">
        <v>-51834.44</v>
      </c>
      <c r="V190" s="241"/>
      <c r="W190" s="241">
        <v>-6168.34</v>
      </c>
      <c r="X190" s="533">
        <v>60</v>
      </c>
      <c r="Y190" s="536">
        <v>0.6</v>
      </c>
      <c r="Z190" s="213">
        <v>1271</v>
      </c>
      <c r="AA190" s="265"/>
      <c r="AB190" s="235"/>
      <c r="AC190" s="436">
        <f>AB190/VPI!R190</f>
        <v>0</v>
      </c>
      <c r="AD190" s="438">
        <f t="shared" si="10"/>
        <v>0</v>
      </c>
      <c r="AE190" s="436">
        <f>AD190/VPI!R190</f>
        <v>0</v>
      </c>
      <c r="AF190" s="235"/>
      <c r="AG190" s="235"/>
      <c r="AH190" s="235"/>
      <c r="AI190" s="269"/>
      <c r="AJ190" s="8"/>
      <c r="AK190" s="436">
        <f>AJ190/VPI!R190</f>
        <v>0</v>
      </c>
      <c r="AL190" s="438">
        <f t="shared" si="11"/>
        <v>0</v>
      </c>
      <c r="AM190" s="436">
        <f>AL190/VPI!R190</f>
        <v>0</v>
      </c>
      <c r="AN190" s="8"/>
      <c r="AO190" s="269"/>
      <c r="AP190" s="522">
        <v>43.150176058436685</v>
      </c>
      <c r="AR190" s="539">
        <v>0</v>
      </c>
    </row>
    <row r="191" spans="1:44" x14ac:dyDescent="0.25">
      <c r="A191" s="190">
        <v>5720</v>
      </c>
      <c r="B191" s="440" t="s">
        <v>210</v>
      </c>
      <c r="C191" s="528">
        <v>3706544.99</v>
      </c>
      <c r="D191" s="528">
        <v>1093140.3</v>
      </c>
      <c r="E191" s="528"/>
      <c r="F191" s="529"/>
      <c r="G191" s="528">
        <v>90186.15</v>
      </c>
      <c r="H191" s="528">
        <v>6031.9</v>
      </c>
      <c r="I191" s="528">
        <v>408093.5</v>
      </c>
      <c r="J191" s="528">
        <v>60011.1</v>
      </c>
      <c r="K191" s="528"/>
      <c r="L191" s="528">
        <v>296029.65000000002</v>
      </c>
      <c r="M191" s="491">
        <f t="shared" si="8"/>
        <v>5660037.5900000008</v>
      </c>
      <c r="N191" s="241">
        <v>16911.75</v>
      </c>
      <c r="O191" s="241">
        <v>11880</v>
      </c>
      <c r="P191" s="241">
        <v>317959.65000000002</v>
      </c>
      <c r="Q191" s="241">
        <v>291.77999999999997</v>
      </c>
      <c r="R191" s="241">
        <v>100338.6</v>
      </c>
      <c r="S191" s="528">
        <v>10055.280000000001</v>
      </c>
      <c r="T191" s="491">
        <f t="shared" si="9"/>
        <v>6117474.6500000013</v>
      </c>
      <c r="U191" s="237">
        <v>-5671.59</v>
      </c>
      <c r="V191" s="241"/>
      <c r="W191" s="241">
        <v>-11420.29</v>
      </c>
      <c r="X191" s="533">
        <v>67</v>
      </c>
      <c r="Y191" s="536">
        <v>0.9</v>
      </c>
      <c r="Z191" s="213">
        <v>1026</v>
      </c>
      <c r="AA191" s="265"/>
      <c r="AB191" s="235"/>
      <c r="AC191" s="436">
        <f>AB191/VPI!R191</f>
        <v>0</v>
      </c>
      <c r="AD191" s="438">
        <f t="shared" si="10"/>
        <v>0</v>
      </c>
      <c r="AE191" s="436">
        <f>AD191/VPI!R191</f>
        <v>0</v>
      </c>
      <c r="AF191" s="235"/>
      <c r="AG191" s="235"/>
      <c r="AH191" s="235"/>
      <c r="AI191" s="269"/>
      <c r="AJ191" s="8"/>
      <c r="AK191" s="436">
        <f>AJ191/VPI!R191</f>
        <v>0</v>
      </c>
      <c r="AL191" s="438">
        <f t="shared" si="11"/>
        <v>0</v>
      </c>
      <c r="AM191" s="436">
        <f>AL191/VPI!R191</f>
        <v>0</v>
      </c>
      <c r="AN191" s="8"/>
      <c r="AO191" s="269"/>
      <c r="AP191" s="522">
        <v>35.35867391486471</v>
      </c>
      <c r="AR191" s="539">
        <v>0</v>
      </c>
    </row>
    <row r="192" spans="1:44" x14ac:dyDescent="0.25">
      <c r="A192" s="190">
        <v>5721</v>
      </c>
      <c r="B192" s="440" t="s">
        <v>211</v>
      </c>
      <c r="C192" s="528">
        <v>25571314.77</v>
      </c>
      <c r="D192" s="528">
        <v>5288065.7699999996</v>
      </c>
      <c r="E192" s="528"/>
      <c r="F192" s="529"/>
      <c r="G192" s="528">
        <v>5191647.1500000004</v>
      </c>
      <c r="H192" s="528">
        <v>350231.65</v>
      </c>
      <c r="I192" s="528">
        <v>704264.29</v>
      </c>
      <c r="J192" s="528">
        <v>1106072.03</v>
      </c>
      <c r="K192" s="528">
        <v>549055.4</v>
      </c>
      <c r="L192" s="528">
        <v>3092516.35</v>
      </c>
      <c r="M192" s="491">
        <f t="shared" si="8"/>
        <v>41853167.409999996</v>
      </c>
      <c r="N192" s="241">
        <v>2399698.6</v>
      </c>
      <c r="O192" s="241">
        <v>884374.8</v>
      </c>
      <c r="P192" s="241">
        <v>1715929.45</v>
      </c>
      <c r="Q192" s="241">
        <v>72861.02</v>
      </c>
      <c r="R192" s="241">
        <v>1037215.45</v>
      </c>
      <c r="S192" s="528">
        <v>579154.79</v>
      </c>
      <c r="T192" s="491">
        <f t="shared" si="9"/>
        <v>48542401.520000003</v>
      </c>
      <c r="U192" s="237">
        <v>-394646.63</v>
      </c>
      <c r="V192" s="241"/>
      <c r="W192" s="241">
        <v>-82432.990000000005</v>
      </c>
      <c r="X192" s="533">
        <v>61</v>
      </c>
      <c r="Y192" s="536">
        <v>1</v>
      </c>
      <c r="Z192" s="213">
        <v>13698</v>
      </c>
      <c r="AA192" s="265"/>
      <c r="AB192" s="235"/>
      <c r="AC192" s="436">
        <f>AB192/VPI!R192</f>
        <v>0</v>
      </c>
      <c r="AD192" s="438">
        <f t="shared" si="10"/>
        <v>0</v>
      </c>
      <c r="AE192" s="436">
        <f>AD192/VPI!R192</f>
        <v>0</v>
      </c>
      <c r="AF192" s="235"/>
      <c r="AG192" s="235"/>
      <c r="AH192" s="235"/>
      <c r="AI192" s="269"/>
      <c r="AJ192" s="8"/>
      <c r="AK192" s="436">
        <f>AJ192/VPI!R192</f>
        <v>0</v>
      </c>
      <c r="AL192" s="438">
        <f t="shared" si="11"/>
        <v>0</v>
      </c>
      <c r="AM192" s="436">
        <f>AL192/VPI!R192</f>
        <v>0</v>
      </c>
      <c r="AN192" s="8"/>
      <c r="AO192" s="269"/>
      <c r="AP192" s="522">
        <v>21.032440887060329</v>
      </c>
      <c r="AR192" s="539">
        <v>0</v>
      </c>
    </row>
    <row r="193" spans="1:44" x14ac:dyDescent="0.25">
      <c r="A193" s="190">
        <v>5722</v>
      </c>
      <c r="B193" s="440" t="s">
        <v>212</v>
      </c>
      <c r="C193" s="528">
        <v>989861.44</v>
      </c>
      <c r="D193" s="528">
        <v>190246.47</v>
      </c>
      <c r="E193" s="528"/>
      <c r="F193" s="529"/>
      <c r="G193" s="528">
        <v>3777.65</v>
      </c>
      <c r="H193" s="528">
        <v>4807.7</v>
      </c>
      <c r="I193" s="528"/>
      <c r="J193" s="528">
        <v>14617.75</v>
      </c>
      <c r="K193" s="528">
        <v>7610.1</v>
      </c>
      <c r="L193" s="528">
        <v>94063.05</v>
      </c>
      <c r="M193" s="491">
        <f t="shared" si="8"/>
        <v>1304984.1599999999</v>
      </c>
      <c r="N193" s="241">
        <v>19125.8</v>
      </c>
      <c r="O193" s="241">
        <v>132000</v>
      </c>
      <c r="P193" s="241">
        <v>57277.5</v>
      </c>
      <c r="Q193" s="241">
        <v>2111.5100000000002</v>
      </c>
      <c r="R193" s="241">
        <v>27075.3</v>
      </c>
      <c r="S193" s="528">
        <v>897.21</v>
      </c>
      <c r="T193" s="491">
        <f t="shared" si="9"/>
        <v>1543471.48</v>
      </c>
      <c r="U193" s="237">
        <v>-10329.219999999999</v>
      </c>
      <c r="V193" s="241"/>
      <c r="W193" s="241">
        <v>-1074.82</v>
      </c>
      <c r="X193" s="533">
        <v>62</v>
      </c>
      <c r="Y193" s="536">
        <v>1</v>
      </c>
      <c r="Z193" s="213">
        <v>400</v>
      </c>
      <c r="AA193" s="265"/>
      <c r="AB193" s="235"/>
      <c r="AC193" s="436">
        <f>AB193/VPI!R193</f>
        <v>0</v>
      </c>
      <c r="AD193" s="438">
        <f t="shared" si="10"/>
        <v>0</v>
      </c>
      <c r="AE193" s="436">
        <f>AD193/VPI!R193</f>
        <v>0</v>
      </c>
      <c r="AF193" s="235"/>
      <c r="AG193" s="235"/>
      <c r="AH193" s="235"/>
      <c r="AI193" s="269"/>
      <c r="AJ193" s="8"/>
      <c r="AK193" s="436">
        <f>AJ193/VPI!R193</f>
        <v>0</v>
      </c>
      <c r="AL193" s="438">
        <f t="shared" si="11"/>
        <v>0</v>
      </c>
      <c r="AM193" s="436">
        <f>AL193/VPI!R193</f>
        <v>0</v>
      </c>
      <c r="AN193" s="8"/>
      <c r="AO193" s="269"/>
      <c r="AP193" s="522">
        <v>30.22780518248096</v>
      </c>
      <c r="AR193" s="539">
        <v>0</v>
      </c>
    </row>
    <row r="194" spans="1:44" x14ac:dyDescent="0.25">
      <c r="A194" s="190">
        <v>5723</v>
      </c>
      <c r="B194" s="440" t="s">
        <v>213</v>
      </c>
      <c r="C194" s="528">
        <v>8985345.7200000007</v>
      </c>
      <c r="D194" s="528">
        <v>2148648.9500000002</v>
      </c>
      <c r="E194" s="528"/>
      <c r="F194" s="529"/>
      <c r="G194" s="528">
        <v>151188.65</v>
      </c>
      <c r="H194" s="528">
        <v>33030.9</v>
      </c>
      <c r="I194" s="528">
        <v>811487.35</v>
      </c>
      <c r="J194" s="528">
        <v>116354.42</v>
      </c>
      <c r="K194" s="528">
        <v>48197.35</v>
      </c>
      <c r="L194" s="528">
        <v>912216.75</v>
      </c>
      <c r="M194" s="491">
        <f t="shared" si="8"/>
        <v>13206470.090000002</v>
      </c>
      <c r="N194" s="241">
        <v>212985</v>
      </c>
      <c r="O194" s="241">
        <v>60593.7</v>
      </c>
      <c r="P194" s="241">
        <v>844504.75</v>
      </c>
      <c r="Q194" s="241">
        <v>1682.14</v>
      </c>
      <c r="R194" s="241">
        <v>1077194.45</v>
      </c>
      <c r="S194" s="528">
        <v>19251.89</v>
      </c>
      <c r="T194" s="491">
        <f t="shared" si="9"/>
        <v>15422682.020000001</v>
      </c>
      <c r="U194" s="237">
        <v>-19160.009999999998</v>
      </c>
      <c r="V194" s="241"/>
      <c r="W194" s="241">
        <v>-12142.06</v>
      </c>
      <c r="X194" s="533">
        <v>52</v>
      </c>
      <c r="Y194" s="536">
        <v>1</v>
      </c>
      <c r="Z194" s="213">
        <v>2226</v>
      </c>
      <c r="AA194" s="265"/>
      <c r="AB194" s="235"/>
      <c r="AC194" s="436">
        <f>AB194/VPI!R194</f>
        <v>0</v>
      </c>
      <c r="AD194" s="438">
        <f t="shared" si="10"/>
        <v>0</v>
      </c>
      <c r="AE194" s="436">
        <f>AD194/VPI!R194</f>
        <v>0</v>
      </c>
      <c r="AF194" s="235"/>
      <c r="AG194" s="235"/>
      <c r="AH194" s="235"/>
      <c r="AI194" s="269"/>
      <c r="AJ194" s="8"/>
      <c r="AK194" s="436">
        <f>AJ194/VPI!R194</f>
        <v>0</v>
      </c>
      <c r="AL194" s="438">
        <f t="shared" si="11"/>
        <v>0</v>
      </c>
      <c r="AM194" s="436">
        <f>AL194/VPI!R194</f>
        <v>0</v>
      </c>
      <c r="AN194" s="8"/>
      <c r="AO194" s="269"/>
      <c r="AP194" s="522">
        <v>39.602707688370103</v>
      </c>
      <c r="AR194" s="539">
        <v>0</v>
      </c>
    </row>
    <row r="195" spans="1:44" x14ac:dyDescent="0.25">
      <c r="A195" s="190">
        <v>5724</v>
      </c>
      <c r="B195" s="440" t="s">
        <v>63</v>
      </c>
      <c r="C195" s="528">
        <v>58442547.340000004</v>
      </c>
      <c r="D195" s="528">
        <v>10647087.76</v>
      </c>
      <c r="E195" s="528"/>
      <c r="F195" s="529"/>
      <c r="G195" s="528">
        <v>9978548.3499999996</v>
      </c>
      <c r="H195" s="528">
        <v>1198758.55</v>
      </c>
      <c r="I195" s="528">
        <v>1715206.94</v>
      </c>
      <c r="J195" s="528">
        <v>3670882.78</v>
      </c>
      <c r="K195" s="528">
        <v>988000.25</v>
      </c>
      <c r="L195" s="528">
        <v>8779052.25</v>
      </c>
      <c r="M195" s="491">
        <f t="shared" si="8"/>
        <v>95420084.219999999</v>
      </c>
      <c r="N195" s="241">
        <v>5455835.7000000002</v>
      </c>
      <c r="O195" s="241">
        <v>1594353.4</v>
      </c>
      <c r="P195" s="241">
        <v>4171563.7</v>
      </c>
      <c r="Q195" s="241">
        <v>96535.7</v>
      </c>
      <c r="R195" s="241">
        <v>2545298.35</v>
      </c>
      <c r="S195" s="528">
        <v>1168085.95</v>
      </c>
      <c r="T195" s="491">
        <f t="shared" si="9"/>
        <v>110451757.02000001</v>
      </c>
      <c r="U195" s="237">
        <v>-715916.12</v>
      </c>
      <c r="V195" s="241"/>
      <c r="W195" s="241">
        <v>-313374.37</v>
      </c>
      <c r="X195" s="533">
        <v>61</v>
      </c>
      <c r="Y195" s="536">
        <v>1.5</v>
      </c>
      <c r="Z195" s="213">
        <v>22481</v>
      </c>
      <c r="AA195" s="265"/>
      <c r="AB195" s="235"/>
      <c r="AC195" s="436">
        <f>AB195/VPI!R195</f>
        <v>0</v>
      </c>
      <c r="AD195" s="438">
        <f t="shared" si="10"/>
        <v>0</v>
      </c>
      <c r="AE195" s="436">
        <f>AD195/VPI!R195</f>
        <v>0</v>
      </c>
      <c r="AF195" s="235"/>
      <c r="AG195" s="235"/>
      <c r="AH195" s="235"/>
      <c r="AI195" s="269"/>
      <c r="AJ195" s="8"/>
      <c r="AK195" s="436">
        <f>AJ195/VPI!R195</f>
        <v>0</v>
      </c>
      <c r="AL195" s="438">
        <f t="shared" si="11"/>
        <v>0</v>
      </c>
      <c r="AM195" s="436">
        <f>AL195/VPI!R195</f>
        <v>0</v>
      </c>
      <c r="AN195" s="8"/>
      <c r="AO195" s="269"/>
      <c r="AP195" s="522">
        <v>23.076374267772266</v>
      </c>
      <c r="AR195" s="539">
        <v>1</v>
      </c>
    </row>
    <row r="196" spans="1:44" x14ac:dyDescent="0.25">
      <c r="A196" s="190">
        <v>5725</v>
      </c>
      <c r="B196" s="440" t="s">
        <v>64</v>
      </c>
      <c r="C196" s="528">
        <v>12366098.279999999</v>
      </c>
      <c r="D196" s="528">
        <v>3684943</v>
      </c>
      <c r="E196" s="528"/>
      <c r="F196" s="529"/>
      <c r="G196" s="528">
        <v>3233734.7</v>
      </c>
      <c r="H196" s="528">
        <v>25939.55</v>
      </c>
      <c r="I196" s="528">
        <v>233253.24</v>
      </c>
      <c r="J196" s="528">
        <v>351423.62</v>
      </c>
      <c r="K196" s="528">
        <v>3441.35</v>
      </c>
      <c r="L196" s="528">
        <v>1717542</v>
      </c>
      <c r="M196" s="491">
        <f t="shared" si="8"/>
        <v>21616375.740000002</v>
      </c>
      <c r="N196" s="241">
        <v>1061787.3999999999</v>
      </c>
      <c r="O196" s="241">
        <v>10830.7</v>
      </c>
      <c r="P196" s="241">
        <v>1205454.45</v>
      </c>
      <c r="Q196" s="241">
        <v>14979.36</v>
      </c>
      <c r="R196" s="241">
        <v>380636.95</v>
      </c>
      <c r="S196" s="528">
        <v>340652.69</v>
      </c>
      <c r="T196" s="491">
        <f t="shared" si="9"/>
        <v>24630717.289999999</v>
      </c>
      <c r="U196" s="237">
        <v>-56734.69</v>
      </c>
      <c r="V196" s="241"/>
      <c r="W196" s="241">
        <v>-31802.03</v>
      </c>
      <c r="X196" s="533">
        <v>55</v>
      </c>
      <c r="Y196" s="536">
        <v>1.4</v>
      </c>
      <c r="Z196" s="213">
        <v>4279</v>
      </c>
      <c r="AA196" s="265"/>
      <c r="AB196" s="235"/>
      <c r="AC196" s="436">
        <f>AB196/VPI!R196</f>
        <v>0</v>
      </c>
      <c r="AD196" s="438">
        <f t="shared" si="10"/>
        <v>0</v>
      </c>
      <c r="AE196" s="436">
        <f>AD196/VPI!R196</f>
        <v>0</v>
      </c>
      <c r="AF196" s="235"/>
      <c r="AG196" s="235"/>
      <c r="AH196" s="235"/>
      <c r="AI196" s="269"/>
      <c r="AJ196" s="8"/>
      <c r="AK196" s="436">
        <f>AJ196/VPI!R196</f>
        <v>0</v>
      </c>
      <c r="AL196" s="438">
        <f t="shared" si="11"/>
        <v>0</v>
      </c>
      <c r="AM196" s="436">
        <f>AL196/VPI!R196</f>
        <v>0</v>
      </c>
      <c r="AN196" s="8"/>
      <c r="AO196" s="269"/>
      <c r="AP196" s="522">
        <v>34.740421829830062</v>
      </c>
      <c r="AR196" s="539">
        <v>1</v>
      </c>
    </row>
    <row r="197" spans="1:44" x14ac:dyDescent="0.25">
      <c r="A197" s="190">
        <v>5726</v>
      </c>
      <c r="B197" s="440" t="s">
        <v>268</v>
      </c>
      <c r="C197" s="528">
        <v>3412629.2</v>
      </c>
      <c r="D197" s="528">
        <v>701343.99</v>
      </c>
      <c r="E197" s="528"/>
      <c r="F197" s="529"/>
      <c r="G197" s="528">
        <v>54205.3</v>
      </c>
      <c r="H197" s="528">
        <v>1700.5</v>
      </c>
      <c r="I197" s="528"/>
      <c r="J197" s="528">
        <v>22978.07</v>
      </c>
      <c r="K197" s="528">
        <v>3844.55</v>
      </c>
      <c r="L197" s="528">
        <v>283300.25</v>
      </c>
      <c r="M197" s="491">
        <f t="shared" si="8"/>
        <v>4480001.8600000003</v>
      </c>
      <c r="N197" s="241">
        <v>20131.75</v>
      </c>
      <c r="O197" s="241"/>
      <c r="P197" s="241">
        <v>225877.4</v>
      </c>
      <c r="Q197" s="241">
        <v>2449.34</v>
      </c>
      <c r="R197" s="241">
        <v>185455.15</v>
      </c>
      <c r="S197" s="528">
        <v>5842.44</v>
      </c>
      <c r="T197" s="491">
        <f t="shared" si="9"/>
        <v>4919757.9400000013</v>
      </c>
      <c r="U197" s="237">
        <v>-13878.86</v>
      </c>
      <c r="V197" s="241"/>
      <c r="W197" s="241">
        <v>-8116.34</v>
      </c>
      <c r="X197" s="533">
        <v>64</v>
      </c>
      <c r="Y197" s="536">
        <v>1</v>
      </c>
      <c r="Z197" s="213">
        <v>1198</v>
      </c>
      <c r="AA197" s="265"/>
      <c r="AB197" s="235"/>
      <c r="AC197" s="436">
        <f>AB197/VPI!R197</f>
        <v>0</v>
      </c>
      <c r="AD197" s="438">
        <f t="shared" si="10"/>
        <v>0</v>
      </c>
      <c r="AE197" s="436">
        <f>AD197/VPI!R197</f>
        <v>0</v>
      </c>
      <c r="AF197" s="235"/>
      <c r="AG197" s="235"/>
      <c r="AH197" s="235"/>
      <c r="AI197" s="269"/>
      <c r="AJ197" s="8"/>
      <c r="AK197" s="436">
        <f>AJ197/VPI!R197</f>
        <v>0</v>
      </c>
      <c r="AL197" s="438">
        <f t="shared" si="11"/>
        <v>0</v>
      </c>
      <c r="AM197" s="436">
        <f>AL197/VPI!R197</f>
        <v>0</v>
      </c>
      <c r="AN197" s="8"/>
      <c r="AO197" s="269"/>
      <c r="AP197" s="522">
        <v>31.051857605946381</v>
      </c>
      <c r="AR197" s="539">
        <v>0</v>
      </c>
    </row>
    <row r="198" spans="1:44" x14ac:dyDescent="0.25">
      <c r="A198" s="190">
        <v>5727</v>
      </c>
      <c r="B198" s="440" t="s">
        <v>269</v>
      </c>
      <c r="C198" s="528">
        <v>5349244.9800000004</v>
      </c>
      <c r="D198" s="528">
        <v>826426.28</v>
      </c>
      <c r="E198" s="528"/>
      <c r="F198" s="529"/>
      <c r="G198" s="528">
        <v>60444.4</v>
      </c>
      <c r="H198" s="528">
        <v>25859.3</v>
      </c>
      <c r="I198" s="528">
        <v>124144.95</v>
      </c>
      <c r="J198" s="528">
        <v>178037.69</v>
      </c>
      <c r="K198" s="528">
        <v>13925.4</v>
      </c>
      <c r="L198" s="528">
        <v>842917.65</v>
      </c>
      <c r="M198" s="491">
        <f t="shared" si="8"/>
        <v>7421000.6500000022</v>
      </c>
      <c r="N198" s="241">
        <v>188988.35</v>
      </c>
      <c r="O198" s="241">
        <v>138535.20000000001</v>
      </c>
      <c r="P198" s="241">
        <v>603786.55000000005</v>
      </c>
      <c r="Q198" s="241">
        <v>22195.84</v>
      </c>
      <c r="R198" s="241">
        <v>666964.44999999995</v>
      </c>
      <c r="S198" s="528">
        <v>9019.18</v>
      </c>
      <c r="T198" s="491">
        <f t="shared" si="9"/>
        <v>9050490.2200000007</v>
      </c>
      <c r="U198" s="237">
        <v>-103567.36</v>
      </c>
      <c r="V198" s="241"/>
      <c r="W198" s="241">
        <v>-2496.9699999999998</v>
      </c>
      <c r="X198" s="533">
        <v>66</v>
      </c>
      <c r="Y198" s="536">
        <v>1.5</v>
      </c>
      <c r="Z198" s="213">
        <v>2788</v>
      </c>
      <c r="AA198" s="265"/>
      <c r="AB198" s="235"/>
      <c r="AC198" s="436">
        <f>AB198/VPI!R198</f>
        <v>0</v>
      </c>
      <c r="AD198" s="438">
        <f t="shared" si="10"/>
        <v>0</v>
      </c>
      <c r="AE198" s="436">
        <f>AD198/VPI!R198</f>
        <v>0</v>
      </c>
      <c r="AF198" s="235"/>
      <c r="AG198" s="235"/>
      <c r="AH198" s="235"/>
      <c r="AI198" s="269"/>
      <c r="AJ198" s="8"/>
      <c r="AK198" s="436">
        <f>AJ198/VPI!R198</f>
        <v>0</v>
      </c>
      <c r="AL198" s="438">
        <f t="shared" si="11"/>
        <v>0</v>
      </c>
      <c r="AM198" s="436">
        <f>AL198/VPI!R198</f>
        <v>0</v>
      </c>
      <c r="AN198" s="8"/>
      <c r="AO198" s="269"/>
      <c r="AP198" s="522">
        <v>19.455512067654794</v>
      </c>
      <c r="AR198" s="539">
        <v>0</v>
      </c>
    </row>
    <row r="199" spans="1:44" x14ac:dyDescent="0.25">
      <c r="A199" s="190">
        <v>5728</v>
      </c>
      <c r="B199" s="440" t="s">
        <v>270</v>
      </c>
      <c r="C199" s="528">
        <v>1283472.83</v>
      </c>
      <c r="D199" s="528">
        <v>219456.74</v>
      </c>
      <c r="E199" s="528"/>
      <c r="F199" s="529"/>
      <c r="G199" s="528">
        <v>1639438.76</v>
      </c>
      <c r="H199" s="528">
        <v>66038.45</v>
      </c>
      <c r="I199" s="528">
        <v>31747.15</v>
      </c>
      <c r="J199" s="528">
        <v>101609.01</v>
      </c>
      <c r="K199" s="528">
        <v>61900.95</v>
      </c>
      <c r="L199" s="528">
        <v>251197</v>
      </c>
      <c r="M199" s="491">
        <f t="shared" ref="M199:M262" si="12">SUM(C199:L199)</f>
        <v>3654860.89</v>
      </c>
      <c r="N199" s="241">
        <v>185182.65</v>
      </c>
      <c r="O199" s="241"/>
      <c r="P199" s="241">
        <v>173638.15</v>
      </c>
      <c r="Q199" s="241"/>
      <c r="R199" s="241">
        <v>46346.400000000001</v>
      </c>
      <c r="S199" s="528">
        <v>178231.12</v>
      </c>
      <c r="T199" s="491">
        <f t="shared" ref="T199:T262" si="13">SUM(M199:S199)</f>
        <v>4238259.21</v>
      </c>
      <c r="U199" s="237">
        <v>-4453.88</v>
      </c>
      <c r="V199" s="241"/>
      <c r="W199" s="241">
        <v>-594.04</v>
      </c>
      <c r="X199" s="533">
        <v>58</v>
      </c>
      <c r="Y199" s="536">
        <v>1</v>
      </c>
      <c r="Z199" s="213">
        <v>583</v>
      </c>
      <c r="AA199" s="265"/>
      <c r="AB199" s="235"/>
      <c r="AC199" s="436">
        <f>AB199/VPI!R199</f>
        <v>0</v>
      </c>
      <c r="AD199" s="438">
        <f t="shared" ref="AD199:AD262" si="14">AF199-AB199</f>
        <v>0</v>
      </c>
      <c r="AE199" s="436">
        <f>AD199/VPI!R199</f>
        <v>0</v>
      </c>
      <c r="AF199" s="235"/>
      <c r="AG199" s="235"/>
      <c r="AH199" s="235"/>
      <c r="AI199" s="269"/>
      <c r="AJ199" s="8"/>
      <c r="AK199" s="436">
        <f>AJ199/VPI!R199</f>
        <v>0</v>
      </c>
      <c r="AL199" s="438">
        <f t="shared" ref="AL199:AL262" si="15">AN199-AJ199</f>
        <v>0</v>
      </c>
      <c r="AM199" s="436">
        <f>AL199/VPI!R199</f>
        <v>0</v>
      </c>
      <c r="AN199" s="8"/>
      <c r="AO199" s="269"/>
      <c r="AP199" s="522">
        <v>39.121042377372483</v>
      </c>
      <c r="AR199" s="539">
        <v>0</v>
      </c>
    </row>
    <row r="200" spans="1:44" x14ac:dyDescent="0.25">
      <c r="A200" s="190">
        <v>5729</v>
      </c>
      <c r="B200" s="440" t="s">
        <v>271</v>
      </c>
      <c r="C200" s="528">
        <v>8419079</v>
      </c>
      <c r="D200" s="528">
        <v>1870365.71</v>
      </c>
      <c r="E200" s="528"/>
      <c r="F200" s="529"/>
      <c r="G200" s="528">
        <v>123699.7</v>
      </c>
      <c r="H200" s="528">
        <v>13905.7</v>
      </c>
      <c r="I200" s="528">
        <v>276331.74</v>
      </c>
      <c r="J200" s="528">
        <v>116052.55</v>
      </c>
      <c r="K200" s="528">
        <v>4704.75</v>
      </c>
      <c r="L200" s="528">
        <v>931347.7</v>
      </c>
      <c r="M200" s="491">
        <f t="shared" si="12"/>
        <v>11755486.85</v>
      </c>
      <c r="N200" s="241">
        <v>15753.15</v>
      </c>
      <c r="O200" s="241">
        <v>463555.2</v>
      </c>
      <c r="P200" s="241">
        <v>732120.15</v>
      </c>
      <c r="Q200" s="241">
        <v>1976.72</v>
      </c>
      <c r="R200" s="241">
        <v>614238.15</v>
      </c>
      <c r="S200" s="528">
        <v>14380.47</v>
      </c>
      <c r="T200" s="491">
        <f t="shared" si="13"/>
        <v>13597510.690000001</v>
      </c>
      <c r="U200" s="237">
        <v>-11869.97</v>
      </c>
      <c r="V200" s="241"/>
      <c r="W200" s="241">
        <v>-9829.84</v>
      </c>
      <c r="X200" s="533">
        <v>60.5</v>
      </c>
      <c r="Y200" s="536">
        <v>1.5</v>
      </c>
      <c r="Z200" s="213">
        <v>1724</v>
      </c>
      <c r="AA200" s="265"/>
      <c r="AB200" s="235"/>
      <c r="AC200" s="436">
        <f>AB200/VPI!R200</f>
        <v>0</v>
      </c>
      <c r="AD200" s="438">
        <f t="shared" si="14"/>
        <v>0</v>
      </c>
      <c r="AE200" s="436">
        <f>AD200/VPI!R200</f>
        <v>0</v>
      </c>
      <c r="AF200" s="235"/>
      <c r="AG200" s="235"/>
      <c r="AH200" s="235"/>
      <c r="AI200" s="269"/>
      <c r="AJ200" s="8"/>
      <c r="AK200" s="436">
        <f>AJ200/VPI!R200</f>
        <v>0</v>
      </c>
      <c r="AL200" s="438">
        <f t="shared" si="15"/>
        <v>0</v>
      </c>
      <c r="AM200" s="436">
        <f>AL200/VPI!R200</f>
        <v>0</v>
      </c>
      <c r="AN200" s="8"/>
      <c r="AO200" s="269"/>
      <c r="AP200" s="522">
        <v>38.994866513266651</v>
      </c>
      <c r="AR200" s="539">
        <v>0</v>
      </c>
    </row>
    <row r="201" spans="1:44" x14ac:dyDescent="0.25">
      <c r="A201" s="190">
        <v>5730</v>
      </c>
      <c r="B201" s="440" t="s">
        <v>272</v>
      </c>
      <c r="C201" s="528">
        <v>4782924.18</v>
      </c>
      <c r="D201" s="528">
        <v>1414067.94</v>
      </c>
      <c r="E201" s="528"/>
      <c r="F201" s="529"/>
      <c r="G201" s="528">
        <v>45237.5</v>
      </c>
      <c r="H201" s="528">
        <v>2567.85</v>
      </c>
      <c r="I201" s="528">
        <v>26419.7</v>
      </c>
      <c r="J201" s="528">
        <v>45125.73</v>
      </c>
      <c r="K201" s="528">
        <v>-348.5</v>
      </c>
      <c r="L201" s="528">
        <v>421830.25</v>
      </c>
      <c r="M201" s="491">
        <f t="shared" si="12"/>
        <v>6737824.6499999994</v>
      </c>
      <c r="N201" s="241">
        <v>17011.650000000001</v>
      </c>
      <c r="O201" s="241">
        <v>206939</v>
      </c>
      <c r="P201" s="241">
        <v>556970.44999999995</v>
      </c>
      <c r="Q201" s="241">
        <v>1309.83</v>
      </c>
      <c r="R201" s="241">
        <v>331346.15000000002</v>
      </c>
      <c r="S201" s="528">
        <v>4995.8999999999996</v>
      </c>
      <c r="T201" s="491">
        <f t="shared" si="13"/>
        <v>7856397.6300000008</v>
      </c>
      <c r="U201" s="237">
        <v>-831.72</v>
      </c>
      <c r="V201" s="241"/>
      <c r="W201" s="241">
        <v>-51672.72</v>
      </c>
      <c r="X201" s="533">
        <v>55.5</v>
      </c>
      <c r="Y201" s="536">
        <v>0.9</v>
      </c>
      <c r="Z201" s="213">
        <v>1429</v>
      </c>
      <c r="AA201" s="265"/>
      <c r="AB201" s="235"/>
      <c r="AC201" s="436">
        <f>AB201/VPI!R201</f>
        <v>0</v>
      </c>
      <c r="AD201" s="438">
        <f t="shared" si="14"/>
        <v>0</v>
      </c>
      <c r="AE201" s="436">
        <f>AD201/VPI!R201</f>
        <v>0</v>
      </c>
      <c r="AF201" s="235"/>
      <c r="AG201" s="235"/>
      <c r="AH201" s="235"/>
      <c r="AI201" s="269"/>
      <c r="AJ201" s="8"/>
      <c r="AK201" s="436">
        <f>AJ201/VPI!R201</f>
        <v>0</v>
      </c>
      <c r="AL201" s="438">
        <f t="shared" si="15"/>
        <v>0</v>
      </c>
      <c r="AM201" s="436">
        <f>AL201/VPI!R201</f>
        <v>0</v>
      </c>
      <c r="AN201" s="8"/>
      <c r="AO201" s="269"/>
      <c r="AP201" s="522">
        <v>36.306995366624541</v>
      </c>
      <c r="AR201" s="539">
        <v>0</v>
      </c>
    </row>
    <row r="202" spans="1:44" x14ac:dyDescent="0.25">
      <c r="A202" s="190">
        <v>5731</v>
      </c>
      <c r="B202" s="440" t="s">
        <v>273</v>
      </c>
      <c r="C202" s="528">
        <v>4174798.83</v>
      </c>
      <c r="D202" s="528">
        <v>655365.43000000005</v>
      </c>
      <c r="E202" s="528"/>
      <c r="F202" s="529"/>
      <c r="G202" s="528">
        <v>21807.4</v>
      </c>
      <c r="H202" s="528">
        <v>1411.5</v>
      </c>
      <c r="I202" s="528"/>
      <c r="J202" s="528">
        <v>25446.400000000001</v>
      </c>
      <c r="K202" s="528">
        <v>4266.5</v>
      </c>
      <c r="L202" s="528">
        <v>431736.3</v>
      </c>
      <c r="M202" s="491">
        <f t="shared" si="12"/>
        <v>5314832.3600000003</v>
      </c>
      <c r="N202" s="241">
        <v>40435</v>
      </c>
      <c r="O202" s="241">
        <v>-8250</v>
      </c>
      <c r="P202" s="241">
        <v>122870</v>
      </c>
      <c r="Q202" s="241"/>
      <c r="R202" s="241">
        <v>110347.45</v>
      </c>
      <c r="S202" s="528">
        <v>2426.4899999999998</v>
      </c>
      <c r="T202" s="491">
        <f t="shared" si="13"/>
        <v>5582661.3000000007</v>
      </c>
      <c r="U202" s="237">
        <v>-7219.37</v>
      </c>
      <c r="V202" s="241"/>
      <c r="W202" s="241">
        <v>-14946.04</v>
      </c>
      <c r="X202" s="533">
        <v>74</v>
      </c>
      <c r="Y202" s="536">
        <v>1.5</v>
      </c>
      <c r="Z202" s="213">
        <v>1408</v>
      </c>
      <c r="AA202" s="265"/>
      <c r="AB202" s="235"/>
      <c r="AC202" s="436">
        <f>AB202/VPI!R202</f>
        <v>0</v>
      </c>
      <c r="AD202" s="438">
        <f t="shared" si="14"/>
        <v>0</v>
      </c>
      <c r="AE202" s="436">
        <f>AD202/VPI!R202</f>
        <v>0</v>
      </c>
      <c r="AF202" s="235"/>
      <c r="AG202" s="235"/>
      <c r="AH202" s="235"/>
      <c r="AI202" s="269"/>
      <c r="AJ202" s="8"/>
      <c r="AK202" s="436">
        <f>AJ202/VPI!R202</f>
        <v>0</v>
      </c>
      <c r="AL202" s="438">
        <f t="shared" si="15"/>
        <v>0</v>
      </c>
      <c r="AM202" s="436">
        <f>AL202/VPI!R202</f>
        <v>0</v>
      </c>
      <c r="AN202" s="8"/>
      <c r="AO202" s="269"/>
      <c r="AP202" s="522">
        <v>27.643849329530372</v>
      </c>
      <c r="AR202" s="539">
        <v>0</v>
      </c>
    </row>
    <row r="203" spans="1:44" x14ac:dyDescent="0.25">
      <c r="A203" s="190">
        <v>5732</v>
      </c>
      <c r="B203" s="440" t="s">
        <v>274</v>
      </c>
      <c r="C203" s="528">
        <v>3473445.76</v>
      </c>
      <c r="D203" s="528">
        <v>776207.06</v>
      </c>
      <c r="E203" s="528"/>
      <c r="F203" s="529"/>
      <c r="G203" s="528">
        <v>129891.7</v>
      </c>
      <c r="H203" s="528">
        <v>14527.4</v>
      </c>
      <c r="I203" s="528">
        <v>192797.15</v>
      </c>
      <c r="J203" s="528">
        <v>60315.69</v>
      </c>
      <c r="K203" s="528">
        <v>21944.799999999999</v>
      </c>
      <c r="L203" s="528">
        <v>376050.75</v>
      </c>
      <c r="M203" s="491">
        <f t="shared" si="12"/>
        <v>5045180.3100000015</v>
      </c>
      <c r="N203" s="241">
        <v>112018.45</v>
      </c>
      <c r="O203" s="241"/>
      <c r="P203" s="241">
        <v>264276</v>
      </c>
      <c r="Q203" s="241">
        <v>1233.95</v>
      </c>
      <c r="R203" s="241">
        <v>36337.800000000003</v>
      </c>
      <c r="S203" s="528">
        <v>15092.54</v>
      </c>
      <c r="T203" s="491">
        <f t="shared" si="13"/>
        <v>5474139.0500000017</v>
      </c>
      <c r="U203" s="237">
        <v>-29175.56</v>
      </c>
      <c r="V203" s="241"/>
      <c r="W203" s="241">
        <v>-1041.67</v>
      </c>
      <c r="X203" s="533">
        <v>63</v>
      </c>
      <c r="Y203" s="536">
        <v>1</v>
      </c>
      <c r="Z203" s="213">
        <v>1160</v>
      </c>
      <c r="AA203" s="265"/>
      <c r="AB203" s="235"/>
      <c r="AC203" s="436">
        <f>AB203/VPI!R203</f>
        <v>0</v>
      </c>
      <c r="AD203" s="438">
        <f t="shared" si="14"/>
        <v>0</v>
      </c>
      <c r="AE203" s="436">
        <f>AD203/VPI!R203</f>
        <v>0</v>
      </c>
      <c r="AF203" s="235"/>
      <c r="AG203" s="235"/>
      <c r="AH203" s="235"/>
      <c r="AI203" s="269"/>
      <c r="AJ203" s="8"/>
      <c r="AK203" s="436">
        <f>AJ203/VPI!R203</f>
        <v>0</v>
      </c>
      <c r="AL203" s="438">
        <f t="shared" si="15"/>
        <v>0</v>
      </c>
      <c r="AM203" s="436">
        <f>AL203/VPI!R203</f>
        <v>0</v>
      </c>
      <c r="AN203" s="8"/>
      <c r="AO203" s="269"/>
      <c r="AP203" s="522">
        <v>34.819557375944861</v>
      </c>
      <c r="AR203" s="539">
        <v>0</v>
      </c>
    </row>
    <row r="204" spans="1:44" x14ac:dyDescent="0.25">
      <c r="A204" s="190">
        <v>5741</v>
      </c>
      <c r="B204" s="440" t="s">
        <v>275</v>
      </c>
      <c r="C204" s="528">
        <v>604788.99</v>
      </c>
      <c r="D204" s="528">
        <v>201521.98</v>
      </c>
      <c r="E204" s="528"/>
      <c r="F204" s="529">
        <v>1460</v>
      </c>
      <c r="G204" s="528">
        <v>10784.65</v>
      </c>
      <c r="H204" s="528">
        <v>1623.65</v>
      </c>
      <c r="I204" s="528"/>
      <c r="J204" s="528">
        <v>4048.32</v>
      </c>
      <c r="K204" s="528">
        <v>0</v>
      </c>
      <c r="L204" s="528">
        <v>50668.55</v>
      </c>
      <c r="M204" s="491">
        <f t="shared" si="12"/>
        <v>874896.14</v>
      </c>
      <c r="N204" s="241">
        <v>5545.6</v>
      </c>
      <c r="O204" s="241">
        <v>787.5</v>
      </c>
      <c r="P204" s="241">
        <v>18256.05</v>
      </c>
      <c r="Q204" s="241"/>
      <c r="R204" s="241">
        <v>11688.2</v>
      </c>
      <c r="S204" s="528">
        <v>1296.73</v>
      </c>
      <c r="T204" s="491">
        <f t="shared" si="13"/>
        <v>912470.22</v>
      </c>
      <c r="U204" s="237">
        <v>-1035.76</v>
      </c>
      <c r="V204" s="241"/>
      <c r="W204" s="241">
        <v>0</v>
      </c>
      <c r="X204" s="533">
        <v>80</v>
      </c>
      <c r="Y204" s="536">
        <v>1.2</v>
      </c>
      <c r="Z204" s="213">
        <v>260</v>
      </c>
      <c r="AA204" s="265"/>
      <c r="AB204" s="235"/>
      <c r="AC204" s="436">
        <f>AB204/VPI!R204</f>
        <v>0</v>
      </c>
      <c r="AD204" s="438">
        <f t="shared" si="14"/>
        <v>0</v>
      </c>
      <c r="AE204" s="436">
        <f>AD204/VPI!R204</f>
        <v>0</v>
      </c>
      <c r="AF204" s="235"/>
      <c r="AG204" s="235"/>
      <c r="AH204" s="235"/>
      <c r="AI204" s="269"/>
      <c r="AJ204" s="8"/>
      <c r="AK204" s="436">
        <f>AJ204/VPI!R204</f>
        <v>0</v>
      </c>
      <c r="AL204" s="438">
        <f t="shared" si="15"/>
        <v>0</v>
      </c>
      <c r="AM204" s="436">
        <f>AL204/VPI!R204</f>
        <v>0</v>
      </c>
      <c r="AN204" s="8"/>
      <c r="AO204" s="269"/>
      <c r="AP204" s="522">
        <v>17.693972680900419</v>
      </c>
      <c r="AR204" s="539">
        <v>0</v>
      </c>
    </row>
    <row r="205" spans="1:44" x14ac:dyDescent="0.25">
      <c r="A205" s="190">
        <v>5742</v>
      </c>
      <c r="B205" s="440" t="s">
        <v>276</v>
      </c>
      <c r="C205" s="528">
        <v>547652.32999999996</v>
      </c>
      <c r="D205" s="528">
        <v>72847.67</v>
      </c>
      <c r="E205" s="528"/>
      <c r="F205" s="529"/>
      <c r="G205" s="528">
        <v>755.45</v>
      </c>
      <c r="H205" s="528">
        <v>662.2</v>
      </c>
      <c r="I205" s="528"/>
      <c r="J205" s="528">
        <v>10294.01</v>
      </c>
      <c r="K205" s="528">
        <v>2503.8000000000002</v>
      </c>
      <c r="L205" s="528">
        <v>30097</v>
      </c>
      <c r="M205" s="491">
        <f t="shared" si="12"/>
        <v>664812.46</v>
      </c>
      <c r="N205" s="241">
        <v>3021.6</v>
      </c>
      <c r="O205" s="241">
        <v>0</v>
      </c>
      <c r="P205" s="241">
        <v>0</v>
      </c>
      <c r="Q205" s="241">
        <v>-102.83</v>
      </c>
      <c r="R205" s="241">
        <v>0</v>
      </c>
      <c r="S205" s="528">
        <v>148.15</v>
      </c>
      <c r="T205" s="491">
        <f t="shared" si="13"/>
        <v>667879.38</v>
      </c>
      <c r="U205" s="237">
        <v>-7228.01</v>
      </c>
      <c r="V205" s="241"/>
      <c r="W205" s="241">
        <v>0</v>
      </c>
      <c r="X205" s="533">
        <v>76</v>
      </c>
      <c r="Y205" s="536">
        <v>0.5</v>
      </c>
      <c r="Z205" s="213">
        <v>381</v>
      </c>
      <c r="AA205" s="265"/>
      <c r="AB205" s="235"/>
      <c r="AC205" s="436">
        <f>AB205/VPI!R205</f>
        <v>0</v>
      </c>
      <c r="AD205" s="438">
        <f t="shared" si="14"/>
        <v>0</v>
      </c>
      <c r="AE205" s="436">
        <f>AD205/VPI!R205</f>
        <v>0</v>
      </c>
      <c r="AF205" s="235"/>
      <c r="AG205" s="235"/>
      <c r="AH205" s="235"/>
      <c r="AI205" s="269"/>
      <c r="AJ205" s="8"/>
      <c r="AK205" s="436">
        <f>AJ205/VPI!R205</f>
        <v>0</v>
      </c>
      <c r="AL205" s="438">
        <f t="shared" si="15"/>
        <v>0</v>
      </c>
      <c r="AM205" s="436">
        <f>AL205/VPI!R205</f>
        <v>0</v>
      </c>
      <c r="AN205" s="8"/>
      <c r="AO205" s="269"/>
      <c r="AP205" s="522">
        <v>8.1147105995731152</v>
      </c>
      <c r="AR205" s="539">
        <v>0</v>
      </c>
    </row>
    <row r="206" spans="1:44" x14ac:dyDescent="0.25">
      <c r="A206" s="190">
        <v>5743</v>
      </c>
      <c r="B206" s="440" t="s">
        <v>226</v>
      </c>
      <c r="C206" s="528">
        <v>1126211.6000000001</v>
      </c>
      <c r="D206" s="528">
        <v>157023.88</v>
      </c>
      <c r="E206" s="528"/>
      <c r="F206" s="529"/>
      <c r="G206" s="528">
        <v>8107.8</v>
      </c>
      <c r="H206" s="528">
        <v>746.7</v>
      </c>
      <c r="I206" s="528"/>
      <c r="J206" s="528">
        <v>10409.280000000001</v>
      </c>
      <c r="K206" s="528"/>
      <c r="L206" s="528">
        <v>73400</v>
      </c>
      <c r="M206" s="491">
        <f t="shared" si="12"/>
        <v>1375899.26</v>
      </c>
      <c r="N206" s="241">
        <v>27200.2</v>
      </c>
      <c r="O206" s="241"/>
      <c r="P206" s="241">
        <v>84993.25</v>
      </c>
      <c r="Q206" s="241"/>
      <c r="R206" s="241">
        <v>76668.75</v>
      </c>
      <c r="S206" s="528">
        <v>925.34</v>
      </c>
      <c r="T206" s="491">
        <f t="shared" si="13"/>
        <v>1565686.8</v>
      </c>
      <c r="U206" s="237">
        <v>-15848.19</v>
      </c>
      <c r="V206" s="241"/>
      <c r="W206" s="241">
        <v>-254.75</v>
      </c>
      <c r="X206" s="533">
        <v>71</v>
      </c>
      <c r="Y206" s="536">
        <v>0.8</v>
      </c>
      <c r="Z206" s="213">
        <v>692</v>
      </c>
      <c r="AA206" s="265"/>
      <c r="AB206" s="235"/>
      <c r="AC206" s="436">
        <f>AB206/VPI!R206</f>
        <v>0</v>
      </c>
      <c r="AD206" s="438">
        <f t="shared" si="14"/>
        <v>0</v>
      </c>
      <c r="AE206" s="436">
        <f>AD206/VPI!R206</f>
        <v>0</v>
      </c>
      <c r="AF206" s="235"/>
      <c r="AG206" s="235"/>
      <c r="AH206" s="235"/>
      <c r="AI206" s="269"/>
      <c r="AJ206" s="8"/>
      <c r="AK206" s="436">
        <f>AJ206/VPI!R206</f>
        <v>0</v>
      </c>
      <c r="AL206" s="438">
        <f t="shared" si="15"/>
        <v>0</v>
      </c>
      <c r="AM206" s="436">
        <f>AL206/VPI!R206</f>
        <v>0</v>
      </c>
      <c r="AN206" s="8"/>
      <c r="AO206" s="269"/>
      <c r="AP206" s="522">
        <v>11.551154018614382</v>
      </c>
      <c r="AR206" s="539">
        <v>0</v>
      </c>
    </row>
    <row r="207" spans="1:44" x14ac:dyDescent="0.25">
      <c r="A207" s="190">
        <v>5744</v>
      </c>
      <c r="B207" s="440" t="s">
        <v>227</v>
      </c>
      <c r="C207" s="528">
        <v>1373134.73</v>
      </c>
      <c r="D207" s="528">
        <v>189932.46</v>
      </c>
      <c r="E207" s="528"/>
      <c r="F207" s="529"/>
      <c r="G207" s="528">
        <v>1571532.2</v>
      </c>
      <c r="H207" s="528">
        <v>4841.6000000000004</v>
      </c>
      <c r="I207" s="528"/>
      <c r="J207" s="528">
        <v>113583.97</v>
      </c>
      <c r="K207" s="528">
        <v>-48.5</v>
      </c>
      <c r="L207" s="528">
        <v>194048.5</v>
      </c>
      <c r="M207" s="491">
        <f t="shared" si="12"/>
        <v>3447024.96</v>
      </c>
      <c r="N207" s="241">
        <v>1643117.75</v>
      </c>
      <c r="O207" s="241">
        <v>6789.1</v>
      </c>
      <c r="P207" s="241">
        <v>100606.2</v>
      </c>
      <c r="Q207" s="241">
        <v>65903.78</v>
      </c>
      <c r="R207" s="241">
        <v>61169.7</v>
      </c>
      <c r="S207" s="528">
        <v>164739.15</v>
      </c>
      <c r="T207" s="491">
        <f t="shared" si="13"/>
        <v>5489350.6400000006</v>
      </c>
      <c r="U207" s="237">
        <v>-160539.53</v>
      </c>
      <c r="V207" s="241"/>
      <c r="W207" s="241">
        <v>-296.76</v>
      </c>
      <c r="X207" s="533">
        <v>65</v>
      </c>
      <c r="Y207" s="536">
        <v>1</v>
      </c>
      <c r="Z207" s="213">
        <v>1152</v>
      </c>
      <c r="AA207" s="265"/>
      <c r="AB207" s="235"/>
      <c r="AC207" s="436">
        <f>AB207/VPI!R207</f>
        <v>0</v>
      </c>
      <c r="AD207" s="438">
        <f t="shared" si="14"/>
        <v>0</v>
      </c>
      <c r="AE207" s="436">
        <f>AD207/VPI!R207</f>
        <v>0</v>
      </c>
      <c r="AF207" s="235"/>
      <c r="AG207" s="235"/>
      <c r="AH207" s="235"/>
      <c r="AI207" s="269"/>
      <c r="AJ207" s="8"/>
      <c r="AK207" s="436">
        <f>AJ207/VPI!R207</f>
        <v>0</v>
      </c>
      <c r="AL207" s="438">
        <f t="shared" si="15"/>
        <v>0</v>
      </c>
      <c r="AM207" s="436">
        <f>AL207/VPI!R207</f>
        <v>0</v>
      </c>
      <c r="AN207" s="8"/>
      <c r="AO207" s="269"/>
      <c r="AP207" s="522">
        <v>24.515662321226372</v>
      </c>
      <c r="AR207" s="539">
        <v>0</v>
      </c>
    </row>
    <row r="208" spans="1:44" x14ac:dyDescent="0.25">
      <c r="A208" s="190">
        <v>5745</v>
      </c>
      <c r="B208" s="440" t="s">
        <v>228</v>
      </c>
      <c r="C208" s="528">
        <v>1655119.18</v>
      </c>
      <c r="D208" s="528">
        <v>221619.52</v>
      </c>
      <c r="E208" s="528"/>
      <c r="F208" s="529"/>
      <c r="G208" s="528">
        <v>41558.949999999997</v>
      </c>
      <c r="H208" s="528">
        <v>476.7</v>
      </c>
      <c r="I208" s="528"/>
      <c r="J208" s="528">
        <v>55170.58</v>
      </c>
      <c r="K208" s="528"/>
      <c r="L208" s="528">
        <v>157516.54999999999</v>
      </c>
      <c r="M208" s="491">
        <f t="shared" si="12"/>
        <v>2131461.48</v>
      </c>
      <c r="N208" s="241">
        <v>212726.7</v>
      </c>
      <c r="O208" s="241"/>
      <c r="P208" s="241">
        <v>76885.399999999994</v>
      </c>
      <c r="Q208" s="241">
        <v>14956.61</v>
      </c>
      <c r="R208" s="241">
        <v>68857.3</v>
      </c>
      <c r="S208" s="528">
        <v>4392.9399999999996</v>
      </c>
      <c r="T208" s="491">
        <f t="shared" si="13"/>
        <v>2509280.4299999997</v>
      </c>
      <c r="U208" s="237">
        <v>-31362.83</v>
      </c>
      <c r="V208" s="241"/>
      <c r="W208" s="241">
        <v>-7.67</v>
      </c>
      <c r="X208" s="533">
        <v>76.5</v>
      </c>
      <c r="Y208" s="536">
        <v>1</v>
      </c>
      <c r="Z208" s="213">
        <v>1132</v>
      </c>
      <c r="AA208" s="265"/>
      <c r="AB208" s="235"/>
      <c r="AC208" s="436">
        <f>AB208/VPI!R208</f>
        <v>0</v>
      </c>
      <c r="AD208" s="438">
        <f t="shared" si="14"/>
        <v>0</v>
      </c>
      <c r="AE208" s="436">
        <f>AD208/VPI!R208</f>
        <v>0</v>
      </c>
      <c r="AF208" s="235"/>
      <c r="AG208" s="235"/>
      <c r="AH208" s="235"/>
      <c r="AI208" s="269"/>
      <c r="AJ208" s="8"/>
      <c r="AK208" s="436">
        <f>AJ208/VPI!R208</f>
        <v>0</v>
      </c>
      <c r="AL208" s="438">
        <f t="shared" si="15"/>
        <v>0</v>
      </c>
      <c r="AM208" s="436">
        <f>AL208/VPI!R208</f>
        <v>0</v>
      </c>
      <c r="AN208" s="8"/>
      <c r="AO208" s="269"/>
      <c r="AP208" s="522">
        <v>3.5676346023429093</v>
      </c>
      <c r="AR208" s="539">
        <v>0</v>
      </c>
    </row>
    <row r="209" spans="1:44" x14ac:dyDescent="0.25">
      <c r="A209" s="190">
        <v>5746</v>
      </c>
      <c r="B209" s="440" t="s">
        <v>229</v>
      </c>
      <c r="C209" s="528">
        <v>1693269.27</v>
      </c>
      <c r="D209" s="528">
        <v>160997.67000000001</v>
      </c>
      <c r="E209" s="528"/>
      <c r="F209" s="529"/>
      <c r="G209" s="528">
        <v>40536.699999999997</v>
      </c>
      <c r="H209" s="528">
        <v>2194.0500000000002</v>
      </c>
      <c r="I209" s="528"/>
      <c r="J209" s="528">
        <v>23610.65</v>
      </c>
      <c r="K209" s="528">
        <v>18702.25</v>
      </c>
      <c r="L209" s="528">
        <v>233716.15</v>
      </c>
      <c r="M209" s="491">
        <f t="shared" si="12"/>
        <v>2173026.7399999998</v>
      </c>
      <c r="N209" s="241">
        <v>4091.65</v>
      </c>
      <c r="O209" s="241">
        <v>55380.2</v>
      </c>
      <c r="P209" s="241">
        <v>134983.65</v>
      </c>
      <c r="Q209" s="241">
        <v>12580.98</v>
      </c>
      <c r="R209" s="241">
        <v>61486.75</v>
      </c>
      <c r="S209" s="528">
        <v>4465.58</v>
      </c>
      <c r="T209" s="491">
        <f t="shared" si="13"/>
        <v>2446015.5499999998</v>
      </c>
      <c r="U209" s="237">
        <v>-26059.63</v>
      </c>
      <c r="V209" s="241"/>
      <c r="W209" s="241">
        <v>-82.3</v>
      </c>
      <c r="X209" s="533">
        <v>72</v>
      </c>
      <c r="Y209" s="536">
        <v>1.2</v>
      </c>
      <c r="Z209" s="213">
        <v>1009</v>
      </c>
      <c r="AA209" s="265"/>
      <c r="AB209" s="235"/>
      <c r="AC209" s="436">
        <f>AB209/VPI!R209</f>
        <v>0</v>
      </c>
      <c r="AD209" s="438">
        <f t="shared" si="14"/>
        <v>0</v>
      </c>
      <c r="AE209" s="436">
        <f>AD209/VPI!R209</f>
        <v>0</v>
      </c>
      <c r="AF209" s="235"/>
      <c r="AG209" s="235"/>
      <c r="AH209" s="235"/>
      <c r="AI209" s="269"/>
      <c r="AJ209" s="8"/>
      <c r="AK209" s="436">
        <f>AJ209/VPI!R209</f>
        <v>0</v>
      </c>
      <c r="AL209" s="438">
        <f t="shared" si="15"/>
        <v>0</v>
      </c>
      <c r="AM209" s="436">
        <f>AL209/VPI!R209</f>
        <v>0</v>
      </c>
      <c r="AN209" s="8"/>
      <c r="AO209" s="269"/>
      <c r="AP209" s="522">
        <v>10.933888880133827</v>
      </c>
      <c r="AR209" s="539">
        <v>0</v>
      </c>
    </row>
    <row r="210" spans="1:44" x14ac:dyDescent="0.25">
      <c r="A210" s="190">
        <v>5747</v>
      </c>
      <c r="B210" s="440" t="s">
        <v>230</v>
      </c>
      <c r="C210" s="528">
        <v>311227.8</v>
      </c>
      <c r="D210" s="528">
        <v>47091.16</v>
      </c>
      <c r="E210" s="528"/>
      <c r="F210" s="529"/>
      <c r="G210" s="528">
        <v>5472.95</v>
      </c>
      <c r="H210" s="528">
        <v>470.9</v>
      </c>
      <c r="I210" s="528"/>
      <c r="J210" s="528">
        <v>1547.98</v>
      </c>
      <c r="K210" s="528"/>
      <c r="L210" s="528">
        <v>34299.1</v>
      </c>
      <c r="M210" s="491">
        <f t="shared" si="12"/>
        <v>400109.88999999996</v>
      </c>
      <c r="N210" s="241">
        <v>0</v>
      </c>
      <c r="O210" s="241"/>
      <c r="P210" s="241">
        <v>14951.45</v>
      </c>
      <c r="Q210" s="241">
        <v>1379.35</v>
      </c>
      <c r="R210" s="241">
        <v>64346.05</v>
      </c>
      <c r="S210" s="528">
        <v>621.16</v>
      </c>
      <c r="T210" s="491">
        <f t="shared" si="13"/>
        <v>481407.89999999991</v>
      </c>
      <c r="U210" s="237">
        <v>-3404.14</v>
      </c>
      <c r="V210" s="241"/>
      <c r="W210" s="241">
        <v>-21.65</v>
      </c>
      <c r="X210" s="533">
        <v>69</v>
      </c>
      <c r="Y210" s="536">
        <v>1</v>
      </c>
      <c r="Z210" s="213">
        <v>204</v>
      </c>
      <c r="AA210" s="265"/>
      <c r="AB210" s="235"/>
      <c r="AC210" s="436">
        <f>AB210/VPI!R210</f>
        <v>0</v>
      </c>
      <c r="AD210" s="438">
        <f t="shared" si="14"/>
        <v>0</v>
      </c>
      <c r="AE210" s="436">
        <f>AD210/VPI!R210</f>
        <v>0</v>
      </c>
      <c r="AF210" s="235"/>
      <c r="AG210" s="235"/>
      <c r="AH210" s="235"/>
      <c r="AI210" s="269"/>
      <c r="AJ210" s="8"/>
      <c r="AK210" s="436">
        <f>AJ210/VPI!R210</f>
        <v>0</v>
      </c>
      <c r="AL210" s="438">
        <f t="shared" si="15"/>
        <v>0</v>
      </c>
      <c r="AM210" s="436">
        <f>AL210/VPI!R210</f>
        <v>0</v>
      </c>
      <c r="AN210" s="8"/>
      <c r="AO210" s="269"/>
      <c r="AP210" s="522">
        <v>12.807572334153326</v>
      </c>
      <c r="AR210" s="539">
        <v>0</v>
      </c>
    </row>
    <row r="211" spans="1:44" x14ac:dyDescent="0.25">
      <c r="A211" s="190">
        <v>5748</v>
      </c>
      <c r="B211" s="440" t="s">
        <v>231</v>
      </c>
      <c r="C211" s="528">
        <v>389146.48</v>
      </c>
      <c r="D211" s="528">
        <v>43886.46</v>
      </c>
      <c r="E211" s="528"/>
      <c r="F211" s="529">
        <v>2100</v>
      </c>
      <c r="G211" s="528">
        <v>2707.15</v>
      </c>
      <c r="H211" s="528">
        <v>50.95</v>
      </c>
      <c r="I211" s="528"/>
      <c r="J211" s="528">
        <v>407.17</v>
      </c>
      <c r="K211" s="528"/>
      <c r="L211" s="528">
        <v>23084</v>
      </c>
      <c r="M211" s="491">
        <f t="shared" si="12"/>
        <v>461382.21</v>
      </c>
      <c r="N211" s="241">
        <v>1720.55</v>
      </c>
      <c r="O211" s="241">
        <v>1404.5</v>
      </c>
      <c r="P211" s="241">
        <v>16786</v>
      </c>
      <c r="Q211" s="241">
        <v>706.77</v>
      </c>
      <c r="R211" s="241">
        <v>20777.45</v>
      </c>
      <c r="S211" s="528">
        <v>288.24</v>
      </c>
      <c r="T211" s="491">
        <f t="shared" si="13"/>
        <v>503065.72000000003</v>
      </c>
      <c r="U211" s="237">
        <v>-1012</v>
      </c>
      <c r="V211" s="241"/>
      <c r="W211" s="241">
        <v>0</v>
      </c>
      <c r="X211" s="533">
        <v>70.5</v>
      </c>
      <c r="Y211" s="536">
        <v>0.6</v>
      </c>
      <c r="Z211" s="213">
        <v>264</v>
      </c>
      <c r="AA211" s="265"/>
      <c r="AB211" s="235"/>
      <c r="AC211" s="436">
        <f>AB211/VPI!R211</f>
        <v>0</v>
      </c>
      <c r="AD211" s="438">
        <f t="shared" si="14"/>
        <v>0</v>
      </c>
      <c r="AE211" s="436">
        <f>AD211/VPI!R211</f>
        <v>0</v>
      </c>
      <c r="AF211" s="235"/>
      <c r="AG211" s="235"/>
      <c r="AH211" s="235"/>
      <c r="AI211" s="269"/>
      <c r="AJ211" s="8"/>
      <c r="AK211" s="436">
        <f>AJ211/VPI!R211</f>
        <v>0</v>
      </c>
      <c r="AL211" s="438">
        <f t="shared" si="15"/>
        <v>0</v>
      </c>
      <c r="AM211" s="436">
        <f>AL211/VPI!R211</f>
        <v>0</v>
      </c>
      <c r="AN211" s="8"/>
      <c r="AO211" s="269"/>
      <c r="AP211" s="522">
        <v>7.247871459037559</v>
      </c>
      <c r="AR211" s="539">
        <v>0</v>
      </c>
    </row>
    <row r="212" spans="1:44" x14ac:dyDescent="0.25">
      <c r="A212" s="190">
        <v>5749</v>
      </c>
      <c r="B212" s="440" t="s">
        <v>232</v>
      </c>
      <c r="C212" s="528">
        <v>8046129.0700000003</v>
      </c>
      <c r="D212" s="528">
        <v>809718.95</v>
      </c>
      <c r="E212" s="528"/>
      <c r="F212" s="529"/>
      <c r="G212" s="528">
        <v>307095</v>
      </c>
      <c r="H212" s="528">
        <v>8417.25</v>
      </c>
      <c r="I212" s="528"/>
      <c r="J212" s="528">
        <v>239200.22</v>
      </c>
      <c r="K212" s="528">
        <v>56988.7</v>
      </c>
      <c r="L212" s="528">
        <v>885922.05</v>
      </c>
      <c r="M212" s="491">
        <f t="shared" si="12"/>
        <v>10353471.24</v>
      </c>
      <c r="N212" s="241">
        <v>650839.5</v>
      </c>
      <c r="O212" s="241">
        <v>165907.29999999999</v>
      </c>
      <c r="P212" s="241">
        <v>214096.85</v>
      </c>
      <c r="Q212" s="241">
        <v>31539.69</v>
      </c>
      <c r="R212" s="241">
        <v>90945.95</v>
      </c>
      <c r="S212" s="528">
        <v>32972.65</v>
      </c>
      <c r="T212" s="491">
        <f t="shared" si="13"/>
        <v>11539773.18</v>
      </c>
      <c r="U212" s="237">
        <v>-215484.9</v>
      </c>
      <c r="V212" s="241"/>
      <c r="W212" s="241">
        <v>-1707.14</v>
      </c>
      <c r="X212" s="533">
        <v>70.5</v>
      </c>
      <c r="Y212" s="536">
        <v>1</v>
      </c>
      <c r="Z212" s="213">
        <v>5415</v>
      </c>
      <c r="AA212" s="265"/>
      <c r="AB212" s="235"/>
      <c r="AC212" s="436">
        <f>AB212/VPI!R212</f>
        <v>0</v>
      </c>
      <c r="AD212" s="438">
        <f t="shared" si="14"/>
        <v>0</v>
      </c>
      <c r="AE212" s="436">
        <f>AD212/VPI!R212</f>
        <v>0</v>
      </c>
      <c r="AF212" s="235"/>
      <c r="AG212" s="235"/>
      <c r="AH212" s="235"/>
      <c r="AI212" s="269"/>
      <c r="AJ212" s="8"/>
      <c r="AK212" s="436">
        <f>AJ212/VPI!R212</f>
        <v>0</v>
      </c>
      <c r="AL212" s="438">
        <f t="shared" si="15"/>
        <v>0</v>
      </c>
      <c r="AM212" s="436">
        <f>AL212/VPI!R212</f>
        <v>0</v>
      </c>
      <c r="AN212" s="8"/>
      <c r="AO212" s="269"/>
      <c r="AP212" s="522">
        <v>3.7805989453686939</v>
      </c>
      <c r="AR212" s="539">
        <v>0</v>
      </c>
    </row>
    <row r="213" spans="1:44" x14ac:dyDescent="0.25">
      <c r="A213" s="190">
        <v>5750</v>
      </c>
      <c r="B213" s="440" t="s">
        <v>233</v>
      </c>
      <c r="C213" s="528">
        <v>364840.6</v>
      </c>
      <c r="D213" s="528">
        <v>59926.92</v>
      </c>
      <c r="E213" s="528"/>
      <c r="F213" s="529">
        <v>1090</v>
      </c>
      <c r="G213" s="528">
        <v>594.04999999999995</v>
      </c>
      <c r="H213" s="528">
        <v>29.55</v>
      </c>
      <c r="I213" s="528"/>
      <c r="J213" s="528">
        <v>-2907.97</v>
      </c>
      <c r="K213" s="528">
        <v>-1065.55</v>
      </c>
      <c r="L213" s="528">
        <v>14359.3</v>
      </c>
      <c r="M213" s="491">
        <f t="shared" si="12"/>
        <v>436866.89999999997</v>
      </c>
      <c r="N213" s="241">
        <v>9772.5499999999993</v>
      </c>
      <c r="O213" s="241"/>
      <c r="P213" s="241">
        <v>26341.25</v>
      </c>
      <c r="Q213" s="241"/>
      <c r="R213" s="241">
        <v>29579.3</v>
      </c>
      <c r="S213" s="528">
        <v>65.17</v>
      </c>
      <c r="T213" s="491">
        <f t="shared" si="13"/>
        <v>502625.16999999993</v>
      </c>
      <c r="U213" s="237">
        <v>-9619.86</v>
      </c>
      <c r="V213" s="241"/>
      <c r="W213" s="241">
        <v>-49.35</v>
      </c>
      <c r="X213" s="533">
        <v>80</v>
      </c>
      <c r="Y213" s="536">
        <v>0.6</v>
      </c>
      <c r="Z213" s="213">
        <v>187</v>
      </c>
      <c r="AA213" s="265"/>
      <c r="AB213" s="235"/>
      <c r="AC213" s="436">
        <f>AB213/VPI!R213</f>
        <v>0</v>
      </c>
      <c r="AD213" s="438">
        <f t="shared" si="14"/>
        <v>0</v>
      </c>
      <c r="AE213" s="436">
        <f>AD213/VPI!R213</f>
        <v>0</v>
      </c>
      <c r="AF213" s="235"/>
      <c r="AG213" s="235"/>
      <c r="AH213" s="235"/>
      <c r="AI213" s="269"/>
      <c r="AJ213" s="8"/>
      <c r="AK213" s="436">
        <f>AJ213/VPI!R213</f>
        <v>0</v>
      </c>
      <c r="AL213" s="438">
        <f t="shared" si="15"/>
        <v>0</v>
      </c>
      <c r="AM213" s="436">
        <f>AL213/VPI!R213</f>
        <v>0</v>
      </c>
      <c r="AN213" s="8"/>
      <c r="AO213" s="269"/>
      <c r="AP213" s="522">
        <v>4.9959155003464781</v>
      </c>
      <c r="AR213" s="539">
        <v>0</v>
      </c>
    </row>
    <row r="214" spans="1:44" x14ac:dyDescent="0.25">
      <c r="A214" s="190">
        <v>5752</v>
      </c>
      <c r="B214" s="440" t="s">
        <v>280</v>
      </c>
      <c r="C214" s="528">
        <v>597798.06000000006</v>
      </c>
      <c r="D214" s="528">
        <v>92928.74</v>
      </c>
      <c r="E214" s="528"/>
      <c r="F214" s="529"/>
      <c r="G214" s="528">
        <v>4490.1000000000004</v>
      </c>
      <c r="H214" s="528">
        <v>-397.35</v>
      </c>
      <c r="I214" s="528"/>
      <c r="J214" s="528">
        <v>10304.99</v>
      </c>
      <c r="K214" s="528">
        <v>833.4</v>
      </c>
      <c r="L214" s="528">
        <v>43556.4</v>
      </c>
      <c r="M214" s="491">
        <f t="shared" si="12"/>
        <v>749514.34000000008</v>
      </c>
      <c r="N214" s="241">
        <v>34274.050000000003</v>
      </c>
      <c r="O214" s="241">
        <v>3861</v>
      </c>
      <c r="P214" s="241">
        <v>11165</v>
      </c>
      <c r="Q214" s="241">
        <v>1915.96</v>
      </c>
      <c r="R214" s="241">
        <v>15651</v>
      </c>
      <c r="S214" s="528">
        <v>427.71</v>
      </c>
      <c r="T214" s="491">
        <f t="shared" si="13"/>
        <v>816809.06</v>
      </c>
      <c r="U214" s="237">
        <v>-7135.64</v>
      </c>
      <c r="V214" s="241"/>
      <c r="W214" s="241">
        <v>-8274.6</v>
      </c>
      <c r="X214" s="533">
        <v>74</v>
      </c>
      <c r="Y214" s="536">
        <v>0.7</v>
      </c>
      <c r="Z214" s="213">
        <v>387</v>
      </c>
      <c r="AA214" s="265"/>
      <c r="AB214" s="235"/>
      <c r="AC214" s="436">
        <f>AB214/VPI!R214</f>
        <v>0</v>
      </c>
      <c r="AD214" s="438">
        <f t="shared" si="14"/>
        <v>0</v>
      </c>
      <c r="AE214" s="436">
        <f>AD214/VPI!R214</f>
        <v>0</v>
      </c>
      <c r="AF214" s="235"/>
      <c r="AG214" s="235"/>
      <c r="AH214" s="235"/>
      <c r="AI214" s="269"/>
      <c r="AJ214" s="8"/>
      <c r="AK214" s="436">
        <f>AJ214/VPI!R214</f>
        <v>0</v>
      </c>
      <c r="AL214" s="438">
        <f t="shared" si="15"/>
        <v>0</v>
      </c>
      <c r="AM214" s="436">
        <f>AL214/VPI!R214</f>
        <v>0</v>
      </c>
      <c r="AN214" s="8"/>
      <c r="AO214" s="269"/>
      <c r="AP214" s="522">
        <v>5.0132910192430282</v>
      </c>
      <c r="AR214" s="539">
        <v>0</v>
      </c>
    </row>
    <row r="215" spans="1:44" x14ac:dyDescent="0.25">
      <c r="A215" s="190">
        <v>5754</v>
      </c>
      <c r="B215" s="440" t="s">
        <v>281</v>
      </c>
      <c r="C215" s="528">
        <v>556707.68999999994</v>
      </c>
      <c r="D215" s="528">
        <v>70791.69</v>
      </c>
      <c r="E215" s="528"/>
      <c r="F215" s="529"/>
      <c r="G215" s="528">
        <v>1707.15</v>
      </c>
      <c r="H215" s="528">
        <v>675.2</v>
      </c>
      <c r="I215" s="528"/>
      <c r="J215" s="528">
        <v>-869.9</v>
      </c>
      <c r="K215" s="528">
        <v>2099.5</v>
      </c>
      <c r="L215" s="528">
        <v>47895.1</v>
      </c>
      <c r="M215" s="491">
        <f t="shared" si="12"/>
        <v>679006.42999999982</v>
      </c>
      <c r="N215" s="241">
        <v>0</v>
      </c>
      <c r="O215" s="241">
        <v>219315.4</v>
      </c>
      <c r="P215" s="241">
        <v>37180</v>
      </c>
      <c r="Q215" s="241">
        <v>3104.67</v>
      </c>
      <c r="R215" s="241">
        <v>68617</v>
      </c>
      <c r="S215" s="528">
        <v>248.97</v>
      </c>
      <c r="T215" s="491">
        <f t="shared" si="13"/>
        <v>1007472.4699999999</v>
      </c>
      <c r="U215" s="237">
        <v>-248.65</v>
      </c>
      <c r="V215" s="241"/>
      <c r="W215" s="241">
        <v>-84.8</v>
      </c>
      <c r="X215" s="533">
        <v>79</v>
      </c>
      <c r="Y215" s="536">
        <v>1</v>
      </c>
      <c r="Z215" s="213">
        <v>349</v>
      </c>
      <c r="AA215" s="265"/>
      <c r="AB215" s="235"/>
      <c r="AC215" s="436">
        <f>AB215/VPI!R215</f>
        <v>0</v>
      </c>
      <c r="AD215" s="438">
        <f t="shared" si="14"/>
        <v>0</v>
      </c>
      <c r="AE215" s="436">
        <f>AD215/VPI!R215</f>
        <v>0</v>
      </c>
      <c r="AF215" s="235"/>
      <c r="AG215" s="235"/>
      <c r="AH215" s="235"/>
      <c r="AI215" s="269"/>
      <c r="AJ215" s="8"/>
      <c r="AK215" s="436">
        <f>AJ215/VPI!R215</f>
        <v>0</v>
      </c>
      <c r="AL215" s="438">
        <f t="shared" si="15"/>
        <v>0</v>
      </c>
      <c r="AM215" s="436">
        <f>AL215/VPI!R215</f>
        <v>0</v>
      </c>
      <c r="AN215" s="8"/>
      <c r="AO215" s="269"/>
      <c r="AP215" s="522">
        <v>4.7339596785839424</v>
      </c>
      <c r="AR215" s="539">
        <v>0</v>
      </c>
    </row>
    <row r="216" spans="1:44" x14ac:dyDescent="0.25">
      <c r="A216" s="190">
        <v>5755</v>
      </c>
      <c r="B216" s="440" t="s">
        <v>282</v>
      </c>
      <c r="C216" s="528">
        <v>698586.18</v>
      </c>
      <c r="D216" s="528">
        <v>79118.05</v>
      </c>
      <c r="E216" s="528"/>
      <c r="F216" s="529">
        <v>2180</v>
      </c>
      <c r="G216" s="528">
        <v>14538.85</v>
      </c>
      <c r="H216" s="528">
        <v>604.79999999999995</v>
      </c>
      <c r="I216" s="528"/>
      <c r="J216" s="528">
        <v>9770.36</v>
      </c>
      <c r="K216" s="528">
        <v>411.1</v>
      </c>
      <c r="L216" s="528">
        <v>45190.400000000001</v>
      </c>
      <c r="M216" s="491">
        <f t="shared" si="12"/>
        <v>850399.74000000011</v>
      </c>
      <c r="N216" s="241">
        <v>50773.55</v>
      </c>
      <c r="O216" s="241"/>
      <c r="P216" s="241">
        <v>32168.45</v>
      </c>
      <c r="Q216" s="241">
        <v>1010.9</v>
      </c>
      <c r="R216" s="241">
        <v>40956.5</v>
      </c>
      <c r="S216" s="528">
        <v>1582.59</v>
      </c>
      <c r="T216" s="491">
        <f t="shared" si="13"/>
        <v>976891.7300000001</v>
      </c>
      <c r="U216" s="237">
        <v>-15066.55</v>
      </c>
      <c r="V216" s="241"/>
      <c r="W216" s="241">
        <v>0</v>
      </c>
      <c r="X216" s="533">
        <v>78.5</v>
      </c>
      <c r="Y216" s="536">
        <v>0.7</v>
      </c>
      <c r="Z216" s="213">
        <v>448</v>
      </c>
      <c r="AA216" s="265"/>
      <c r="AB216" s="235"/>
      <c r="AC216" s="436">
        <f>AB216/VPI!R216</f>
        <v>0</v>
      </c>
      <c r="AD216" s="438">
        <f t="shared" si="14"/>
        <v>0</v>
      </c>
      <c r="AE216" s="436">
        <f>AD216/VPI!R216</f>
        <v>0</v>
      </c>
      <c r="AF216" s="235"/>
      <c r="AG216" s="235"/>
      <c r="AH216" s="235"/>
      <c r="AI216" s="269"/>
      <c r="AJ216" s="8"/>
      <c r="AK216" s="436">
        <f>AJ216/VPI!R216</f>
        <v>0</v>
      </c>
      <c r="AL216" s="438">
        <f t="shared" si="15"/>
        <v>0</v>
      </c>
      <c r="AM216" s="436">
        <f>AL216/VPI!R216</f>
        <v>0</v>
      </c>
      <c r="AN216" s="8"/>
      <c r="AO216" s="269"/>
      <c r="AP216" s="522">
        <v>5.3905977718009375</v>
      </c>
      <c r="AR216" s="539">
        <v>0</v>
      </c>
    </row>
    <row r="217" spans="1:44" x14ac:dyDescent="0.25">
      <c r="A217" s="190">
        <v>5756</v>
      </c>
      <c r="B217" s="440" t="s">
        <v>283</v>
      </c>
      <c r="C217" s="528">
        <v>917350.05</v>
      </c>
      <c r="D217" s="528">
        <v>216263.84</v>
      </c>
      <c r="E217" s="528"/>
      <c r="F217" s="529"/>
      <c r="G217" s="528">
        <v>31264.400000000001</v>
      </c>
      <c r="H217" s="528">
        <v>268.5</v>
      </c>
      <c r="I217" s="528"/>
      <c r="J217" s="528">
        <v>15427.63</v>
      </c>
      <c r="K217" s="528">
        <v>786.4</v>
      </c>
      <c r="L217" s="528">
        <v>89065.2</v>
      </c>
      <c r="M217" s="491">
        <f t="shared" si="12"/>
        <v>1270426.0199999998</v>
      </c>
      <c r="N217" s="241">
        <v>11823.3</v>
      </c>
      <c r="O217" s="241">
        <v>7192.5</v>
      </c>
      <c r="P217" s="241">
        <v>484</v>
      </c>
      <c r="Q217" s="241"/>
      <c r="R217" s="241">
        <v>11649.75</v>
      </c>
      <c r="S217" s="528">
        <v>3295.35</v>
      </c>
      <c r="T217" s="491">
        <f t="shared" si="13"/>
        <v>1304870.92</v>
      </c>
      <c r="U217" s="237">
        <v>-13476.54</v>
      </c>
      <c r="V217" s="241"/>
      <c r="W217" s="241">
        <v>0</v>
      </c>
      <c r="X217" s="533">
        <v>72</v>
      </c>
      <c r="Y217" s="536">
        <v>1</v>
      </c>
      <c r="Z217" s="213">
        <v>496</v>
      </c>
      <c r="AA217" s="265"/>
      <c r="AB217" s="235"/>
      <c r="AC217" s="436">
        <f>AB217/VPI!R217</f>
        <v>0</v>
      </c>
      <c r="AD217" s="438">
        <f t="shared" si="14"/>
        <v>0</v>
      </c>
      <c r="AE217" s="436">
        <f>AD217/VPI!R217</f>
        <v>0</v>
      </c>
      <c r="AF217" s="235"/>
      <c r="AG217" s="235"/>
      <c r="AH217" s="235"/>
      <c r="AI217" s="269"/>
      <c r="AJ217" s="8"/>
      <c r="AK217" s="436">
        <f>AJ217/VPI!R217</f>
        <v>0</v>
      </c>
      <c r="AL217" s="438">
        <f t="shared" si="15"/>
        <v>0</v>
      </c>
      <c r="AM217" s="436">
        <f>AL217/VPI!R217</f>
        <v>0</v>
      </c>
      <c r="AN217" s="8"/>
      <c r="AO217" s="269"/>
      <c r="AP217" s="522">
        <v>19.674151220552261</v>
      </c>
      <c r="AR217" s="539">
        <v>1</v>
      </c>
    </row>
    <row r="218" spans="1:44" x14ac:dyDescent="0.25">
      <c r="A218" s="190">
        <v>5757</v>
      </c>
      <c r="B218" s="440" t="s">
        <v>284</v>
      </c>
      <c r="C218" s="528">
        <v>11736132.34</v>
      </c>
      <c r="D218" s="528">
        <v>1136813.9099999999</v>
      </c>
      <c r="E218" s="528"/>
      <c r="F218" s="529"/>
      <c r="G218" s="528">
        <v>1271666.6499999999</v>
      </c>
      <c r="H218" s="528">
        <v>89602.8</v>
      </c>
      <c r="I218" s="528"/>
      <c r="J218" s="528">
        <v>567394.02</v>
      </c>
      <c r="K218" s="528">
        <v>66398.850000000006</v>
      </c>
      <c r="L218" s="528">
        <v>1511985.85</v>
      </c>
      <c r="M218" s="491">
        <f t="shared" si="12"/>
        <v>16379994.42</v>
      </c>
      <c r="N218" s="241">
        <v>3330927</v>
      </c>
      <c r="O218" s="241">
        <v>95915.3</v>
      </c>
      <c r="P218" s="241">
        <v>754340.4</v>
      </c>
      <c r="Q218" s="241">
        <v>111662.76</v>
      </c>
      <c r="R218" s="241">
        <v>678210.5</v>
      </c>
      <c r="S218" s="528">
        <v>142259.65</v>
      </c>
      <c r="T218" s="491">
        <f t="shared" si="13"/>
        <v>21493310.030000001</v>
      </c>
      <c r="U218" s="237">
        <v>-191657.92</v>
      </c>
      <c r="V218" s="241"/>
      <c r="W218" s="241">
        <v>-1222.68</v>
      </c>
      <c r="X218" s="533">
        <v>75.5</v>
      </c>
      <c r="Y218" s="536">
        <v>1</v>
      </c>
      <c r="Z218" s="213">
        <v>7622</v>
      </c>
      <c r="AA218" s="265"/>
      <c r="AB218" s="235"/>
      <c r="AC218" s="436">
        <f>AB218/VPI!R218</f>
        <v>0</v>
      </c>
      <c r="AD218" s="438">
        <f t="shared" si="14"/>
        <v>0</v>
      </c>
      <c r="AE218" s="436">
        <f>AD218/VPI!R218</f>
        <v>0</v>
      </c>
      <c r="AF218" s="235"/>
      <c r="AG218" s="235"/>
      <c r="AH218" s="235"/>
      <c r="AI218" s="269"/>
      <c r="AJ218" s="8"/>
      <c r="AK218" s="436">
        <f>AJ218/VPI!R218</f>
        <v>0</v>
      </c>
      <c r="AL218" s="438">
        <f t="shared" si="15"/>
        <v>0</v>
      </c>
      <c r="AM218" s="436">
        <f>AL218/VPI!R218</f>
        <v>0</v>
      </c>
      <c r="AN218" s="8"/>
      <c r="AO218" s="269"/>
      <c r="AP218" s="522">
        <v>-0.50118151635812336</v>
      </c>
      <c r="AR218" s="539">
        <v>1</v>
      </c>
    </row>
    <row r="219" spans="1:44" x14ac:dyDescent="0.25">
      <c r="A219" s="190">
        <v>5758</v>
      </c>
      <c r="B219" s="440" t="s">
        <v>192</v>
      </c>
      <c r="C219" s="528">
        <v>293747.44</v>
      </c>
      <c r="D219" s="528">
        <v>34308.65</v>
      </c>
      <c r="E219" s="528"/>
      <c r="F219" s="529"/>
      <c r="G219" s="528">
        <v>1834.15</v>
      </c>
      <c r="H219" s="528">
        <v>957.15</v>
      </c>
      <c r="I219" s="528"/>
      <c r="J219" s="528">
        <v>13593.09</v>
      </c>
      <c r="K219" s="528"/>
      <c r="L219" s="528">
        <v>31353.200000000001</v>
      </c>
      <c r="M219" s="491">
        <f t="shared" si="12"/>
        <v>375793.68000000011</v>
      </c>
      <c r="N219" s="241">
        <v>497.55</v>
      </c>
      <c r="O219" s="241"/>
      <c r="P219" s="241">
        <v>2090</v>
      </c>
      <c r="Q219" s="241"/>
      <c r="R219" s="241"/>
      <c r="S219" s="528">
        <v>291.70999999999998</v>
      </c>
      <c r="T219" s="491">
        <f t="shared" si="13"/>
        <v>378672.94000000012</v>
      </c>
      <c r="U219" s="237">
        <v>-2515.2600000000002</v>
      </c>
      <c r="V219" s="241"/>
      <c r="W219" s="241">
        <v>-9.25</v>
      </c>
      <c r="X219" s="533">
        <v>83</v>
      </c>
      <c r="Y219" s="536">
        <v>1</v>
      </c>
      <c r="Z219" s="213">
        <v>183</v>
      </c>
      <c r="AA219" s="265"/>
      <c r="AB219" s="235"/>
      <c r="AC219" s="436">
        <f>AB219/VPI!R219</f>
        <v>0</v>
      </c>
      <c r="AD219" s="438">
        <f t="shared" si="14"/>
        <v>0</v>
      </c>
      <c r="AE219" s="436">
        <f>AD219/VPI!R219</f>
        <v>0</v>
      </c>
      <c r="AF219" s="235"/>
      <c r="AG219" s="235"/>
      <c r="AH219" s="235"/>
      <c r="AI219" s="269"/>
      <c r="AJ219" s="8"/>
      <c r="AK219" s="436">
        <f>AJ219/VPI!R219</f>
        <v>0</v>
      </c>
      <c r="AL219" s="438">
        <f t="shared" si="15"/>
        <v>0</v>
      </c>
      <c r="AM219" s="436">
        <f>AL219/VPI!R219</f>
        <v>0</v>
      </c>
      <c r="AN219" s="8"/>
      <c r="AO219" s="269"/>
      <c r="AP219" s="522">
        <v>2.8283404123470066</v>
      </c>
      <c r="AR219" s="539">
        <v>0</v>
      </c>
    </row>
    <row r="220" spans="1:44" x14ac:dyDescent="0.25">
      <c r="A220" s="190">
        <v>5759</v>
      </c>
      <c r="B220" s="440" t="s">
        <v>193</v>
      </c>
      <c r="C220" s="528">
        <v>356026.11</v>
      </c>
      <c r="D220" s="528">
        <v>58248.38</v>
      </c>
      <c r="E220" s="528"/>
      <c r="F220" s="529"/>
      <c r="G220" s="528">
        <v>1515.4</v>
      </c>
      <c r="H220" s="528">
        <v>230.85</v>
      </c>
      <c r="I220" s="528"/>
      <c r="J220" s="528">
        <v>1262.19</v>
      </c>
      <c r="K220" s="528">
        <v>242.95</v>
      </c>
      <c r="L220" s="528">
        <v>32163.7</v>
      </c>
      <c r="M220" s="491">
        <f t="shared" si="12"/>
        <v>449689.58</v>
      </c>
      <c r="N220" s="241">
        <v>4142.25</v>
      </c>
      <c r="O220" s="241"/>
      <c r="P220" s="241">
        <v>12761.6</v>
      </c>
      <c r="Q220" s="241">
        <v>4322.71</v>
      </c>
      <c r="R220" s="241">
        <v>28647.05</v>
      </c>
      <c r="S220" s="528">
        <v>182.49</v>
      </c>
      <c r="T220" s="491">
        <f t="shared" si="13"/>
        <v>499745.68</v>
      </c>
      <c r="U220" s="237">
        <v>-3557.01</v>
      </c>
      <c r="V220" s="241"/>
      <c r="W220" s="241">
        <v>-105.9</v>
      </c>
      <c r="X220" s="533">
        <v>79.5</v>
      </c>
      <c r="Y220" s="536">
        <v>1</v>
      </c>
      <c r="Z220" s="213">
        <v>236</v>
      </c>
      <c r="AA220" s="265"/>
      <c r="AB220" s="235"/>
      <c r="AC220" s="436">
        <f>AB220/VPI!R220</f>
        <v>0</v>
      </c>
      <c r="AD220" s="438">
        <f t="shared" si="14"/>
        <v>0</v>
      </c>
      <c r="AE220" s="436">
        <f>AD220/VPI!R220</f>
        <v>0</v>
      </c>
      <c r="AF220" s="235"/>
      <c r="AG220" s="235"/>
      <c r="AH220" s="235"/>
      <c r="AI220" s="269"/>
      <c r="AJ220" s="8"/>
      <c r="AK220" s="436">
        <f>AJ220/VPI!R220</f>
        <v>0</v>
      </c>
      <c r="AL220" s="438">
        <f t="shared" si="15"/>
        <v>0</v>
      </c>
      <c r="AM220" s="436">
        <f>AL220/VPI!R220</f>
        <v>0</v>
      </c>
      <c r="AN220" s="8"/>
      <c r="AO220" s="269"/>
      <c r="AP220" s="522">
        <v>3.1585665605747488</v>
      </c>
      <c r="AR220" s="539">
        <v>0</v>
      </c>
    </row>
    <row r="221" spans="1:44" x14ac:dyDescent="0.25">
      <c r="A221" s="190">
        <v>5760</v>
      </c>
      <c r="B221" s="440" t="s">
        <v>194</v>
      </c>
      <c r="C221" s="528">
        <v>1066111.51</v>
      </c>
      <c r="D221" s="528">
        <v>82117.240000000005</v>
      </c>
      <c r="E221" s="528"/>
      <c r="F221" s="529"/>
      <c r="G221" s="528">
        <v>3367.3</v>
      </c>
      <c r="H221" s="528">
        <v>2574.1</v>
      </c>
      <c r="I221" s="528"/>
      <c r="J221" s="528">
        <v>4161.78</v>
      </c>
      <c r="K221" s="528"/>
      <c r="L221" s="528">
        <v>127758</v>
      </c>
      <c r="M221" s="491">
        <f t="shared" si="12"/>
        <v>1286089.9300000002</v>
      </c>
      <c r="N221" s="241">
        <v>31918.75</v>
      </c>
      <c r="O221" s="241">
        <v>52726.1</v>
      </c>
      <c r="P221" s="241">
        <v>46745.599999999999</v>
      </c>
      <c r="Q221" s="241">
        <v>24041.63</v>
      </c>
      <c r="R221" s="241">
        <v>23275.599999999999</v>
      </c>
      <c r="S221" s="528">
        <v>620.91</v>
      </c>
      <c r="T221" s="491">
        <f t="shared" si="13"/>
        <v>1465418.5200000003</v>
      </c>
      <c r="U221" s="237">
        <v>-18801.09</v>
      </c>
      <c r="V221" s="241"/>
      <c r="W221" s="241">
        <v>-1747.1</v>
      </c>
      <c r="X221" s="533">
        <v>76.5</v>
      </c>
      <c r="Y221" s="536">
        <v>1.5</v>
      </c>
      <c r="Z221" s="213">
        <v>522</v>
      </c>
      <c r="AA221" s="265"/>
      <c r="AB221" s="235"/>
      <c r="AC221" s="436">
        <f>AB221/VPI!R221</f>
        <v>0</v>
      </c>
      <c r="AD221" s="438">
        <f t="shared" si="14"/>
        <v>0</v>
      </c>
      <c r="AE221" s="436">
        <f>AD221/VPI!R221</f>
        <v>0</v>
      </c>
      <c r="AF221" s="235"/>
      <c r="AG221" s="235"/>
      <c r="AH221" s="235"/>
      <c r="AI221" s="269"/>
      <c r="AJ221" s="8"/>
      <c r="AK221" s="436">
        <f>AJ221/VPI!R221</f>
        <v>0</v>
      </c>
      <c r="AL221" s="438">
        <f t="shared" si="15"/>
        <v>0</v>
      </c>
      <c r="AM221" s="436">
        <f>AL221/VPI!R221</f>
        <v>0</v>
      </c>
      <c r="AN221" s="8"/>
      <c r="AO221" s="269"/>
      <c r="AP221" s="522">
        <v>9.8276888365100525</v>
      </c>
      <c r="AR221" s="539">
        <v>0</v>
      </c>
    </row>
    <row r="222" spans="1:44" x14ac:dyDescent="0.25">
      <c r="A222" s="190">
        <v>5761</v>
      </c>
      <c r="B222" s="440" t="s">
        <v>121</v>
      </c>
      <c r="C222" s="528">
        <v>932579.39</v>
      </c>
      <c r="D222" s="528">
        <v>131807.26</v>
      </c>
      <c r="E222" s="528"/>
      <c r="F222" s="529"/>
      <c r="G222" s="528">
        <v>1972.9</v>
      </c>
      <c r="H222" s="528">
        <v>1158.6500000000001</v>
      </c>
      <c r="I222" s="528"/>
      <c r="J222" s="528">
        <v>14530.58</v>
      </c>
      <c r="K222" s="528">
        <v>810.8</v>
      </c>
      <c r="L222" s="528">
        <v>99547.9</v>
      </c>
      <c r="M222" s="491">
        <f t="shared" si="12"/>
        <v>1182407.4799999997</v>
      </c>
      <c r="N222" s="241">
        <v>75342.05</v>
      </c>
      <c r="O222" s="241"/>
      <c r="P222" s="241">
        <v>31506.55</v>
      </c>
      <c r="Q222" s="241"/>
      <c r="R222" s="241">
        <v>19263.650000000001</v>
      </c>
      <c r="S222" s="528">
        <v>327.26</v>
      </c>
      <c r="T222" s="491">
        <f t="shared" si="13"/>
        <v>1308846.9899999998</v>
      </c>
      <c r="U222" s="237">
        <v>-6622.79</v>
      </c>
      <c r="V222" s="241"/>
      <c r="W222" s="241">
        <v>-32.03</v>
      </c>
      <c r="X222" s="533">
        <v>81</v>
      </c>
      <c r="Y222" s="536">
        <v>1.1000000000000001</v>
      </c>
      <c r="Z222" s="213">
        <v>567</v>
      </c>
      <c r="AA222" s="265"/>
      <c r="AB222" s="235"/>
      <c r="AC222" s="436">
        <f>AB222/VPI!R222</f>
        <v>0</v>
      </c>
      <c r="AD222" s="438">
        <f t="shared" si="14"/>
        <v>0</v>
      </c>
      <c r="AE222" s="436">
        <f>AD222/VPI!R222</f>
        <v>0</v>
      </c>
      <c r="AF222" s="235"/>
      <c r="AG222" s="235"/>
      <c r="AH222" s="235"/>
      <c r="AI222" s="269"/>
      <c r="AJ222" s="8"/>
      <c r="AK222" s="436">
        <f>AJ222/VPI!R222</f>
        <v>0</v>
      </c>
      <c r="AL222" s="438">
        <f t="shared" si="15"/>
        <v>0</v>
      </c>
      <c r="AM222" s="436">
        <f>AL222/VPI!R222</f>
        <v>0</v>
      </c>
      <c r="AN222" s="8"/>
      <c r="AO222" s="269"/>
      <c r="AP222" s="522">
        <v>-2.3685105470659078</v>
      </c>
      <c r="AR222" s="539">
        <v>0</v>
      </c>
    </row>
    <row r="223" spans="1:44" x14ac:dyDescent="0.25">
      <c r="A223" s="190">
        <v>5762</v>
      </c>
      <c r="B223" s="440" t="s">
        <v>122</v>
      </c>
      <c r="C223" s="528">
        <v>233190.13</v>
      </c>
      <c r="D223" s="528">
        <v>32413.61</v>
      </c>
      <c r="E223" s="528"/>
      <c r="F223" s="529"/>
      <c r="G223" s="528">
        <v>4515.5</v>
      </c>
      <c r="H223" s="528">
        <v>219.8</v>
      </c>
      <c r="I223" s="528"/>
      <c r="J223" s="528">
        <v>118.84</v>
      </c>
      <c r="K223" s="528">
        <v>-416.55</v>
      </c>
      <c r="L223" s="528">
        <v>21338.6</v>
      </c>
      <c r="M223" s="491">
        <f t="shared" si="12"/>
        <v>291379.93</v>
      </c>
      <c r="N223" s="241">
        <v>11860.15</v>
      </c>
      <c r="O223" s="241">
        <v>307.2</v>
      </c>
      <c r="P223" s="241">
        <v>5923.5</v>
      </c>
      <c r="Q223" s="241"/>
      <c r="R223" s="241"/>
      <c r="S223" s="528">
        <v>494.86</v>
      </c>
      <c r="T223" s="491">
        <f t="shared" si="13"/>
        <v>309965.64</v>
      </c>
      <c r="U223" s="237">
        <v>-41.65</v>
      </c>
      <c r="V223" s="241"/>
      <c r="W223" s="241">
        <v>0</v>
      </c>
      <c r="X223" s="533">
        <v>78</v>
      </c>
      <c r="Y223" s="536">
        <v>1</v>
      </c>
      <c r="Z223" s="213">
        <v>140</v>
      </c>
      <c r="AA223" s="265"/>
      <c r="AB223" s="235"/>
      <c r="AC223" s="436">
        <f>AB223/VPI!R223</f>
        <v>0</v>
      </c>
      <c r="AD223" s="438">
        <f t="shared" si="14"/>
        <v>0</v>
      </c>
      <c r="AE223" s="436">
        <f>AD223/VPI!R223</f>
        <v>0</v>
      </c>
      <c r="AF223" s="235"/>
      <c r="AG223" s="235"/>
      <c r="AH223" s="235"/>
      <c r="AI223" s="269"/>
      <c r="AJ223" s="8"/>
      <c r="AK223" s="436">
        <f>AJ223/VPI!R223</f>
        <v>0</v>
      </c>
      <c r="AL223" s="438">
        <f t="shared" si="15"/>
        <v>0</v>
      </c>
      <c r="AM223" s="436">
        <f>AL223/VPI!R223</f>
        <v>0</v>
      </c>
      <c r="AN223" s="8"/>
      <c r="AO223" s="269"/>
      <c r="AP223" s="522">
        <v>7.5149836181393352</v>
      </c>
      <c r="AR223" s="539">
        <v>0</v>
      </c>
    </row>
    <row r="224" spans="1:44" x14ac:dyDescent="0.25">
      <c r="A224" s="190">
        <v>5763</v>
      </c>
      <c r="B224" s="440" t="s">
        <v>123</v>
      </c>
      <c r="C224" s="528">
        <v>1232066.53</v>
      </c>
      <c r="D224" s="528">
        <v>177129.32</v>
      </c>
      <c r="E224" s="528"/>
      <c r="F224" s="529">
        <v>3370</v>
      </c>
      <c r="G224" s="528">
        <v>31026.65</v>
      </c>
      <c r="H224" s="528">
        <v>1526.85</v>
      </c>
      <c r="I224" s="528"/>
      <c r="J224" s="528">
        <v>37540.949999999997</v>
      </c>
      <c r="K224" s="528">
        <v>4048.65</v>
      </c>
      <c r="L224" s="528">
        <v>92119</v>
      </c>
      <c r="M224" s="491">
        <f t="shared" si="12"/>
        <v>1578827.95</v>
      </c>
      <c r="N224" s="241">
        <v>28645.15</v>
      </c>
      <c r="O224" s="241"/>
      <c r="P224" s="241">
        <v>22840.15</v>
      </c>
      <c r="Q224" s="241">
        <v>2712.46</v>
      </c>
      <c r="R224" s="241"/>
      <c r="S224" s="528">
        <v>3402.01</v>
      </c>
      <c r="T224" s="491">
        <f t="shared" si="13"/>
        <v>1636427.7199999997</v>
      </c>
      <c r="U224" s="237">
        <v>-1635.89</v>
      </c>
      <c r="V224" s="241"/>
      <c r="W224" s="241">
        <v>-316.05</v>
      </c>
      <c r="X224" s="533">
        <v>71</v>
      </c>
      <c r="Y224" s="536">
        <v>1</v>
      </c>
      <c r="Z224" s="213">
        <v>606</v>
      </c>
      <c r="AA224" s="265"/>
      <c r="AB224" s="235"/>
      <c r="AC224" s="436">
        <f>AB224/VPI!R224</f>
        <v>0</v>
      </c>
      <c r="AD224" s="438">
        <f t="shared" si="14"/>
        <v>0</v>
      </c>
      <c r="AE224" s="436">
        <f>AD224/VPI!R224</f>
        <v>0</v>
      </c>
      <c r="AF224" s="235"/>
      <c r="AG224" s="235"/>
      <c r="AH224" s="235"/>
      <c r="AI224" s="269"/>
      <c r="AJ224" s="8"/>
      <c r="AK224" s="436">
        <f>AJ224/VPI!R224</f>
        <v>0</v>
      </c>
      <c r="AL224" s="438">
        <f t="shared" si="15"/>
        <v>0</v>
      </c>
      <c r="AM224" s="436">
        <f>AL224/VPI!R224</f>
        <v>0</v>
      </c>
      <c r="AN224" s="8"/>
      <c r="AO224" s="269"/>
      <c r="AP224" s="522">
        <v>21.729278245401929</v>
      </c>
      <c r="AR224" s="539">
        <v>0</v>
      </c>
    </row>
    <row r="225" spans="1:47" x14ac:dyDescent="0.25">
      <c r="A225" s="190">
        <v>5764</v>
      </c>
      <c r="B225" s="440" t="s">
        <v>285</v>
      </c>
      <c r="C225" s="528">
        <v>4564984.3499999996</v>
      </c>
      <c r="D225" s="528">
        <v>506663.65</v>
      </c>
      <c r="E225" s="528"/>
      <c r="F225" s="529"/>
      <c r="G225" s="528">
        <v>177646.15</v>
      </c>
      <c r="H225" s="528">
        <v>54263</v>
      </c>
      <c r="I225" s="528"/>
      <c r="J225" s="528">
        <v>260379.88</v>
      </c>
      <c r="K225" s="528">
        <v>37379.1</v>
      </c>
      <c r="L225" s="528">
        <v>515595.35</v>
      </c>
      <c r="M225" s="491">
        <f t="shared" si="12"/>
        <v>6116911.4799999995</v>
      </c>
      <c r="N225" s="241">
        <v>2438828.15</v>
      </c>
      <c r="O225" s="241">
        <v>8517</v>
      </c>
      <c r="P225" s="241">
        <v>339945.55</v>
      </c>
      <c r="Q225" s="241">
        <v>105396.26</v>
      </c>
      <c r="R225" s="241">
        <v>303427.84999999998</v>
      </c>
      <c r="S225" s="528">
        <v>24235.7</v>
      </c>
      <c r="T225" s="491">
        <f t="shared" si="13"/>
        <v>9337261.9899999984</v>
      </c>
      <c r="U225" s="237">
        <v>-260287.12</v>
      </c>
      <c r="V225" s="241"/>
      <c r="W225" s="241">
        <v>-482.6</v>
      </c>
      <c r="X225" s="533">
        <v>71.5</v>
      </c>
      <c r="Y225" s="536">
        <v>1</v>
      </c>
      <c r="Z225" s="213">
        <v>3990</v>
      </c>
      <c r="AA225" s="265"/>
      <c r="AB225" s="235"/>
      <c r="AC225" s="436">
        <f>AB225/VPI!R225</f>
        <v>0</v>
      </c>
      <c r="AD225" s="438">
        <f t="shared" si="14"/>
        <v>0</v>
      </c>
      <c r="AE225" s="436">
        <f>AD225/VPI!R225</f>
        <v>0</v>
      </c>
      <c r="AF225" s="235"/>
      <c r="AG225" s="235"/>
      <c r="AH225" s="235"/>
      <c r="AI225" s="269"/>
      <c r="AJ225" s="8"/>
      <c r="AK225" s="436">
        <f>AJ225/VPI!R225</f>
        <v>0</v>
      </c>
      <c r="AL225" s="438">
        <f t="shared" si="15"/>
        <v>0</v>
      </c>
      <c r="AM225" s="436">
        <f>AL225/VPI!R225</f>
        <v>0</v>
      </c>
      <c r="AN225" s="8"/>
      <c r="AO225" s="269"/>
      <c r="AP225" s="522">
        <v>-10.408585820193373</v>
      </c>
      <c r="AR225" s="539">
        <v>0</v>
      </c>
    </row>
    <row r="226" spans="1:47" x14ac:dyDescent="0.25">
      <c r="A226" s="190">
        <v>5765</v>
      </c>
      <c r="B226" s="440" t="s">
        <v>286</v>
      </c>
      <c r="C226" s="528">
        <v>607447.26</v>
      </c>
      <c r="D226" s="528">
        <v>79603.59</v>
      </c>
      <c r="E226" s="528"/>
      <c r="F226" s="529"/>
      <c r="G226" s="528">
        <v>21063.55</v>
      </c>
      <c r="H226" s="528">
        <v>248.85</v>
      </c>
      <c r="I226" s="528"/>
      <c r="J226" s="528">
        <v>20240.09</v>
      </c>
      <c r="K226" s="528"/>
      <c r="L226" s="528">
        <v>33523.9</v>
      </c>
      <c r="M226" s="491">
        <f t="shared" si="12"/>
        <v>762127.24</v>
      </c>
      <c r="N226" s="241">
        <v>28577.200000000001</v>
      </c>
      <c r="O226" s="241">
        <v>2458.6999999999998</v>
      </c>
      <c r="P226" s="241">
        <v>412.5</v>
      </c>
      <c r="Q226" s="241">
        <v>1242.99</v>
      </c>
      <c r="R226" s="241">
        <v>10962.15</v>
      </c>
      <c r="S226" s="528">
        <v>2227.2600000000002</v>
      </c>
      <c r="T226" s="491">
        <f t="shared" si="13"/>
        <v>808008.03999999992</v>
      </c>
      <c r="U226" s="237">
        <v>-19249.3</v>
      </c>
      <c r="V226" s="241"/>
      <c r="W226" s="241">
        <v>0</v>
      </c>
      <c r="X226" s="533">
        <v>81</v>
      </c>
      <c r="Y226" s="536">
        <v>0.5</v>
      </c>
      <c r="Z226" s="213">
        <v>483</v>
      </c>
      <c r="AA226" s="265"/>
      <c r="AB226" s="235"/>
      <c r="AC226" s="436">
        <f>AB226/VPI!R226</f>
        <v>0</v>
      </c>
      <c r="AD226" s="438">
        <f t="shared" si="14"/>
        <v>0</v>
      </c>
      <c r="AE226" s="436">
        <f>AD226/VPI!R226</f>
        <v>0</v>
      </c>
      <c r="AF226" s="235"/>
      <c r="AG226" s="235"/>
      <c r="AH226" s="235"/>
      <c r="AI226" s="269"/>
      <c r="AJ226" s="8"/>
      <c r="AK226" s="436">
        <f>AJ226/VPI!R226</f>
        <v>0</v>
      </c>
      <c r="AL226" s="438">
        <f t="shared" si="15"/>
        <v>0</v>
      </c>
      <c r="AM226" s="436">
        <f>AL226/VPI!R226</f>
        <v>0</v>
      </c>
      <c r="AN226" s="8"/>
      <c r="AO226" s="269"/>
      <c r="AP226" s="522">
        <v>-9.6043755098594907</v>
      </c>
      <c r="AR226" s="539">
        <v>0</v>
      </c>
    </row>
    <row r="227" spans="1:47" x14ac:dyDescent="0.25">
      <c r="A227" s="190">
        <v>5766</v>
      </c>
      <c r="B227" s="440" t="s">
        <v>287</v>
      </c>
      <c r="C227" s="528">
        <v>886709.66</v>
      </c>
      <c r="D227" s="528">
        <v>111155.67</v>
      </c>
      <c r="E227" s="528"/>
      <c r="F227" s="529">
        <v>3670</v>
      </c>
      <c r="G227" s="528">
        <v>51759.25</v>
      </c>
      <c r="H227" s="528">
        <v>1892.05</v>
      </c>
      <c r="I227" s="528"/>
      <c r="J227" s="528">
        <v>29025.47</v>
      </c>
      <c r="K227" s="528">
        <v>-11427.7</v>
      </c>
      <c r="L227" s="528">
        <v>65669.7</v>
      </c>
      <c r="M227" s="491">
        <f t="shared" si="12"/>
        <v>1138454.1000000001</v>
      </c>
      <c r="N227" s="241">
        <v>34762.300000000003</v>
      </c>
      <c r="O227" s="241"/>
      <c r="P227" s="241">
        <v>160536.54999999999</v>
      </c>
      <c r="Q227" s="241">
        <v>2160.98</v>
      </c>
      <c r="R227" s="241">
        <v>9145.2000000000007</v>
      </c>
      <c r="S227" s="528">
        <v>5606.84</v>
      </c>
      <c r="T227" s="491">
        <f t="shared" si="13"/>
        <v>1350665.9700000002</v>
      </c>
      <c r="U227" s="237">
        <v>-17642.419999999998</v>
      </c>
      <c r="V227" s="241"/>
      <c r="W227" s="241">
        <v>-16.63</v>
      </c>
      <c r="X227" s="533">
        <v>75</v>
      </c>
      <c r="Y227" s="536">
        <v>0.7</v>
      </c>
      <c r="Z227" s="213">
        <v>592</v>
      </c>
      <c r="AA227" s="265"/>
      <c r="AB227" s="235"/>
      <c r="AC227" s="436">
        <f>AB227/VPI!R227</f>
        <v>0</v>
      </c>
      <c r="AD227" s="438">
        <f t="shared" si="14"/>
        <v>0</v>
      </c>
      <c r="AE227" s="436">
        <f>AD227/VPI!R227</f>
        <v>0</v>
      </c>
      <c r="AF227" s="235"/>
      <c r="AG227" s="235"/>
      <c r="AH227" s="235"/>
      <c r="AI227" s="269"/>
      <c r="AJ227" s="8"/>
      <c r="AK227" s="436">
        <f>AJ227/VPI!R227</f>
        <v>0</v>
      </c>
      <c r="AL227" s="438">
        <f t="shared" si="15"/>
        <v>0</v>
      </c>
      <c r="AM227" s="436">
        <f>AL227/VPI!R227</f>
        <v>0</v>
      </c>
      <c r="AN227" s="8"/>
      <c r="AO227" s="269"/>
      <c r="AP227" s="522">
        <v>7.2711864730717792</v>
      </c>
      <c r="AR227" s="539">
        <v>0</v>
      </c>
    </row>
    <row r="228" spans="1:47" x14ac:dyDescent="0.25">
      <c r="A228" s="190">
        <v>5785</v>
      </c>
      <c r="B228" s="440" t="s">
        <v>239</v>
      </c>
      <c r="C228" s="528">
        <v>886890.73</v>
      </c>
      <c r="D228" s="528">
        <v>190343.15</v>
      </c>
      <c r="E228" s="528"/>
      <c r="F228" s="529"/>
      <c r="G228" s="528">
        <v>13429.35</v>
      </c>
      <c r="H228" s="528">
        <v>1464.5</v>
      </c>
      <c r="I228" s="528"/>
      <c r="J228" s="528">
        <v>26475.4</v>
      </c>
      <c r="K228" s="528">
        <v>989.6</v>
      </c>
      <c r="L228" s="528">
        <v>79253.75</v>
      </c>
      <c r="M228" s="491">
        <f t="shared" si="12"/>
        <v>1198846.48</v>
      </c>
      <c r="N228" s="241">
        <v>0</v>
      </c>
      <c r="O228" s="241">
        <v>13060.6</v>
      </c>
      <c r="P228" s="241">
        <v>16115</v>
      </c>
      <c r="Q228" s="241">
        <v>0</v>
      </c>
      <c r="R228" s="241">
        <v>7116.65</v>
      </c>
      <c r="S228" s="528">
        <v>1556.48</v>
      </c>
      <c r="T228" s="491">
        <f t="shared" si="13"/>
        <v>1236695.21</v>
      </c>
      <c r="U228" s="237">
        <v>-38928.74</v>
      </c>
      <c r="V228" s="241"/>
      <c r="W228" s="241">
        <v>-1826.55</v>
      </c>
      <c r="X228" s="533">
        <v>75</v>
      </c>
      <c r="Y228" s="536">
        <v>1</v>
      </c>
      <c r="Z228" s="213">
        <v>484</v>
      </c>
      <c r="AA228" s="265"/>
      <c r="AB228" s="235"/>
      <c r="AC228" s="436">
        <f>AB228/VPI!R228</f>
        <v>0</v>
      </c>
      <c r="AD228" s="438">
        <f t="shared" si="14"/>
        <v>0</v>
      </c>
      <c r="AE228" s="436">
        <f>AD228/VPI!R228</f>
        <v>0</v>
      </c>
      <c r="AF228" s="235"/>
      <c r="AG228" s="235"/>
      <c r="AH228" s="235"/>
      <c r="AI228" s="269"/>
      <c r="AJ228" s="8"/>
      <c r="AK228" s="436">
        <f>AJ228/VPI!R228</f>
        <v>0</v>
      </c>
      <c r="AL228" s="438">
        <f t="shared" si="15"/>
        <v>0</v>
      </c>
      <c r="AM228" s="436">
        <f>AL228/VPI!R228</f>
        <v>0</v>
      </c>
      <c r="AN228" s="8"/>
      <c r="AO228" s="269"/>
      <c r="AP228" s="522">
        <v>11.916290729056737</v>
      </c>
      <c r="AR228" s="539">
        <v>0</v>
      </c>
    </row>
    <row r="229" spans="1:47" x14ac:dyDescent="0.25">
      <c r="A229" s="190">
        <v>5790</v>
      </c>
      <c r="B229" s="440" t="s">
        <v>240</v>
      </c>
      <c r="C229" s="528">
        <v>916041.75</v>
      </c>
      <c r="D229" s="528">
        <v>137997.01</v>
      </c>
      <c r="E229" s="528"/>
      <c r="F229" s="529"/>
      <c r="G229" s="528">
        <v>31051.65</v>
      </c>
      <c r="H229" s="528">
        <v>310</v>
      </c>
      <c r="I229" s="528"/>
      <c r="J229" s="528">
        <v>32004.46</v>
      </c>
      <c r="K229" s="528">
        <v>923.6</v>
      </c>
      <c r="L229" s="528">
        <v>98334.7</v>
      </c>
      <c r="M229" s="491">
        <f t="shared" si="12"/>
        <v>1216663.17</v>
      </c>
      <c r="N229" s="241">
        <v>8883.9500000000007</v>
      </c>
      <c r="O229" s="241"/>
      <c r="P229" s="241">
        <v>20852.2</v>
      </c>
      <c r="Q229" s="241">
        <v>2840.85</v>
      </c>
      <c r="R229" s="241">
        <v>202.05</v>
      </c>
      <c r="S229" s="528">
        <v>3277.45</v>
      </c>
      <c r="T229" s="491">
        <f t="shared" si="13"/>
        <v>1252719.67</v>
      </c>
      <c r="U229" s="237">
        <v>-5158.51</v>
      </c>
      <c r="V229" s="241"/>
      <c r="W229" s="241">
        <v>-1283.99</v>
      </c>
      <c r="X229" s="533">
        <v>74.5</v>
      </c>
      <c r="Y229" s="536">
        <v>1</v>
      </c>
      <c r="Z229" s="213">
        <v>544</v>
      </c>
      <c r="AA229" s="265"/>
      <c r="AB229" s="235"/>
      <c r="AC229" s="436">
        <f>AB229/VPI!R229</f>
        <v>0</v>
      </c>
      <c r="AD229" s="438">
        <f t="shared" si="14"/>
        <v>0</v>
      </c>
      <c r="AE229" s="436">
        <f>AD229/VPI!R229</f>
        <v>0</v>
      </c>
      <c r="AF229" s="235"/>
      <c r="AG229" s="235"/>
      <c r="AH229" s="235"/>
      <c r="AI229" s="269"/>
      <c r="AJ229" s="8"/>
      <c r="AK229" s="436">
        <f>AJ229/VPI!R229</f>
        <v>0</v>
      </c>
      <c r="AL229" s="438">
        <f t="shared" si="15"/>
        <v>0</v>
      </c>
      <c r="AM229" s="436">
        <f>AL229/VPI!R229</f>
        <v>0</v>
      </c>
      <c r="AN229" s="8"/>
      <c r="AO229" s="269"/>
      <c r="AP229" s="522">
        <v>9.8484141944074928</v>
      </c>
      <c r="AR229" s="539">
        <v>0</v>
      </c>
    </row>
    <row r="230" spans="1:47" x14ac:dyDescent="0.25">
      <c r="A230" s="190">
        <v>5792</v>
      </c>
      <c r="B230" s="440" t="s">
        <v>241</v>
      </c>
      <c r="C230" s="528">
        <v>1179149.6000000001</v>
      </c>
      <c r="D230" s="528">
        <v>146104.5</v>
      </c>
      <c r="E230" s="528"/>
      <c r="F230" s="529"/>
      <c r="G230" s="528">
        <v>10169.65</v>
      </c>
      <c r="H230" s="528">
        <v>3406.7</v>
      </c>
      <c r="I230" s="528"/>
      <c r="J230" s="528">
        <v>4966.45</v>
      </c>
      <c r="K230" s="528">
        <v>3467.5</v>
      </c>
      <c r="L230" s="528">
        <v>123761.9</v>
      </c>
      <c r="M230" s="491">
        <f t="shared" si="12"/>
        <v>1471026.2999999998</v>
      </c>
      <c r="N230" s="241">
        <v>0</v>
      </c>
      <c r="O230" s="241">
        <v>461.8</v>
      </c>
      <c r="P230" s="241">
        <v>35200</v>
      </c>
      <c r="Q230" s="241">
        <v>6827.94</v>
      </c>
      <c r="R230" s="241">
        <v>3383.6</v>
      </c>
      <c r="S230" s="528">
        <v>1418.8</v>
      </c>
      <c r="T230" s="491">
        <f t="shared" si="13"/>
        <v>1518318.44</v>
      </c>
      <c r="U230" s="237">
        <v>-17354.32</v>
      </c>
      <c r="V230" s="241"/>
      <c r="W230" s="241">
        <v>0</v>
      </c>
      <c r="X230" s="533">
        <v>75.5</v>
      </c>
      <c r="Y230" s="536">
        <v>1</v>
      </c>
      <c r="Z230" s="213">
        <v>662</v>
      </c>
      <c r="AA230" s="265"/>
      <c r="AB230" s="235"/>
      <c r="AC230" s="436">
        <f>AB230/VPI!R230</f>
        <v>0</v>
      </c>
      <c r="AD230" s="438">
        <f t="shared" si="14"/>
        <v>0</v>
      </c>
      <c r="AE230" s="436">
        <f>AD230/VPI!R230</f>
        <v>0</v>
      </c>
      <c r="AF230" s="235"/>
      <c r="AG230" s="235"/>
      <c r="AH230" s="235"/>
      <c r="AI230" s="269"/>
      <c r="AJ230" s="8"/>
      <c r="AK230" s="436">
        <f>AJ230/VPI!R230</f>
        <v>0</v>
      </c>
      <c r="AL230" s="438">
        <f t="shared" si="15"/>
        <v>0</v>
      </c>
      <c r="AM230" s="436">
        <f>AL230/VPI!R230</f>
        <v>0</v>
      </c>
      <c r="AN230" s="8"/>
      <c r="AO230" s="269"/>
      <c r="AP230" s="522">
        <v>13.317909050337219</v>
      </c>
      <c r="AR230" s="539">
        <v>0</v>
      </c>
    </row>
    <row r="231" spans="1:47" x14ac:dyDescent="0.25">
      <c r="A231" s="190">
        <v>5798</v>
      </c>
      <c r="B231" s="440" t="s">
        <v>242</v>
      </c>
      <c r="C231" s="528">
        <v>1006521.36</v>
      </c>
      <c r="D231" s="528">
        <v>143547.66</v>
      </c>
      <c r="E231" s="528"/>
      <c r="F231" s="529"/>
      <c r="G231" s="528">
        <v>19528.900000000001</v>
      </c>
      <c r="H231" s="528">
        <v>2949.4</v>
      </c>
      <c r="I231" s="528"/>
      <c r="J231" s="528">
        <v>13253.26</v>
      </c>
      <c r="K231" s="528">
        <v>6916.55</v>
      </c>
      <c r="L231" s="528">
        <v>98809.5</v>
      </c>
      <c r="M231" s="491">
        <f t="shared" si="12"/>
        <v>1291526.6299999999</v>
      </c>
      <c r="N231" s="241">
        <v>23607.15</v>
      </c>
      <c r="O231" s="241">
        <v>1320</v>
      </c>
      <c r="P231" s="241">
        <v>14531.7</v>
      </c>
      <c r="Q231" s="241">
        <v>3880.81</v>
      </c>
      <c r="R231" s="241">
        <v>46485.9</v>
      </c>
      <c r="S231" s="528">
        <v>2349.1</v>
      </c>
      <c r="T231" s="491">
        <f t="shared" si="13"/>
        <v>1383701.2899999998</v>
      </c>
      <c r="U231" s="237">
        <v>-11912.48</v>
      </c>
      <c r="V231" s="241">
        <v>-29696.85</v>
      </c>
      <c r="W231" s="241">
        <v>0</v>
      </c>
      <c r="X231" s="533">
        <v>77.5</v>
      </c>
      <c r="Y231" s="536">
        <v>1</v>
      </c>
      <c r="Z231" s="213">
        <v>529</v>
      </c>
      <c r="AA231" s="265"/>
      <c r="AB231" s="235"/>
      <c r="AC231" s="436">
        <f>AB231/VPI!R231</f>
        <v>0</v>
      </c>
      <c r="AD231" s="438">
        <f t="shared" si="14"/>
        <v>0</v>
      </c>
      <c r="AE231" s="436">
        <f>AD231/VPI!R231</f>
        <v>0</v>
      </c>
      <c r="AF231" s="235"/>
      <c r="AG231" s="235"/>
      <c r="AH231" s="235"/>
      <c r="AI231" s="269"/>
      <c r="AJ231" s="8"/>
      <c r="AK231" s="436">
        <f>AJ231/VPI!R231</f>
        <v>0</v>
      </c>
      <c r="AL231" s="438">
        <f t="shared" si="15"/>
        <v>0</v>
      </c>
      <c r="AM231" s="436">
        <f>AL231/VPI!R231</f>
        <v>0</v>
      </c>
      <c r="AN231" s="8"/>
      <c r="AO231" s="269"/>
      <c r="AP231" s="522">
        <v>15.488637686586149</v>
      </c>
      <c r="AR231" s="539">
        <v>0</v>
      </c>
    </row>
    <row r="232" spans="1:47" x14ac:dyDescent="0.25">
      <c r="A232" s="190">
        <v>5799</v>
      </c>
      <c r="B232" s="440" t="s">
        <v>243</v>
      </c>
      <c r="C232" s="528">
        <v>3983348.59</v>
      </c>
      <c r="D232" s="528">
        <v>520080</v>
      </c>
      <c r="E232" s="528"/>
      <c r="F232" s="529"/>
      <c r="G232" s="528">
        <v>52319.15</v>
      </c>
      <c r="H232" s="528">
        <v>3385.1</v>
      </c>
      <c r="I232" s="528"/>
      <c r="J232" s="528">
        <v>58215.24</v>
      </c>
      <c r="K232" s="528">
        <v>11166.75</v>
      </c>
      <c r="L232" s="528">
        <v>439494.7</v>
      </c>
      <c r="M232" s="491">
        <f t="shared" si="12"/>
        <v>5068009.53</v>
      </c>
      <c r="N232" s="241">
        <v>35318.199999999997</v>
      </c>
      <c r="O232" s="241">
        <v>351741.3</v>
      </c>
      <c r="P232" s="241">
        <v>248265.60000000001</v>
      </c>
      <c r="Q232" s="241">
        <v>4516.9399999999996</v>
      </c>
      <c r="R232" s="241">
        <v>223274.4</v>
      </c>
      <c r="S232" s="528">
        <v>5821.38</v>
      </c>
      <c r="T232" s="491">
        <f t="shared" si="13"/>
        <v>5936947.3500000006</v>
      </c>
      <c r="U232" s="237">
        <v>-29334.799999999999</v>
      </c>
      <c r="V232" s="241"/>
      <c r="W232" s="241">
        <v>-233.5</v>
      </c>
      <c r="X232" s="533">
        <v>69</v>
      </c>
      <c r="Y232" s="536">
        <v>1</v>
      </c>
      <c r="Z232" s="213">
        <v>2138</v>
      </c>
      <c r="AA232" s="265"/>
      <c r="AB232" s="235"/>
      <c r="AC232" s="436">
        <f>AB232/VPI!R232</f>
        <v>0</v>
      </c>
      <c r="AD232" s="438">
        <f t="shared" si="14"/>
        <v>0</v>
      </c>
      <c r="AE232" s="436">
        <f>AD232/VPI!R232</f>
        <v>0</v>
      </c>
      <c r="AF232" s="235"/>
      <c r="AG232" s="235"/>
      <c r="AH232" s="235"/>
      <c r="AI232" s="269"/>
      <c r="AJ232" s="8"/>
      <c r="AK232" s="436">
        <f>AJ232/VPI!R232</f>
        <v>0</v>
      </c>
      <c r="AL232" s="438">
        <f t="shared" si="15"/>
        <v>0</v>
      </c>
      <c r="AM232" s="436">
        <f>AL232/VPI!R232</f>
        <v>0</v>
      </c>
      <c r="AN232" s="8"/>
      <c r="AO232" s="269"/>
      <c r="AP232" s="522">
        <v>15.715541187125192</v>
      </c>
      <c r="AR232" s="539">
        <v>0</v>
      </c>
    </row>
    <row r="233" spans="1:47" x14ac:dyDescent="0.25">
      <c r="A233" s="190">
        <v>5803</v>
      </c>
      <c r="B233" s="440" t="s">
        <v>314</v>
      </c>
      <c r="C233" s="528">
        <v>977790.53</v>
      </c>
      <c r="D233" s="528">
        <v>129383.97</v>
      </c>
      <c r="E233" s="528"/>
      <c r="F233" s="529"/>
      <c r="G233" s="528">
        <v>5822.5</v>
      </c>
      <c r="H233" s="528">
        <v>754.9</v>
      </c>
      <c r="I233" s="528"/>
      <c r="J233" s="528">
        <v>25407.47</v>
      </c>
      <c r="K233" s="528"/>
      <c r="L233" s="528">
        <v>111048.45</v>
      </c>
      <c r="M233" s="491">
        <f t="shared" si="12"/>
        <v>1250207.8199999998</v>
      </c>
      <c r="N233" s="241">
        <v>1523.85</v>
      </c>
      <c r="O233" s="241">
        <v>112264.8</v>
      </c>
      <c r="P233" s="241">
        <v>15440.25</v>
      </c>
      <c r="Q233" s="241">
        <v>-336.85</v>
      </c>
      <c r="R233" s="241">
        <v>7576.4</v>
      </c>
      <c r="S233" s="528">
        <v>687.37</v>
      </c>
      <c r="T233" s="491">
        <f t="shared" si="13"/>
        <v>1387363.64</v>
      </c>
      <c r="U233" s="237">
        <v>-23277.01</v>
      </c>
      <c r="V233" s="241"/>
      <c r="W233" s="241">
        <v>-540.85</v>
      </c>
      <c r="X233" s="533">
        <v>74</v>
      </c>
      <c r="Y233" s="536">
        <v>1</v>
      </c>
      <c r="Z233" s="213">
        <v>632</v>
      </c>
      <c r="AA233" s="265"/>
      <c r="AB233" s="235"/>
      <c r="AC233" s="436">
        <f>AB233/VPI!R233</f>
        <v>0</v>
      </c>
      <c r="AD233" s="438">
        <f t="shared" si="14"/>
        <v>0</v>
      </c>
      <c r="AE233" s="436">
        <f>AD233/VPI!R233</f>
        <v>0</v>
      </c>
      <c r="AF233" s="235"/>
      <c r="AG233" s="235"/>
      <c r="AH233" s="235"/>
      <c r="AI233" s="269"/>
      <c r="AJ233" s="8"/>
      <c r="AK233" s="436">
        <f>AJ233/VPI!R233</f>
        <v>0</v>
      </c>
      <c r="AL233" s="438">
        <f t="shared" si="15"/>
        <v>0</v>
      </c>
      <c r="AM233" s="436">
        <f>AL233/VPI!R233</f>
        <v>0</v>
      </c>
      <c r="AN233" s="8"/>
      <c r="AO233" s="269"/>
      <c r="AP233" s="522">
        <v>10.405914266366604</v>
      </c>
      <c r="AR233" s="539">
        <v>0</v>
      </c>
    </row>
    <row r="234" spans="1:47" x14ac:dyDescent="0.25">
      <c r="A234" s="190">
        <v>5804</v>
      </c>
      <c r="B234" s="440" t="s">
        <v>347</v>
      </c>
      <c r="C234" s="528">
        <v>2537631.9300000002</v>
      </c>
      <c r="D234" s="528">
        <v>344855.25</v>
      </c>
      <c r="E234" s="528"/>
      <c r="F234" s="529"/>
      <c r="G234" s="528">
        <v>19246.3</v>
      </c>
      <c r="H234" s="528">
        <v>718.95</v>
      </c>
      <c r="I234" s="528"/>
      <c r="J234" s="528">
        <v>45799.15</v>
      </c>
      <c r="K234" s="528">
        <v>3988.3</v>
      </c>
      <c r="L234" s="528">
        <v>281979.34999999998</v>
      </c>
      <c r="M234" s="491">
        <f t="shared" si="12"/>
        <v>3234219.23</v>
      </c>
      <c r="N234" s="241">
        <v>14036.3</v>
      </c>
      <c r="O234" s="241">
        <v>11126.8</v>
      </c>
      <c r="P234" s="241">
        <v>130076.3</v>
      </c>
      <c r="Q234" s="241">
        <v>3920.01</v>
      </c>
      <c r="R234" s="241">
        <v>58763.35</v>
      </c>
      <c r="S234" s="528">
        <v>2086.4699999999998</v>
      </c>
      <c r="T234" s="491">
        <f t="shared" si="13"/>
        <v>3454228.4599999995</v>
      </c>
      <c r="U234" s="237">
        <v>-57096.959999999999</v>
      </c>
      <c r="V234" s="241"/>
      <c r="W234" s="241">
        <v>-1791.86</v>
      </c>
      <c r="X234" s="533">
        <v>70.5</v>
      </c>
      <c r="Y234" s="536">
        <v>1</v>
      </c>
      <c r="Z234" s="213">
        <v>1565</v>
      </c>
      <c r="AA234" s="265"/>
      <c r="AB234" s="235"/>
      <c r="AC234" s="436">
        <f>AB234/VPI!R234</f>
        <v>0</v>
      </c>
      <c r="AD234" s="438">
        <f t="shared" si="14"/>
        <v>0</v>
      </c>
      <c r="AE234" s="436">
        <f>AD234/VPI!R234</f>
        <v>0</v>
      </c>
      <c r="AF234" s="235"/>
      <c r="AG234" s="235"/>
      <c r="AH234" s="235"/>
      <c r="AI234" s="269"/>
      <c r="AJ234" s="8"/>
      <c r="AK234" s="436">
        <f>AJ234/VPI!R234</f>
        <v>0</v>
      </c>
      <c r="AL234" s="438">
        <f t="shared" si="15"/>
        <v>0</v>
      </c>
      <c r="AM234" s="436">
        <f>AL234/VPI!R234</f>
        <v>0</v>
      </c>
      <c r="AN234" s="8"/>
      <c r="AO234" s="269"/>
      <c r="AP234" s="522">
        <v>10.681123475194399</v>
      </c>
      <c r="AR234" s="539">
        <v>0</v>
      </c>
    </row>
    <row r="235" spans="1:47" s="237" customFormat="1" x14ac:dyDescent="0.25">
      <c r="A235" s="190">
        <v>5805</v>
      </c>
      <c r="B235" s="440" t="s">
        <v>349</v>
      </c>
      <c r="C235" s="528">
        <v>8984314.5099999998</v>
      </c>
      <c r="D235" s="528">
        <v>1221248.8600000001</v>
      </c>
      <c r="E235" s="528"/>
      <c r="F235" s="528"/>
      <c r="G235" s="528">
        <v>423963.2</v>
      </c>
      <c r="H235" s="528">
        <v>56806.25</v>
      </c>
      <c r="I235" s="528">
        <v>74370.649999999994</v>
      </c>
      <c r="J235" s="528">
        <v>203413.32</v>
      </c>
      <c r="K235" s="528">
        <v>64003.6</v>
      </c>
      <c r="L235" s="528">
        <v>1174988.7</v>
      </c>
      <c r="M235" s="491">
        <f t="shared" si="12"/>
        <v>12203109.089999998</v>
      </c>
      <c r="N235" s="528">
        <v>146218.9</v>
      </c>
      <c r="O235" s="528">
        <v>79895.5</v>
      </c>
      <c r="P235" s="528">
        <v>406511.9</v>
      </c>
      <c r="Q235" s="528">
        <v>18132.93</v>
      </c>
      <c r="R235" s="528">
        <v>420023.15</v>
      </c>
      <c r="S235" s="528">
        <v>50242.879999999997</v>
      </c>
      <c r="T235" s="491">
        <f t="shared" si="13"/>
        <v>13324134.35</v>
      </c>
      <c r="U235" s="528">
        <v>-118672.78</v>
      </c>
      <c r="V235" s="528"/>
      <c r="W235" s="528">
        <v>-4816.6099999999997</v>
      </c>
      <c r="X235" s="528">
        <v>69</v>
      </c>
      <c r="Y235" s="528">
        <v>1.1000000000000001</v>
      </c>
      <c r="Z235" s="213">
        <v>6119</v>
      </c>
      <c r="AA235" s="528"/>
      <c r="AB235" s="552"/>
      <c r="AC235" s="436">
        <f>AB235/VPI!R235</f>
        <v>0</v>
      </c>
      <c r="AD235" s="438">
        <f t="shared" si="14"/>
        <v>0</v>
      </c>
      <c r="AE235" s="436">
        <f>AD235/VPI!R235</f>
        <v>0</v>
      </c>
      <c r="AF235" s="552"/>
      <c r="AG235" s="552"/>
      <c r="AH235" s="552"/>
      <c r="AI235" s="543"/>
      <c r="AJ235" s="528"/>
      <c r="AK235" s="436">
        <f>AJ235/VPI!R235</f>
        <v>0</v>
      </c>
      <c r="AL235" s="438">
        <f t="shared" si="15"/>
        <v>0</v>
      </c>
      <c r="AM235" s="436">
        <f>AL235/VPI!R235</f>
        <v>0</v>
      </c>
      <c r="AN235" s="8"/>
      <c r="AO235" s="543"/>
      <c r="AP235" s="522">
        <v>4.76</v>
      </c>
      <c r="AQ235" s="528"/>
      <c r="AR235" s="539">
        <v>0</v>
      </c>
      <c r="AU235" s="5"/>
    </row>
    <row r="236" spans="1:47" x14ac:dyDescent="0.25">
      <c r="A236" s="190">
        <v>5806</v>
      </c>
      <c r="B236" s="440" t="s">
        <v>374</v>
      </c>
      <c r="C236" s="528">
        <v>5975832.5899999999</v>
      </c>
      <c r="D236" s="528">
        <v>718321.18</v>
      </c>
      <c r="E236" s="528"/>
      <c r="F236" s="529"/>
      <c r="G236" s="528">
        <v>99147.9</v>
      </c>
      <c r="H236" s="528">
        <v>6418.35</v>
      </c>
      <c r="I236" s="528">
        <v>53357.25</v>
      </c>
      <c r="J236" s="528">
        <v>100414.72</v>
      </c>
      <c r="K236" s="528">
        <v>25727.55</v>
      </c>
      <c r="L236" s="528">
        <v>578527.15</v>
      </c>
      <c r="M236" s="491">
        <f t="shared" si="12"/>
        <v>7557746.6899999995</v>
      </c>
      <c r="N236" s="241">
        <v>34602.65</v>
      </c>
      <c r="O236" s="241">
        <v>112064.7</v>
      </c>
      <c r="P236" s="241">
        <v>248123.25</v>
      </c>
      <c r="Q236" s="241">
        <v>2128.75</v>
      </c>
      <c r="R236" s="241">
        <v>362969.35</v>
      </c>
      <c r="S236" s="528">
        <v>11032.22</v>
      </c>
      <c r="T236" s="491">
        <f t="shared" si="13"/>
        <v>8328667.6099999994</v>
      </c>
      <c r="U236" s="237">
        <v>-53150.83</v>
      </c>
      <c r="V236" s="241"/>
      <c r="W236" s="241">
        <v>-372.8</v>
      </c>
      <c r="X236" s="533">
        <v>73</v>
      </c>
      <c r="Y236" s="536">
        <v>1</v>
      </c>
      <c r="Z236" s="213">
        <v>3110</v>
      </c>
      <c r="AA236" s="265"/>
      <c r="AB236" s="235"/>
      <c r="AC236" s="436">
        <f>AB236/VPI!R236</f>
        <v>0</v>
      </c>
      <c r="AD236" s="438">
        <f t="shared" si="14"/>
        <v>0</v>
      </c>
      <c r="AE236" s="436">
        <f>AD236/VPI!R236</f>
        <v>0</v>
      </c>
      <c r="AF236" s="235"/>
      <c r="AG236" s="235"/>
      <c r="AH236" s="235"/>
      <c r="AI236" s="269"/>
      <c r="AJ236" s="8"/>
      <c r="AK236" s="436">
        <f>AJ236/VPI!R236</f>
        <v>0</v>
      </c>
      <c r="AL236" s="438">
        <f t="shared" si="15"/>
        <v>0</v>
      </c>
      <c r="AM236" s="436">
        <f>AL236/VPI!R236</f>
        <v>0</v>
      </c>
      <c r="AN236" s="8"/>
      <c r="AO236" s="269"/>
      <c r="AP236" s="522">
        <v>12.37818528868133</v>
      </c>
      <c r="AR236" s="539">
        <v>0</v>
      </c>
    </row>
    <row r="237" spans="1:47" x14ac:dyDescent="0.25">
      <c r="A237" s="190">
        <v>5812</v>
      </c>
      <c r="B237" s="440" t="s">
        <v>315</v>
      </c>
      <c r="C237" s="528">
        <v>225989.22</v>
      </c>
      <c r="D237" s="528">
        <v>26768.09</v>
      </c>
      <c r="E237" s="528"/>
      <c r="F237" s="529"/>
      <c r="G237" s="528">
        <v>1354.65</v>
      </c>
      <c r="H237" s="528">
        <v>413.55</v>
      </c>
      <c r="I237" s="528"/>
      <c r="J237" s="528">
        <v>3612.06</v>
      </c>
      <c r="K237" s="528">
        <v>490.75</v>
      </c>
      <c r="L237" s="528">
        <v>14994.2</v>
      </c>
      <c r="M237" s="491">
        <f t="shared" si="12"/>
        <v>273622.51999999996</v>
      </c>
      <c r="N237" s="241">
        <v>0</v>
      </c>
      <c r="O237" s="241">
        <v>2178</v>
      </c>
      <c r="P237" s="241">
        <v>13310</v>
      </c>
      <c r="Q237" s="241"/>
      <c r="R237" s="241">
        <v>30753.7</v>
      </c>
      <c r="S237" s="528">
        <v>184.79</v>
      </c>
      <c r="T237" s="491">
        <f t="shared" si="13"/>
        <v>320049.00999999995</v>
      </c>
      <c r="U237" s="237">
        <v>-71.84</v>
      </c>
      <c r="V237" s="241"/>
      <c r="W237" s="241">
        <v>-59.45</v>
      </c>
      <c r="X237" s="533">
        <v>77</v>
      </c>
      <c r="Y237" s="536">
        <v>0.8</v>
      </c>
      <c r="Z237" s="213">
        <v>169</v>
      </c>
      <c r="AA237" s="265"/>
      <c r="AB237" s="235"/>
      <c r="AC237" s="436">
        <f>AB237/VPI!R237</f>
        <v>0</v>
      </c>
      <c r="AD237" s="438">
        <f t="shared" si="14"/>
        <v>0</v>
      </c>
      <c r="AE237" s="436">
        <f>AD237/VPI!R237</f>
        <v>0</v>
      </c>
      <c r="AF237" s="235"/>
      <c r="AG237" s="235"/>
      <c r="AH237" s="235"/>
      <c r="AI237" s="269"/>
      <c r="AJ237" s="8"/>
      <c r="AK237" s="436">
        <f>AJ237/VPI!R237</f>
        <v>0</v>
      </c>
      <c r="AL237" s="438">
        <f t="shared" si="15"/>
        <v>0</v>
      </c>
      <c r="AM237" s="436">
        <f>AL237/VPI!R237</f>
        <v>0</v>
      </c>
      <c r="AN237" s="8"/>
      <c r="AO237" s="269"/>
      <c r="AP237" s="522">
        <v>-9.5838895694061215</v>
      </c>
      <c r="AR237" s="539">
        <v>0</v>
      </c>
    </row>
    <row r="238" spans="1:47" x14ac:dyDescent="0.25">
      <c r="A238" s="190">
        <v>5813</v>
      </c>
      <c r="B238" s="440" t="s">
        <v>316</v>
      </c>
      <c r="C238" s="528">
        <v>885361.52</v>
      </c>
      <c r="D238" s="528">
        <v>120363.28</v>
      </c>
      <c r="E238" s="528"/>
      <c r="F238" s="529">
        <v>3290</v>
      </c>
      <c r="G238" s="528">
        <v>99666</v>
      </c>
      <c r="H238" s="528">
        <v>-118.6</v>
      </c>
      <c r="I238" s="528"/>
      <c r="J238" s="528">
        <v>10013.49</v>
      </c>
      <c r="K238" s="528"/>
      <c r="L238" s="528">
        <v>115502.2</v>
      </c>
      <c r="M238" s="491">
        <f t="shared" si="12"/>
        <v>1234077.8899999999</v>
      </c>
      <c r="N238" s="241">
        <v>0</v>
      </c>
      <c r="O238" s="241">
        <v>36.299999999999997</v>
      </c>
      <c r="P238" s="241">
        <v>76010.399999999994</v>
      </c>
      <c r="Q238" s="241">
        <v>5003.75</v>
      </c>
      <c r="R238" s="241">
        <v>87520.05</v>
      </c>
      <c r="S238" s="528">
        <v>10403.209999999999</v>
      </c>
      <c r="T238" s="491">
        <f t="shared" si="13"/>
        <v>1413051.5999999999</v>
      </c>
      <c r="U238" s="237">
        <v>-31566.49</v>
      </c>
      <c r="V238" s="241"/>
      <c r="W238" s="241">
        <v>0</v>
      </c>
      <c r="X238" s="533">
        <v>68.5</v>
      </c>
      <c r="Y238" s="536">
        <v>1.2</v>
      </c>
      <c r="Z238" s="213">
        <v>522</v>
      </c>
      <c r="AA238" s="265"/>
      <c r="AB238" s="235"/>
      <c r="AC238" s="436">
        <f>AB238/VPI!R238</f>
        <v>0</v>
      </c>
      <c r="AD238" s="438">
        <f t="shared" si="14"/>
        <v>0</v>
      </c>
      <c r="AE238" s="436">
        <f>AD238/VPI!R238</f>
        <v>0</v>
      </c>
      <c r="AF238" s="235"/>
      <c r="AG238" s="235"/>
      <c r="AH238" s="235"/>
      <c r="AI238" s="269"/>
      <c r="AJ238" s="8"/>
      <c r="AK238" s="436">
        <f>AJ238/VPI!R238</f>
        <v>0</v>
      </c>
      <c r="AL238" s="438">
        <f t="shared" si="15"/>
        <v>0</v>
      </c>
      <c r="AM238" s="436">
        <f>AL238/VPI!R238</f>
        <v>0</v>
      </c>
      <c r="AN238" s="8"/>
      <c r="AO238" s="269"/>
      <c r="AP238" s="522">
        <v>15.423649306347688</v>
      </c>
      <c r="AR238" s="539">
        <v>0</v>
      </c>
    </row>
    <row r="239" spans="1:47" x14ac:dyDescent="0.25">
      <c r="A239" s="190">
        <v>5816</v>
      </c>
      <c r="B239" s="440" t="s">
        <v>5</v>
      </c>
      <c r="C239" s="528">
        <v>3433666.84</v>
      </c>
      <c r="D239" s="528">
        <v>374255.79</v>
      </c>
      <c r="E239" s="528"/>
      <c r="F239" s="529"/>
      <c r="G239" s="528">
        <v>156734.04999999999</v>
      </c>
      <c r="H239" s="528">
        <v>14051.6</v>
      </c>
      <c r="I239" s="528"/>
      <c r="J239" s="528">
        <v>167122.35</v>
      </c>
      <c r="K239" s="528">
        <v>39104.400000000001</v>
      </c>
      <c r="L239" s="528">
        <v>287646.65000000002</v>
      </c>
      <c r="M239" s="491">
        <f t="shared" si="12"/>
        <v>4472581.68</v>
      </c>
      <c r="N239" s="241">
        <v>25586.25</v>
      </c>
      <c r="O239" s="241">
        <v>22123.9</v>
      </c>
      <c r="P239" s="241">
        <v>310702.34999999998</v>
      </c>
      <c r="Q239" s="241">
        <v>-12056.37</v>
      </c>
      <c r="R239" s="241">
        <v>83617.399999999994</v>
      </c>
      <c r="S239" s="528">
        <v>17847.98</v>
      </c>
      <c r="T239" s="491">
        <f t="shared" si="13"/>
        <v>4920403.1900000004</v>
      </c>
      <c r="U239" s="237">
        <v>-100909.65</v>
      </c>
      <c r="V239" s="241"/>
      <c r="W239" s="241">
        <v>-170.93</v>
      </c>
      <c r="X239" s="533">
        <v>68.5</v>
      </c>
      <c r="Y239" s="536">
        <v>0.7</v>
      </c>
      <c r="Z239" s="213">
        <v>2852</v>
      </c>
      <c r="AA239" s="265"/>
      <c r="AB239" s="235"/>
      <c r="AC239" s="436">
        <f>AB239/VPI!R239</f>
        <v>0</v>
      </c>
      <c r="AD239" s="438">
        <f t="shared" si="14"/>
        <v>0</v>
      </c>
      <c r="AE239" s="436">
        <f>AD239/VPI!R239</f>
        <v>0</v>
      </c>
      <c r="AF239" s="235"/>
      <c r="AG239" s="235"/>
      <c r="AH239" s="235"/>
      <c r="AI239" s="269"/>
      <c r="AJ239" s="8"/>
      <c r="AK239" s="436">
        <f>AJ239/VPI!R239</f>
        <v>0</v>
      </c>
      <c r="AL239" s="438">
        <f t="shared" si="15"/>
        <v>0</v>
      </c>
      <c r="AM239" s="436">
        <f>AL239/VPI!R239</f>
        <v>0</v>
      </c>
      <c r="AN239" s="8"/>
      <c r="AO239" s="269"/>
      <c r="AP239" s="522">
        <v>0.93090117389282034</v>
      </c>
      <c r="AR239" s="539">
        <v>0</v>
      </c>
    </row>
    <row r="240" spans="1:47" x14ac:dyDescent="0.25">
      <c r="A240" s="190">
        <v>5817</v>
      </c>
      <c r="B240" s="440" t="s">
        <v>6</v>
      </c>
      <c r="C240" s="528">
        <v>1536085.07</v>
      </c>
      <c r="D240" s="528">
        <v>164942.04</v>
      </c>
      <c r="E240" s="528"/>
      <c r="F240" s="529">
        <v>5780</v>
      </c>
      <c r="G240" s="528">
        <v>29457.599999999999</v>
      </c>
      <c r="H240" s="528">
        <v>853.15</v>
      </c>
      <c r="I240" s="528"/>
      <c r="J240" s="528">
        <v>39594.879999999997</v>
      </c>
      <c r="K240" s="528">
        <v>4344.6499999999996</v>
      </c>
      <c r="L240" s="528">
        <v>135951.20000000001</v>
      </c>
      <c r="M240" s="491">
        <f t="shared" si="12"/>
        <v>1917008.5899999999</v>
      </c>
      <c r="N240" s="241">
        <v>4888.55</v>
      </c>
      <c r="O240" s="241"/>
      <c r="P240" s="241">
        <v>76165.2</v>
      </c>
      <c r="Q240" s="241">
        <v>47850.87</v>
      </c>
      <c r="R240" s="241">
        <v>119442.5</v>
      </c>
      <c r="S240" s="528">
        <v>3167.63</v>
      </c>
      <c r="T240" s="491">
        <f t="shared" si="13"/>
        <v>2168523.34</v>
      </c>
      <c r="U240" s="237">
        <v>-63071.83</v>
      </c>
      <c r="V240" s="241"/>
      <c r="W240" s="241">
        <v>-63.3</v>
      </c>
      <c r="X240" s="533">
        <v>73.5</v>
      </c>
      <c r="Y240" s="536">
        <v>1</v>
      </c>
      <c r="Z240" s="213">
        <v>1001</v>
      </c>
      <c r="AA240" s="265"/>
      <c r="AB240" s="235"/>
      <c r="AC240" s="436">
        <f>AB240/VPI!R240</f>
        <v>0</v>
      </c>
      <c r="AD240" s="438">
        <f t="shared" si="14"/>
        <v>0</v>
      </c>
      <c r="AE240" s="436">
        <f>AD240/VPI!R240</f>
        <v>0</v>
      </c>
      <c r="AF240" s="235"/>
      <c r="AG240" s="235"/>
      <c r="AH240" s="235"/>
      <c r="AI240" s="269"/>
      <c r="AJ240" s="8"/>
      <c r="AK240" s="436">
        <f>AJ240/VPI!R240</f>
        <v>0</v>
      </c>
      <c r="AL240" s="438">
        <f t="shared" si="15"/>
        <v>0</v>
      </c>
      <c r="AM240" s="436">
        <f>AL240/VPI!R240</f>
        <v>0</v>
      </c>
      <c r="AN240" s="8"/>
      <c r="AO240" s="269"/>
      <c r="AP240" s="522">
        <v>5.5769047828215514</v>
      </c>
      <c r="AR240" s="539">
        <v>0</v>
      </c>
    </row>
    <row r="241" spans="1:44" x14ac:dyDescent="0.25">
      <c r="A241" s="190">
        <v>5819</v>
      </c>
      <c r="B241" s="440" t="s">
        <v>7</v>
      </c>
      <c r="C241" s="528">
        <v>435952.67</v>
      </c>
      <c r="D241" s="528">
        <v>160815.45000000001</v>
      </c>
      <c r="E241" s="528"/>
      <c r="F241" s="529"/>
      <c r="G241" s="528">
        <v>16448.05</v>
      </c>
      <c r="H241" s="528">
        <v>4773.8</v>
      </c>
      <c r="I241" s="528"/>
      <c r="J241" s="528">
        <v>18058.77</v>
      </c>
      <c r="K241" s="528">
        <v>2089.35</v>
      </c>
      <c r="L241" s="528">
        <v>91883.55</v>
      </c>
      <c r="M241" s="491">
        <f t="shared" si="12"/>
        <v>730021.64000000013</v>
      </c>
      <c r="N241" s="241">
        <v>5775.65</v>
      </c>
      <c r="O241" s="241"/>
      <c r="P241" s="241">
        <v>72006</v>
      </c>
      <c r="Q241" s="241">
        <v>1369.25</v>
      </c>
      <c r="R241" s="241">
        <v>106425.65</v>
      </c>
      <c r="S241" s="528">
        <v>2217.79</v>
      </c>
      <c r="T241" s="491">
        <f t="shared" si="13"/>
        <v>917815.98000000021</v>
      </c>
      <c r="U241" s="237">
        <v>-24581.52</v>
      </c>
      <c r="V241" s="241"/>
      <c r="W241" s="241">
        <v>-0.01</v>
      </c>
      <c r="X241" s="533">
        <v>69</v>
      </c>
      <c r="Y241" s="536">
        <v>1</v>
      </c>
      <c r="Z241" s="213">
        <v>414</v>
      </c>
      <c r="AA241" s="265"/>
      <c r="AB241" s="235"/>
      <c r="AC241" s="436">
        <f>AB241/VPI!R241</f>
        <v>0</v>
      </c>
      <c r="AD241" s="438">
        <f t="shared" si="14"/>
        <v>0</v>
      </c>
      <c r="AE241" s="436">
        <f>AD241/VPI!R241</f>
        <v>0</v>
      </c>
      <c r="AF241" s="235"/>
      <c r="AG241" s="235"/>
      <c r="AH241" s="235"/>
      <c r="AI241" s="269"/>
      <c r="AJ241" s="8"/>
      <c r="AK241" s="436">
        <f>AJ241/VPI!R241</f>
        <v>0</v>
      </c>
      <c r="AL241" s="438">
        <f t="shared" si="15"/>
        <v>0</v>
      </c>
      <c r="AM241" s="436">
        <f>AL241/VPI!R241</f>
        <v>0</v>
      </c>
      <c r="AN241" s="8"/>
      <c r="AO241" s="269"/>
      <c r="AP241" s="522">
        <v>7.6061940100530867</v>
      </c>
      <c r="AR241" s="539">
        <v>0</v>
      </c>
    </row>
    <row r="242" spans="1:44" x14ac:dyDescent="0.25">
      <c r="A242" s="190">
        <v>5821</v>
      </c>
      <c r="B242" s="440" t="s">
        <v>8</v>
      </c>
      <c r="C242" s="528">
        <v>462205.01</v>
      </c>
      <c r="D242" s="528">
        <v>75295.070000000007</v>
      </c>
      <c r="E242" s="528"/>
      <c r="F242" s="529">
        <v>2190</v>
      </c>
      <c r="G242" s="528">
        <v>4531.25</v>
      </c>
      <c r="H242" s="528">
        <v>462.2</v>
      </c>
      <c r="I242" s="528"/>
      <c r="J242" s="528">
        <v>10203.67</v>
      </c>
      <c r="K242" s="528">
        <v>1305</v>
      </c>
      <c r="L242" s="528">
        <v>53715.199999999997</v>
      </c>
      <c r="M242" s="491">
        <f t="shared" si="12"/>
        <v>609907.4</v>
      </c>
      <c r="N242" s="241">
        <v>0</v>
      </c>
      <c r="O242" s="241"/>
      <c r="P242" s="241">
        <v>32995.4</v>
      </c>
      <c r="Q242" s="241"/>
      <c r="R242" s="241">
        <v>47550.25</v>
      </c>
      <c r="S242" s="528">
        <v>521.84</v>
      </c>
      <c r="T242" s="491">
        <f t="shared" si="13"/>
        <v>690974.89</v>
      </c>
      <c r="U242" s="237">
        <v>-7359.76</v>
      </c>
      <c r="V242" s="241"/>
      <c r="W242" s="241">
        <v>0</v>
      </c>
      <c r="X242" s="533">
        <v>72</v>
      </c>
      <c r="Y242" s="536">
        <v>1</v>
      </c>
      <c r="Z242" s="213">
        <v>387</v>
      </c>
      <c r="AA242" s="265"/>
      <c r="AB242" s="235"/>
      <c r="AC242" s="436">
        <f>AB242/VPI!R242</f>
        <v>0</v>
      </c>
      <c r="AD242" s="438">
        <f t="shared" si="14"/>
        <v>0</v>
      </c>
      <c r="AE242" s="436">
        <f>AD242/VPI!R242</f>
        <v>0</v>
      </c>
      <c r="AF242" s="235"/>
      <c r="AG242" s="235"/>
      <c r="AH242" s="235"/>
      <c r="AI242" s="269"/>
      <c r="AJ242" s="8"/>
      <c r="AK242" s="436">
        <f>AJ242/VPI!R242</f>
        <v>0</v>
      </c>
      <c r="AL242" s="438">
        <f t="shared" si="15"/>
        <v>0</v>
      </c>
      <c r="AM242" s="436">
        <f>AL242/VPI!R242</f>
        <v>0</v>
      </c>
      <c r="AN242" s="8"/>
      <c r="AO242" s="269"/>
      <c r="AP242" s="522">
        <v>0.29917918232189084</v>
      </c>
      <c r="AR242" s="539">
        <v>0</v>
      </c>
    </row>
    <row r="243" spans="1:44" x14ac:dyDescent="0.25">
      <c r="A243" s="190">
        <v>5822</v>
      </c>
      <c r="B243" s="440" t="s">
        <v>9</v>
      </c>
      <c r="C243" s="528">
        <v>11870066.470000001</v>
      </c>
      <c r="D243" s="528">
        <v>1504329.29</v>
      </c>
      <c r="E243" s="528"/>
      <c r="F243" s="529"/>
      <c r="G243" s="528">
        <v>1161164.95</v>
      </c>
      <c r="H243" s="528">
        <v>71608</v>
      </c>
      <c r="I243" s="528"/>
      <c r="J243" s="528">
        <v>766046.68</v>
      </c>
      <c r="K243" s="528">
        <v>194676.8</v>
      </c>
      <c r="L243" s="528">
        <v>1560264.6</v>
      </c>
      <c r="M243" s="491">
        <f t="shared" si="12"/>
        <v>17128156.790000003</v>
      </c>
      <c r="N243" s="241">
        <v>423703.7</v>
      </c>
      <c r="O243" s="241">
        <v>252622.7</v>
      </c>
      <c r="P243" s="241">
        <v>947002.85</v>
      </c>
      <c r="Q243" s="241">
        <v>127056.52</v>
      </c>
      <c r="R243" s="241">
        <v>591608.44999999995</v>
      </c>
      <c r="S243" s="528">
        <v>128831.1</v>
      </c>
      <c r="T243" s="491">
        <f t="shared" si="13"/>
        <v>19598982.110000003</v>
      </c>
      <c r="U243" s="237">
        <v>-818205.67</v>
      </c>
      <c r="V243" s="241"/>
      <c r="W243" s="241">
        <v>-1463.71</v>
      </c>
      <c r="X243" s="533">
        <v>73</v>
      </c>
      <c r="Y243" s="536">
        <v>1</v>
      </c>
      <c r="Z243" s="213">
        <v>10382</v>
      </c>
      <c r="AA243" s="265"/>
      <c r="AB243" s="235"/>
      <c r="AC243" s="436">
        <f>AB243/VPI!R243</f>
        <v>0</v>
      </c>
      <c r="AD243" s="438">
        <f t="shared" si="14"/>
        <v>0</v>
      </c>
      <c r="AE243" s="436">
        <f>AD243/VPI!R243</f>
        <v>0</v>
      </c>
      <c r="AF243" s="235"/>
      <c r="AG243" s="235"/>
      <c r="AH243" s="235"/>
      <c r="AI243" s="269"/>
      <c r="AJ243" s="8"/>
      <c r="AK243" s="436">
        <f>AJ243/VPI!R243</f>
        <v>0</v>
      </c>
      <c r="AL243" s="438">
        <f t="shared" si="15"/>
        <v>0</v>
      </c>
      <c r="AM243" s="436">
        <f>AL243/VPI!R243</f>
        <v>0</v>
      </c>
      <c r="AN243" s="8"/>
      <c r="AO243" s="269"/>
      <c r="AP243" s="522">
        <v>-13.904021071596492</v>
      </c>
      <c r="AR243" s="539">
        <v>0</v>
      </c>
    </row>
    <row r="244" spans="1:44" x14ac:dyDescent="0.25">
      <c r="A244" s="190">
        <v>5827</v>
      </c>
      <c r="B244" s="440" t="s">
        <v>10</v>
      </c>
      <c r="C244" s="528">
        <v>475684.15</v>
      </c>
      <c r="D244" s="528">
        <v>56427.68</v>
      </c>
      <c r="E244" s="528"/>
      <c r="F244" s="529">
        <v>1500</v>
      </c>
      <c r="G244" s="528">
        <v>22677.95</v>
      </c>
      <c r="H244" s="528">
        <v>2429.4499999999998</v>
      </c>
      <c r="I244" s="528"/>
      <c r="J244" s="528">
        <v>9815.5499999999993</v>
      </c>
      <c r="K244" s="528">
        <v>1522.35</v>
      </c>
      <c r="L244" s="528">
        <v>46764.25</v>
      </c>
      <c r="M244" s="491">
        <f t="shared" si="12"/>
        <v>616821.38</v>
      </c>
      <c r="N244" s="241">
        <v>0</v>
      </c>
      <c r="O244" s="241"/>
      <c r="P244" s="241">
        <v>16125.05</v>
      </c>
      <c r="Q244" s="241"/>
      <c r="R244" s="241">
        <v>33148.300000000003</v>
      </c>
      <c r="S244" s="528">
        <v>2623.85</v>
      </c>
      <c r="T244" s="491">
        <f t="shared" si="13"/>
        <v>668718.58000000007</v>
      </c>
      <c r="U244" s="237">
        <v>-17655.27</v>
      </c>
      <c r="V244" s="241"/>
      <c r="W244" s="241">
        <v>0</v>
      </c>
      <c r="X244" s="533">
        <v>78</v>
      </c>
      <c r="Y244" s="536">
        <v>1</v>
      </c>
      <c r="Z244" s="213">
        <v>302</v>
      </c>
      <c r="AA244" s="265"/>
      <c r="AB244" s="235"/>
      <c r="AC244" s="436">
        <f>AB244/VPI!R244</f>
        <v>0</v>
      </c>
      <c r="AD244" s="438">
        <f t="shared" si="14"/>
        <v>0</v>
      </c>
      <c r="AE244" s="436">
        <f>AD244/VPI!R244</f>
        <v>0</v>
      </c>
      <c r="AF244" s="235"/>
      <c r="AG244" s="235"/>
      <c r="AH244" s="235"/>
      <c r="AI244" s="269"/>
      <c r="AJ244" s="8"/>
      <c r="AK244" s="436">
        <f>AJ244/VPI!R244</f>
        <v>0</v>
      </c>
      <c r="AL244" s="438">
        <f t="shared" si="15"/>
        <v>0</v>
      </c>
      <c r="AM244" s="436">
        <f>AL244/VPI!R244</f>
        <v>0</v>
      </c>
      <c r="AN244" s="8"/>
      <c r="AO244" s="269"/>
      <c r="AP244" s="522">
        <v>1.2643892162738712</v>
      </c>
      <c r="AR244" s="539">
        <v>0</v>
      </c>
    </row>
    <row r="245" spans="1:44" x14ac:dyDescent="0.25">
      <c r="A245" s="190">
        <v>5828</v>
      </c>
      <c r="B245" s="440" t="s">
        <v>373</v>
      </c>
      <c r="C245" s="528">
        <v>152551.92000000001</v>
      </c>
      <c r="D245" s="528">
        <v>67482.710000000006</v>
      </c>
      <c r="E245" s="528"/>
      <c r="F245" s="529"/>
      <c r="G245" s="528">
        <v>236.65</v>
      </c>
      <c r="H245" s="528">
        <v>21.1</v>
      </c>
      <c r="I245" s="528"/>
      <c r="J245" s="528">
        <v>214.17</v>
      </c>
      <c r="K245" s="528"/>
      <c r="L245" s="528">
        <v>26723.5</v>
      </c>
      <c r="M245" s="491">
        <f t="shared" si="12"/>
        <v>247230.05000000002</v>
      </c>
      <c r="N245" s="241">
        <v>0</v>
      </c>
      <c r="O245" s="241">
        <v>1306.2</v>
      </c>
      <c r="P245" s="241">
        <v>9680</v>
      </c>
      <c r="Q245" s="241"/>
      <c r="R245" s="241">
        <v>10908.7</v>
      </c>
      <c r="S245" s="528">
        <v>26.94</v>
      </c>
      <c r="T245" s="491">
        <f t="shared" si="13"/>
        <v>269151.89</v>
      </c>
      <c r="U245" s="237">
        <v>-4867.42</v>
      </c>
      <c r="V245" s="241"/>
      <c r="W245" s="241">
        <v>0</v>
      </c>
      <c r="X245" s="533">
        <v>81.5</v>
      </c>
      <c r="Y245" s="536">
        <v>1.5</v>
      </c>
      <c r="Z245" s="213">
        <v>105</v>
      </c>
      <c r="AA245" s="265"/>
      <c r="AB245" s="235"/>
      <c r="AC245" s="436">
        <f>AB245/VPI!R245</f>
        <v>0</v>
      </c>
      <c r="AD245" s="438">
        <f t="shared" si="14"/>
        <v>0</v>
      </c>
      <c r="AE245" s="436">
        <f>AD245/VPI!R245</f>
        <v>0</v>
      </c>
      <c r="AF245" s="235"/>
      <c r="AG245" s="235"/>
      <c r="AH245" s="235"/>
      <c r="AI245" s="269"/>
      <c r="AJ245" s="8"/>
      <c r="AK245" s="436">
        <f>AJ245/VPI!R245</f>
        <v>0</v>
      </c>
      <c r="AL245" s="438">
        <f t="shared" si="15"/>
        <v>0</v>
      </c>
      <c r="AM245" s="436">
        <f>AL245/VPI!R245</f>
        <v>0</v>
      </c>
      <c r="AN245" s="8"/>
      <c r="AO245" s="269"/>
      <c r="AP245" s="522">
        <v>3.3943479223529729</v>
      </c>
      <c r="AR245" s="539">
        <v>0</v>
      </c>
    </row>
    <row r="246" spans="1:44" x14ac:dyDescent="0.25">
      <c r="A246" s="190">
        <v>5830</v>
      </c>
      <c r="B246" s="440" t="s">
        <v>11</v>
      </c>
      <c r="C246" s="528">
        <v>767699.35</v>
      </c>
      <c r="D246" s="528">
        <v>88205.18</v>
      </c>
      <c r="E246" s="528"/>
      <c r="F246" s="529"/>
      <c r="G246" s="528">
        <v>9125</v>
      </c>
      <c r="H246" s="528">
        <v>614.54999999999995</v>
      </c>
      <c r="I246" s="528"/>
      <c r="J246" s="528">
        <v>11408.04</v>
      </c>
      <c r="K246" s="528">
        <v>705.4</v>
      </c>
      <c r="L246" s="528">
        <v>62205.3</v>
      </c>
      <c r="M246" s="491">
        <f t="shared" si="12"/>
        <v>939962.82000000018</v>
      </c>
      <c r="N246" s="241">
        <v>9722.5499999999993</v>
      </c>
      <c r="O246" s="241">
        <v>-19364.3</v>
      </c>
      <c r="P246" s="241">
        <v>52656.75</v>
      </c>
      <c r="Q246" s="241">
        <v>510.34</v>
      </c>
      <c r="R246" s="241">
        <v>24477.95</v>
      </c>
      <c r="S246" s="528">
        <v>1017.83</v>
      </c>
      <c r="T246" s="491">
        <f t="shared" si="13"/>
        <v>1008983.9400000001</v>
      </c>
      <c r="U246" s="237">
        <v>-5927.43</v>
      </c>
      <c r="V246" s="241"/>
      <c r="W246" s="241">
        <v>-0.01</v>
      </c>
      <c r="X246" s="533">
        <v>75</v>
      </c>
      <c r="Y246" s="536">
        <v>1</v>
      </c>
      <c r="Z246" s="213">
        <v>487</v>
      </c>
      <c r="AA246" s="265"/>
      <c r="AB246" s="235"/>
      <c r="AC246" s="436">
        <f>AB246/VPI!R246</f>
        <v>0</v>
      </c>
      <c r="AD246" s="438">
        <f t="shared" si="14"/>
        <v>0</v>
      </c>
      <c r="AE246" s="436">
        <f>AD246/VPI!R246</f>
        <v>0</v>
      </c>
      <c r="AF246" s="235"/>
      <c r="AG246" s="235"/>
      <c r="AH246" s="235"/>
      <c r="AI246" s="269"/>
      <c r="AJ246" s="8"/>
      <c r="AK246" s="436">
        <f>AJ246/VPI!R246</f>
        <v>0</v>
      </c>
      <c r="AL246" s="438">
        <f t="shared" si="15"/>
        <v>0</v>
      </c>
      <c r="AM246" s="436">
        <f>AL246/VPI!R246</f>
        <v>0</v>
      </c>
      <c r="AN246" s="8"/>
      <c r="AO246" s="269"/>
      <c r="AP246" s="522">
        <v>4.4915492368597123</v>
      </c>
      <c r="AR246" s="539">
        <v>0</v>
      </c>
    </row>
    <row r="247" spans="1:44" x14ac:dyDescent="0.25">
      <c r="A247" s="190">
        <v>5831</v>
      </c>
      <c r="B247" s="440" t="s">
        <v>348</v>
      </c>
      <c r="C247" s="528">
        <v>4360112.34</v>
      </c>
      <c r="D247" s="528">
        <v>668250.05000000005</v>
      </c>
      <c r="E247" s="528"/>
      <c r="F247" s="529"/>
      <c r="G247" s="528">
        <v>418676.7</v>
      </c>
      <c r="H247" s="528">
        <v>18473.849999999999</v>
      </c>
      <c r="I247" s="528"/>
      <c r="J247" s="528">
        <v>180872.61</v>
      </c>
      <c r="K247" s="528">
        <v>3858.6</v>
      </c>
      <c r="L247" s="528">
        <v>325826.65000000002</v>
      </c>
      <c r="M247" s="491">
        <f t="shared" si="12"/>
        <v>5976070.7999999998</v>
      </c>
      <c r="N247" s="241">
        <v>24200.65</v>
      </c>
      <c r="O247" s="241">
        <v>734460.1</v>
      </c>
      <c r="P247" s="241">
        <v>412877.95</v>
      </c>
      <c r="Q247" s="241">
        <v>22808.86</v>
      </c>
      <c r="R247" s="241">
        <v>271264.15000000002</v>
      </c>
      <c r="S247" s="528">
        <v>45684.480000000003</v>
      </c>
      <c r="T247" s="491">
        <f t="shared" si="13"/>
        <v>7487366.9900000012</v>
      </c>
      <c r="U247" s="237">
        <v>-94076.25</v>
      </c>
      <c r="V247" s="241"/>
      <c r="W247" s="241">
        <v>-565.36</v>
      </c>
      <c r="X247" s="533">
        <v>70.5</v>
      </c>
      <c r="Y247" s="536">
        <v>0.6</v>
      </c>
      <c r="Z247" s="213">
        <v>3362</v>
      </c>
      <c r="AA247" s="265"/>
      <c r="AB247" s="235"/>
      <c r="AC247" s="436">
        <f>AB247/VPI!R247</f>
        <v>0</v>
      </c>
      <c r="AD247" s="438">
        <f t="shared" si="14"/>
        <v>0</v>
      </c>
      <c r="AE247" s="436">
        <f>AD247/VPI!R247</f>
        <v>0</v>
      </c>
      <c r="AF247" s="235"/>
      <c r="AG247" s="235"/>
      <c r="AH247" s="235"/>
      <c r="AI247" s="269"/>
      <c r="AJ247" s="8"/>
      <c r="AK247" s="436">
        <f>AJ247/VPI!R247</f>
        <v>0</v>
      </c>
      <c r="AL247" s="438">
        <f t="shared" si="15"/>
        <v>0</v>
      </c>
      <c r="AM247" s="436">
        <f>AL247/VPI!R247</f>
        <v>0</v>
      </c>
      <c r="AN247" s="8"/>
      <c r="AO247" s="269"/>
      <c r="AP247" s="522">
        <v>-1.2835806652725137</v>
      </c>
      <c r="AR247" s="539">
        <v>0</v>
      </c>
    </row>
    <row r="248" spans="1:44" x14ac:dyDescent="0.25">
      <c r="A248" s="190">
        <v>5841</v>
      </c>
      <c r="B248" s="440" t="s">
        <v>12</v>
      </c>
      <c r="C248" s="528">
        <v>5668849.0199999996</v>
      </c>
      <c r="D248" s="528">
        <v>1769105.47</v>
      </c>
      <c r="E248" s="528"/>
      <c r="F248" s="529"/>
      <c r="G248" s="528">
        <v>253139.5</v>
      </c>
      <c r="H248" s="528">
        <v>23293.55</v>
      </c>
      <c r="I248" s="528">
        <v>853965.84</v>
      </c>
      <c r="J248" s="528">
        <v>417082.16</v>
      </c>
      <c r="K248" s="528">
        <v>12287.95</v>
      </c>
      <c r="L248" s="528">
        <v>1574359.12</v>
      </c>
      <c r="M248" s="491">
        <f t="shared" si="12"/>
        <v>10572082.609999999</v>
      </c>
      <c r="N248" s="241">
        <v>7540.8</v>
      </c>
      <c r="O248" s="241">
        <v>437147.6</v>
      </c>
      <c r="P248" s="241">
        <v>1109957.5</v>
      </c>
      <c r="Q248" s="241">
        <v>78734.740000000005</v>
      </c>
      <c r="R248" s="241">
        <v>682559.7</v>
      </c>
      <c r="S248" s="528">
        <v>28888.67</v>
      </c>
      <c r="T248" s="491">
        <f t="shared" si="13"/>
        <v>12916911.619999999</v>
      </c>
      <c r="U248" s="237">
        <v>-45201.77</v>
      </c>
      <c r="V248" s="241"/>
      <c r="W248" s="241">
        <v>-17655.37</v>
      </c>
      <c r="X248" s="533">
        <v>81.5</v>
      </c>
      <c r="Y248" s="536">
        <v>1.5</v>
      </c>
      <c r="Z248" s="213">
        <v>3569</v>
      </c>
      <c r="AA248" s="265"/>
      <c r="AB248" s="235"/>
      <c r="AC248" s="436">
        <f>AB248/VPI!R248</f>
        <v>0</v>
      </c>
      <c r="AD248" s="438">
        <f t="shared" si="14"/>
        <v>0</v>
      </c>
      <c r="AE248" s="436">
        <f>AD248/VPI!R248</f>
        <v>0</v>
      </c>
      <c r="AF248" s="235"/>
      <c r="AG248" s="235"/>
      <c r="AH248" s="235"/>
      <c r="AI248" s="269"/>
      <c r="AJ248" s="8"/>
      <c r="AK248" s="436">
        <f>AJ248/VPI!R248</f>
        <v>0</v>
      </c>
      <c r="AL248" s="438">
        <f t="shared" si="15"/>
        <v>0</v>
      </c>
      <c r="AM248" s="436">
        <f>AL248/VPI!R248</f>
        <v>0</v>
      </c>
      <c r="AN248" s="8"/>
      <c r="AO248" s="269"/>
      <c r="AP248" s="522">
        <v>6.385520132027378</v>
      </c>
      <c r="AR248" s="539">
        <v>0</v>
      </c>
    </row>
    <row r="249" spans="1:44" x14ac:dyDescent="0.25">
      <c r="A249" s="190">
        <v>5842</v>
      </c>
      <c r="B249" s="440" t="s">
        <v>13</v>
      </c>
      <c r="C249" s="528">
        <v>857211.37</v>
      </c>
      <c r="D249" s="528">
        <v>204717.15</v>
      </c>
      <c r="E249" s="528"/>
      <c r="F249" s="529"/>
      <c r="G249" s="528">
        <v>105442.75</v>
      </c>
      <c r="H249" s="528">
        <v>-3502.35</v>
      </c>
      <c r="I249" s="528">
        <v>44271.34</v>
      </c>
      <c r="J249" s="528">
        <v>17955.78</v>
      </c>
      <c r="K249" s="528">
        <v>687.35</v>
      </c>
      <c r="L249" s="528">
        <v>145880.9</v>
      </c>
      <c r="M249" s="491">
        <f t="shared" si="12"/>
        <v>1372664.29</v>
      </c>
      <c r="N249" s="241">
        <v>984.1</v>
      </c>
      <c r="O249" s="241">
        <v>2602.5</v>
      </c>
      <c r="P249" s="241">
        <v>79555.350000000006</v>
      </c>
      <c r="Q249" s="241">
        <v>2762.52</v>
      </c>
      <c r="R249" s="241">
        <v>17990.400000000001</v>
      </c>
      <c r="S249" s="528">
        <v>10653.3</v>
      </c>
      <c r="T249" s="491">
        <f t="shared" si="13"/>
        <v>1487212.4600000002</v>
      </c>
      <c r="U249" s="237">
        <v>-2991.73</v>
      </c>
      <c r="V249" s="241"/>
      <c r="W249" s="241">
        <v>-49.67</v>
      </c>
      <c r="X249" s="533">
        <v>81</v>
      </c>
      <c r="Y249" s="536">
        <v>1.5</v>
      </c>
      <c r="Z249" s="213">
        <v>534</v>
      </c>
      <c r="AA249" s="265"/>
      <c r="AB249" s="235"/>
      <c r="AC249" s="436">
        <f>AB249/VPI!R249</f>
        <v>0</v>
      </c>
      <c r="AD249" s="438">
        <f t="shared" si="14"/>
        <v>0</v>
      </c>
      <c r="AE249" s="436">
        <f>AD249/VPI!R249</f>
        <v>0</v>
      </c>
      <c r="AF249" s="235"/>
      <c r="AG249" s="235"/>
      <c r="AH249" s="235"/>
      <c r="AI249" s="269"/>
      <c r="AJ249" s="8"/>
      <c r="AK249" s="436">
        <f>AJ249/VPI!R249</f>
        <v>0</v>
      </c>
      <c r="AL249" s="438">
        <f t="shared" si="15"/>
        <v>0</v>
      </c>
      <c r="AM249" s="436">
        <f>AL249/VPI!R249</f>
        <v>0</v>
      </c>
      <c r="AN249" s="8"/>
      <c r="AO249" s="269"/>
      <c r="AP249" s="522">
        <v>7.2903301724338467</v>
      </c>
      <c r="AR249" s="539">
        <v>0</v>
      </c>
    </row>
    <row r="250" spans="1:44" x14ac:dyDescent="0.25">
      <c r="A250" s="190">
        <v>5843</v>
      </c>
      <c r="B250" s="440" t="s">
        <v>14</v>
      </c>
      <c r="C250" s="528">
        <v>2600245.23</v>
      </c>
      <c r="D250" s="528">
        <v>2242569.15</v>
      </c>
      <c r="E250" s="528"/>
      <c r="F250" s="529"/>
      <c r="G250" s="528">
        <v>130124.85</v>
      </c>
      <c r="H250" s="528">
        <v>11648.25</v>
      </c>
      <c r="I250" s="528">
        <v>1159560.9099999999</v>
      </c>
      <c r="J250" s="528">
        <v>119291.12</v>
      </c>
      <c r="K250" s="528">
        <v>30953.05</v>
      </c>
      <c r="L250" s="528">
        <v>1226621.1499999999</v>
      </c>
      <c r="M250" s="491">
        <f t="shared" si="12"/>
        <v>7521013.709999999</v>
      </c>
      <c r="N250" s="241">
        <v>6430.85</v>
      </c>
      <c r="O250" s="241">
        <v>198327.5</v>
      </c>
      <c r="P250" s="241">
        <v>866695.7</v>
      </c>
      <c r="Q250" s="241"/>
      <c r="R250" s="241">
        <v>827046</v>
      </c>
      <c r="S250" s="528">
        <v>14816.02</v>
      </c>
      <c r="T250" s="491">
        <f t="shared" si="13"/>
        <v>9434329.7799999975</v>
      </c>
      <c r="U250" s="237">
        <v>-18068.29</v>
      </c>
      <c r="V250" s="241"/>
      <c r="W250" s="241">
        <v>-19678.599999999999</v>
      </c>
      <c r="X250" s="533">
        <v>79</v>
      </c>
      <c r="Y250" s="536">
        <v>1.5</v>
      </c>
      <c r="Z250" s="213">
        <v>830</v>
      </c>
      <c r="AA250" s="265"/>
      <c r="AB250" s="235"/>
      <c r="AC250" s="436">
        <f>AB250/VPI!R250</f>
        <v>0</v>
      </c>
      <c r="AD250" s="438">
        <f t="shared" si="14"/>
        <v>0</v>
      </c>
      <c r="AE250" s="436">
        <f>AD250/VPI!R250</f>
        <v>0</v>
      </c>
      <c r="AF250" s="235"/>
      <c r="AG250" s="235"/>
      <c r="AH250" s="235"/>
      <c r="AI250" s="269"/>
      <c r="AJ250" s="8"/>
      <c r="AK250" s="436">
        <f>AJ250/VPI!R250</f>
        <v>0</v>
      </c>
      <c r="AL250" s="438">
        <f t="shared" si="15"/>
        <v>0</v>
      </c>
      <c r="AM250" s="436">
        <f>AL250/VPI!R250</f>
        <v>0</v>
      </c>
      <c r="AN250" s="8"/>
      <c r="AO250" s="269"/>
      <c r="AP250" s="522">
        <v>45.442833562218411</v>
      </c>
      <c r="AR250" s="539">
        <v>0</v>
      </c>
    </row>
    <row r="251" spans="1:44" x14ac:dyDescent="0.25">
      <c r="A251" s="190">
        <v>5851</v>
      </c>
      <c r="B251" s="440" t="s">
        <v>15</v>
      </c>
      <c r="C251" s="528">
        <v>904148.14</v>
      </c>
      <c r="D251" s="528">
        <v>213334.42</v>
      </c>
      <c r="E251" s="528"/>
      <c r="F251" s="529"/>
      <c r="G251" s="528">
        <v>114842.05</v>
      </c>
      <c r="H251" s="528">
        <v>3550.7</v>
      </c>
      <c r="I251" s="528">
        <v>79456.45</v>
      </c>
      <c r="J251" s="528">
        <v>70206.69</v>
      </c>
      <c r="K251" s="528">
        <v>10918.4</v>
      </c>
      <c r="L251" s="528">
        <v>243372.5</v>
      </c>
      <c r="M251" s="491">
        <f t="shared" si="12"/>
        <v>1639829.3499999999</v>
      </c>
      <c r="N251" s="241">
        <v>65972.95</v>
      </c>
      <c r="O251" s="241">
        <v>4810.1000000000004</v>
      </c>
      <c r="P251" s="241">
        <v>517345.15</v>
      </c>
      <c r="Q251" s="241">
        <v>522.39</v>
      </c>
      <c r="R251" s="241">
        <v>52517.55</v>
      </c>
      <c r="S251" s="528">
        <v>11667.68</v>
      </c>
      <c r="T251" s="491">
        <f t="shared" si="13"/>
        <v>2292665.17</v>
      </c>
      <c r="U251" s="237">
        <v>-22469.91</v>
      </c>
      <c r="V251" s="241"/>
      <c r="W251" s="241">
        <v>-899.9</v>
      </c>
      <c r="X251" s="533">
        <v>65</v>
      </c>
      <c r="Y251" s="536">
        <v>1.2</v>
      </c>
      <c r="Z251" s="213">
        <v>420</v>
      </c>
      <c r="AA251" s="265"/>
      <c r="AB251" s="235"/>
      <c r="AC251" s="436">
        <f>AB251/VPI!R251</f>
        <v>0</v>
      </c>
      <c r="AD251" s="438">
        <f t="shared" si="14"/>
        <v>0</v>
      </c>
      <c r="AE251" s="436">
        <f>AD251/VPI!R251</f>
        <v>0</v>
      </c>
      <c r="AF251" s="235"/>
      <c r="AG251" s="235"/>
      <c r="AH251" s="235"/>
      <c r="AI251" s="269"/>
      <c r="AJ251" s="8"/>
      <c r="AK251" s="436">
        <f>AJ251/VPI!R251</f>
        <v>0</v>
      </c>
      <c r="AL251" s="438">
        <f t="shared" si="15"/>
        <v>0</v>
      </c>
      <c r="AM251" s="436">
        <f>AL251/VPI!R251</f>
        <v>0</v>
      </c>
      <c r="AN251" s="8"/>
      <c r="AO251" s="269"/>
      <c r="AP251" s="522">
        <v>30.657222249186244</v>
      </c>
      <c r="AR251" s="539">
        <v>0</v>
      </c>
    </row>
    <row r="252" spans="1:44" x14ac:dyDescent="0.25">
      <c r="A252" s="190">
        <v>5852</v>
      </c>
      <c r="B252" s="440" t="s">
        <v>16</v>
      </c>
      <c r="C252" s="528">
        <v>1211573.7</v>
      </c>
      <c r="D252" s="528">
        <v>517751.73</v>
      </c>
      <c r="E252" s="528"/>
      <c r="F252" s="529"/>
      <c r="G252" s="528">
        <v>43756.4</v>
      </c>
      <c r="H252" s="528">
        <v>381.6</v>
      </c>
      <c r="I252" s="528">
        <v>249327.18</v>
      </c>
      <c r="J252" s="528">
        <v>27293.119999999999</v>
      </c>
      <c r="K252" s="528">
        <v>11969.35</v>
      </c>
      <c r="L252" s="528">
        <v>145145.85</v>
      </c>
      <c r="M252" s="491">
        <f t="shared" si="12"/>
        <v>2207198.9300000002</v>
      </c>
      <c r="N252" s="241">
        <v>10092.549999999999</v>
      </c>
      <c r="O252" s="241">
        <v>60934.6</v>
      </c>
      <c r="P252" s="241">
        <v>66165</v>
      </c>
      <c r="Q252" s="241"/>
      <c r="R252" s="241">
        <v>96446.55</v>
      </c>
      <c r="S252" s="528">
        <v>4612.6499999999996</v>
      </c>
      <c r="T252" s="491">
        <f t="shared" si="13"/>
        <v>2445450.2799999998</v>
      </c>
      <c r="U252" s="237">
        <v>-16711.259999999998</v>
      </c>
      <c r="V252" s="241"/>
      <c r="W252" s="241">
        <v>-33207.4</v>
      </c>
      <c r="X252" s="533">
        <v>62</v>
      </c>
      <c r="Y252" s="536">
        <v>0.75</v>
      </c>
      <c r="Z252" s="213">
        <v>503</v>
      </c>
      <c r="AA252" s="265"/>
      <c r="AB252" s="235"/>
      <c r="AC252" s="436">
        <f>AB252/VPI!R252</f>
        <v>0</v>
      </c>
      <c r="AD252" s="438">
        <f t="shared" si="14"/>
        <v>0</v>
      </c>
      <c r="AE252" s="436">
        <f>AD252/VPI!R252</f>
        <v>0</v>
      </c>
      <c r="AF252" s="235"/>
      <c r="AG252" s="235"/>
      <c r="AH252" s="235"/>
      <c r="AI252" s="269"/>
      <c r="AJ252" s="8"/>
      <c r="AK252" s="436">
        <f>AJ252/VPI!R252</f>
        <v>0</v>
      </c>
      <c r="AL252" s="438">
        <f t="shared" si="15"/>
        <v>0</v>
      </c>
      <c r="AM252" s="436">
        <f>AL252/VPI!R252</f>
        <v>0</v>
      </c>
      <c r="AN252" s="8"/>
      <c r="AO252" s="269"/>
      <c r="AP252" s="522">
        <v>33.321693419210249</v>
      </c>
      <c r="AR252" s="539">
        <v>0</v>
      </c>
    </row>
    <row r="253" spans="1:44" x14ac:dyDescent="0.25">
      <c r="A253" s="190">
        <v>5853</v>
      </c>
      <c r="B253" s="440" t="s">
        <v>17</v>
      </c>
      <c r="C253" s="528">
        <v>2340904.59</v>
      </c>
      <c r="D253" s="528">
        <v>468286.11</v>
      </c>
      <c r="E253" s="528"/>
      <c r="F253" s="529"/>
      <c r="G253" s="528">
        <v>34104.400000000001</v>
      </c>
      <c r="H253" s="528">
        <v>7609.65</v>
      </c>
      <c r="I253" s="528">
        <v>323945.40000000002</v>
      </c>
      <c r="J253" s="528">
        <v>-18891.330000000002</v>
      </c>
      <c r="K253" s="528">
        <v>12308.25</v>
      </c>
      <c r="L253" s="528">
        <v>224651.2</v>
      </c>
      <c r="M253" s="491">
        <f t="shared" si="12"/>
        <v>3392918.2699999996</v>
      </c>
      <c r="N253" s="241">
        <v>79871.399999999994</v>
      </c>
      <c r="O253" s="241">
        <v>223965.8</v>
      </c>
      <c r="P253" s="241">
        <v>263022.55</v>
      </c>
      <c r="Q253" s="241">
        <v>1673.99</v>
      </c>
      <c r="R253" s="241">
        <v>249201.3</v>
      </c>
      <c r="S253" s="528">
        <v>4359.33</v>
      </c>
      <c r="T253" s="491">
        <f t="shared" si="13"/>
        <v>4215012.6399999997</v>
      </c>
      <c r="U253" s="237">
        <v>-21887.99</v>
      </c>
      <c r="V253" s="241"/>
      <c r="W253" s="241">
        <v>-1991.1</v>
      </c>
      <c r="X253" s="533">
        <v>71</v>
      </c>
      <c r="Y253" s="536">
        <v>1</v>
      </c>
      <c r="Z253" s="213">
        <v>767</v>
      </c>
      <c r="AA253" s="265"/>
      <c r="AB253" s="235"/>
      <c r="AC253" s="436">
        <f>AB253/VPI!R253</f>
        <v>0</v>
      </c>
      <c r="AD253" s="438">
        <f t="shared" si="14"/>
        <v>0</v>
      </c>
      <c r="AE253" s="436">
        <f>AD253/VPI!R253</f>
        <v>0</v>
      </c>
      <c r="AF253" s="235"/>
      <c r="AG253" s="235"/>
      <c r="AH253" s="235"/>
      <c r="AI253" s="269"/>
      <c r="AJ253" s="8"/>
      <c r="AK253" s="436">
        <f>AJ253/VPI!R253</f>
        <v>0</v>
      </c>
      <c r="AL253" s="438">
        <f t="shared" si="15"/>
        <v>0</v>
      </c>
      <c r="AM253" s="436">
        <f>AL253/VPI!R253</f>
        <v>0</v>
      </c>
      <c r="AN253" s="8"/>
      <c r="AO253" s="269"/>
      <c r="AP253" s="522">
        <v>30.943739487095645</v>
      </c>
      <c r="AR253" s="539">
        <v>0</v>
      </c>
    </row>
    <row r="254" spans="1:44" x14ac:dyDescent="0.25">
      <c r="A254" s="190">
        <v>5854</v>
      </c>
      <c r="B254" s="440" t="s">
        <v>18</v>
      </c>
      <c r="C254" s="528">
        <v>942064.64000000001</v>
      </c>
      <c r="D254" s="528">
        <v>190265.92</v>
      </c>
      <c r="E254" s="528"/>
      <c r="F254" s="529"/>
      <c r="G254" s="528">
        <v>2333.65</v>
      </c>
      <c r="H254" s="528">
        <v>2682.8</v>
      </c>
      <c r="I254" s="528"/>
      <c r="J254" s="528">
        <v>-5462.51</v>
      </c>
      <c r="K254" s="528">
        <v>3396.9</v>
      </c>
      <c r="L254" s="528">
        <v>118292.2</v>
      </c>
      <c r="M254" s="491">
        <f t="shared" si="12"/>
        <v>1253573.5999999999</v>
      </c>
      <c r="N254" s="241">
        <v>17144.25</v>
      </c>
      <c r="O254" s="241"/>
      <c r="P254" s="241">
        <v>58133.35</v>
      </c>
      <c r="Q254" s="241"/>
      <c r="R254" s="241">
        <v>44850.400000000001</v>
      </c>
      <c r="S254" s="528">
        <v>524.24</v>
      </c>
      <c r="T254" s="491">
        <f t="shared" si="13"/>
        <v>1374225.8399999999</v>
      </c>
      <c r="U254" s="237">
        <v>-15984.02</v>
      </c>
      <c r="V254" s="241"/>
      <c r="W254" s="241">
        <v>-703.74</v>
      </c>
      <c r="X254" s="533">
        <v>78.5</v>
      </c>
      <c r="Y254" s="536">
        <v>1.5</v>
      </c>
      <c r="Z254" s="213">
        <v>414</v>
      </c>
      <c r="AA254" s="265"/>
      <c r="AB254" s="235"/>
      <c r="AC254" s="436">
        <f>AB254/VPI!R254</f>
        <v>0</v>
      </c>
      <c r="AD254" s="438">
        <f t="shared" si="14"/>
        <v>0</v>
      </c>
      <c r="AE254" s="436">
        <f>AD254/VPI!R254</f>
        <v>0</v>
      </c>
      <c r="AF254" s="235"/>
      <c r="AG254" s="235"/>
      <c r="AH254" s="235"/>
      <c r="AI254" s="269"/>
      <c r="AJ254" s="8"/>
      <c r="AK254" s="436">
        <f>AJ254/VPI!R254</f>
        <v>0</v>
      </c>
      <c r="AL254" s="438">
        <f t="shared" si="15"/>
        <v>0</v>
      </c>
      <c r="AM254" s="436">
        <f>AL254/VPI!R254</f>
        <v>0</v>
      </c>
      <c r="AN254" s="8"/>
      <c r="AO254" s="269"/>
      <c r="AP254" s="522">
        <v>19.283542136804243</v>
      </c>
      <c r="AR254" s="539">
        <v>0</v>
      </c>
    </row>
    <row r="255" spans="1:44" x14ac:dyDescent="0.25">
      <c r="A255" s="190">
        <v>5855</v>
      </c>
      <c r="B255" s="440" t="s">
        <v>19</v>
      </c>
      <c r="C255" s="528">
        <v>2204537.69</v>
      </c>
      <c r="D255" s="528">
        <v>847933.17</v>
      </c>
      <c r="E255" s="528"/>
      <c r="F255" s="529"/>
      <c r="G255" s="528">
        <v>7846.35</v>
      </c>
      <c r="H255" s="528">
        <v>26604.65</v>
      </c>
      <c r="I255" s="528">
        <v>901132.28</v>
      </c>
      <c r="J255" s="528">
        <v>-6793.38</v>
      </c>
      <c r="K255" s="528">
        <v>24306</v>
      </c>
      <c r="L255" s="528">
        <v>387368.7</v>
      </c>
      <c r="M255" s="491">
        <f t="shared" si="12"/>
        <v>4392935.46</v>
      </c>
      <c r="N255" s="241">
        <v>1933.5</v>
      </c>
      <c r="O255" s="241">
        <v>111189.9</v>
      </c>
      <c r="P255" s="241">
        <v>350603</v>
      </c>
      <c r="Q255" s="241"/>
      <c r="R255" s="241">
        <v>903080.05</v>
      </c>
      <c r="S255" s="528">
        <v>3600.31</v>
      </c>
      <c r="T255" s="491">
        <f t="shared" si="13"/>
        <v>5763342.2199999997</v>
      </c>
      <c r="U255" s="237">
        <v>-1344.77</v>
      </c>
      <c r="V255" s="241"/>
      <c r="W255" s="241">
        <v>-18880.830000000002</v>
      </c>
      <c r="X255" s="533">
        <v>53</v>
      </c>
      <c r="Y255" s="536">
        <v>1</v>
      </c>
      <c r="Z255" s="213">
        <v>631</v>
      </c>
      <c r="AA255" s="265"/>
      <c r="AB255" s="235"/>
      <c r="AC255" s="436">
        <f>AB255/VPI!R255</f>
        <v>0</v>
      </c>
      <c r="AD255" s="438">
        <f t="shared" si="14"/>
        <v>0</v>
      </c>
      <c r="AE255" s="436">
        <f>AD255/VPI!R255</f>
        <v>0</v>
      </c>
      <c r="AF255" s="235"/>
      <c r="AG255" s="235"/>
      <c r="AH255" s="235"/>
      <c r="AI255" s="269"/>
      <c r="AJ255" s="8"/>
      <c r="AK255" s="436">
        <f>AJ255/VPI!R255</f>
        <v>0</v>
      </c>
      <c r="AL255" s="438">
        <f t="shared" si="15"/>
        <v>0</v>
      </c>
      <c r="AM255" s="436">
        <f>AL255/VPI!R255</f>
        <v>0</v>
      </c>
      <c r="AN255" s="8"/>
      <c r="AO255" s="269"/>
      <c r="AP255" s="522">
        <v>43.842206024665565</v>
      </c>
      <c r="AR255" s="539">
        <v>0</v>
      </c>
    </row>
    <row r="256" spans="1:44" x14ac:dyDescent="0.25">
      <c r="A256" s="190">
        <v>5856</v>
      </c>
      <c r="B256" s="440" t="s">
        <v>20</v>
      </c>
      <c r="C256" s="528">
        <v>1651609.38</v>
      </c>
      <c r="D256" s="528">
        <v>355724.89</v>
      </c>
      <c r="E256" s="528"/>
      <c r="F256" s="529"/>
      <c r="G256" s="528">
        <v>5179.1499999999996</v>
      </c>
      <c r="H256" s="528">
        <v>621.85</v>
      </c>
      <c r="I256" s="528">
        <v>211283.6</v>
      </c>
      <c r="J256" s="528">
        <v>23463.119999999999</v>
      </c>
      <c r="K256" s="528">
        <v>1841.65</v>
      </c>
      <c r="L256" s="528">
        <v>261757.6</v>
      </c>
      <c r="M256" s="491">
        <f t="shared" si="12"/>
        <v>2511481.2400000002</v>
      </c>
      <c r="N256" s="241">
        <v>7815.05</v>
      </c>
      <c r="O256" s="241">
        <v>6578.9</v>
      </c>
      <c r="P256" s="241">
        <v>127853.25</v>
      </c>
      <c r="Q256" s="241"/>
      <c r="R256" s="241">
        <v>72234.600000000006</v>
      </c>
      <c r="S256" s="528">
        <v>606.23</v>
      </c>
      <c r="T256" s="491">
        <f t="shared" si="13"/>
        <v>2726569.27</v>
      </c>
      <c r="U256" s="237">
        <v>-10033.66</v>
      </c>
      <c r="V256" s="241"/>
      <c r="W256" s="241">
        <v>-1888.65</v>
      </c>
      <c r="X256" s="533">
        <v>66.5</v>
      </c>
      <c r="Y256" s="536">
        <v>1.3</v>
      </c>
      <c r="Z256" s="213">
        <v>757</v>
      </c>
      <c r="AA256" s="265"/>
      <c r="AB256" s="235"/>
      <c r="AC256" s="436">
        <f>AB256/VPI!R256</f>
        <v>0</v>
      </c>
      <c r="AD256" s="438">
        <f t="shared" si="14"/>
        <v>0</v>
      </c>
      <c r="AE256" s="436">
        <f>AD256/VPI!R256</f>
        <v>0</v>
      </c>
      <c r="AF256" s="235"/>
      <c r="AG256" s="235"/>
      <c r="AH256" s="235"/>
      <c r="AI256" s="269"/>
      <c r="AJ256" s="8"/>
      <c r="AK256" s="436">
        <f>AJ256/VPI!R256</f>
        <v>0</v>
      </c>
      <c r="AL256" s="438">
        <f t="shared" si="15"/>
        <v>0</v>
      </c>
      <c r="AM256" s="436">
        <f>AL256/VPI!R256</f>
        <v>0</v>
      </c>
      <c r="AN256" s="8"/>
      <c r="AO256" s="269"/>
      <c r="AP256" s="522">
        <v>30.395880353325364</v>
      </c>
      <c r="AR256" s="539">
        <v>0</v>
      </c>
    </row>
    <row r="257" spans="1:47" x14ac:dyDescent="0.25">
      <c r="A257" s="190">
        <v>5857</v>
      </c>
      <c r="B257" s="440" t="s">
        <v>21</v>
      </c>
      <c r="C257" s="528">
        <v>4506377.58</v>
      </c>
      <c r="D257" s="528">
        <v>690679.01</v>
      </c>
      <c r="E257" s="528"/>
      <c r="F257" s="529"/>
      <c r="G257" s="528">
        <v>-120739.75</v>
      </c>
      <c r="H257" s="528">
        <v>4612.3999999999996</v>
      </c>
      <c r="I257" s="528"/>
      <c r="J257" s="528">
        <v>122367.82</v>
      </c>
      <c r="K257" s="528">
        <v>18053.400000000001</v>
      </c>
      <c r="L257" s="528">
        <v>424415.65</v>
      </c>
      <c r="M257" s="491">
        <f t="shared" si="12"/>
        <v>5645766.1100000013</v>
      </c>
      <c r="N257" s="241">
        <v>80326.95</v>
      </c>
      <c r="O257" s="241">
        <v>6510.8</v>
      </c>
      <c r="P257" s="241">
        <v>243115.25</v>
      </c>
      <c r="Q257" s="241">
        <v>13.25</v>
      </c>
      <c r="R257" s="241">
        <v>204711.85</v>
      </c>
      <c r="S257" s="528">
        <v>-12135.9</v>
      </c>
      <c r="T257" s="491">
        <f t="shared" si="13"/>
        <v>6168308.3100000005</v>
      </c>
      <c r="U257" s="237">
        <v>-32334.42</v>
      </c>
      <c r="V257" s="241"/>
      <c r="W257" s="241">
        <v>-858.55</v>
      </c>
      <c r="X257" s="533">
        <v>64.5</v>
      </c>
      <c r="Y257" s="536">
        <v>1</v>
      </c>
      <c r="Z257" s="213">
        <v>1446</v>
      </c>
      <c r="AA257" s="265"/>
      <c r="AB257" s="235"/>
      <c r="AC257" s="436">
        <f>AB257/VPI!R257</f>
        <v>0</v>
      </c>
      <c r="AD257" s="438">
        <f t="shared" si="14"/>
        <v>0</v>
      </c>
      <c r="AE257" s="436">
        <f>AD257/VPI!R257</f>
        <v>0</v>
      </c>
      <c r="AF257" s="235"/>
      <c r="AG257" s="235"/>
      <c r="AH257" s="235"/>
      <c r="AI257" s="269"/>
      <c r="AJ257" s="8"/>
      <c r="AK257" s="436">
        <f>AJ257/VPI!R257</f>
        <v>0</v>
      </c>
      <c r="AL257" s="438">
        <f t="shared" si="15"/>
        <v>0</v>
      </c>
      <c r="AM257" s="436">
        <f>AL257/VPI!R257</f>
        <v>0</v>
      </c>
      <c r="AN257" s="8"/>
      <c r="AO257" s="269"/>
      <c r="AP257" s="522">
        <v>30.914347949082504</v>
      </c>
      <c r="AR257" s="539">
        <v>0</v>
      </c>
    </row>
    <row r="258" spans="1:47" x14ac:dyDescent="0.25">
      <c r="A258" s="190">
        <v>5858</v>
      </c>
      <c r="B258" s="440" t="s">
        <v>22</v>
      </c>
      <c r="C258" s="528">
        <v>1898305.13</v>
      </c>
      <c r="D258" s="528">
        <v>398920.54</v>
      </c>
      <c r="E258" s="528"/>
      <c r="F258" s="529"/>
      <c r="G258" s="528">
        <v>-934.35</v>
      </c>
      <c r="H258" s="528">
        <v>815.9</v>
      </c>
      <c r="I258" s="528">
        <v>9528</v>
      </c>
      <c r="J258" s="528">
        <v>-49788.35</v>
      </c>
      <c r="K258" s="528">
        <v>1257.9000000000001</v>
      </c>
      <c r="L258" s="528">
        <v>241057.3</v>
      </c>
      <c r="M258" s="491">
        <f t="shared" si="12"/>
        <v>2499162.0699999994</v>
      </c>
      <c r="N258" s="241">
        <v>4889.3</v>
      </c>
      <c r="O258" s="241">
        <v>95001.1</v>
      </c>
      <c r="P258" s="241">
        <v>137974.45000000001</v>
      </c>
      <c r="Q258" s="241"/>
      <c r="R258" s="241">
        <v>144928.9</v>
      </c>
      <c r="S258" s="528">
        <v>-12.38</v>
      </c>
      <c r="T258" s="491">
        <f t="shared" si="13"/>
        <v>2881943.4399999995</v>
      </c>
      <c r="U258" s="237">
        <v>-7650.13</v>
      </c>
      <c r="V258" s="241"/>
      <c r="W258" s="241">
        <v>-2228.8000000000002</v>
      </c>
      <c r="X258" s="533">
        <v>58.5</v>
      </c>
      <c r="Y258" s="536">
        <v>1.5</v>
      </c>
      <c r="Z258" s="213">
        <v>618</v>
      </c>
      <c r="AA258" s="265"/>
      <c r="AB258" s="235"/>
      <c r="AC258" s="436">
        <f>AB258/VPI!R258</f>
        <v>0</v>
      </c>
      <c r="AD258" s="438">
        <f t="shared" si="14"/>
        <v>0</v>
      </c>
      <c r="AE258" s="436">
        <f>AD258/VPI!R258</f>
        <v>0</v>
      </c>
      <c r="AF258" s="235"/>
      <c r="AG258" s="235"/>
      <c r="AH258" s="235"/>
      <c r="AI258" s="269"/>
      <c r="AJ258" s="8"/>
      <c r="AK258" s="436">
        <f>AJ258/VPI!R258</f>
        <v>0</v>
      </c>
      <c r="AL258" s="438">
        <f t="shared" si="15"/>
        <v>0</v>
      </c>
      <c r="AM258" s="436">
        <f>AL258/VPI!R258</f>
        <v>0</v>
      </c>
      <c r="AN258" s="8"/>
      <c r="AO258" s="269"/>
      <c r="AP258" s="522">
        <v>31.428078368315767</v>
      </c>
      <c r="AR258" s="539">
        <v>0</v>
      </c>
    </row>
    <row r="259" spans="1:47" x14ac:dyDescent="0.25">
      <c r="A259" s="190">
        <v>5859</v>
      </c>
      <c r="B259" s="440" t="s">
        <v>23</v>
      </c>
      <c r="C259" s="528">
        <v>7054386.1900000004</v>
      </c>
      <c r="D259" s="528">
        <v>1647800.64</v>
      </c>
      <c r="E259" s="528"/>
      <c r="F259" s="529"/>
      <c r="G259" s="528">
        <v>253196.79999999999</v>
      </c>
      <c r="H259" s="528">
        <v>30834.55</v>
      </c>
      <c r="I259" s="528">
        <v>327716.25</v>
      </c>
      <c r="J259" s="528">
        <v>65015.519999999997</v>
      </c>
      <c r="K259" s="528">
        <v>5880.6</v>
      </c>
      <c r="L259" s="528">
        <v>701887.45</v>
      </c>
      <c r="M259" s="491">
        <f t="shared" si="12"/>
        <v>10086718</v>
      </c>
      <c r="N259" s="241">
        <v>120650.05</v>
      </c>
      <c r="O259" s="241">
        <v>501474</v>
      </c>
      <c r="P259" s="241">
        <v>373643.75</v>
      </c>
      <c r="Q259" s="241">
        <v>48842.239999999998</v>
      </c>
      <c r="R259" s="241">
        <v>462011.3</v>
      </c>
      <c r="S259" s="528">
        <v>29682.73</v>
      </c>
      <c r="T259" s="491">
        <f t="shared" si="13"/>
        <v>11623022.070000002</v>
      </c>
      <c r="U259" s="237">
        <v>-95986.17</v>
      </c>
      <c r="V259" s="241"/>
      <c r="W259" s="241">
        <v>-8201.41</v>
      </c>
      <c r="X259" s="533">
        <v>63.5</v>
      </c>
      <c r="Y259" s="536">
        <v>1</v>
      </c>
      <c r="Z259" s="213">
        <v>2761</v>
      </c>
      <c r="AA259" s="265"/>
      <c r="AB259" s="235"/>
      <c r="AC259" s="436">
        <f>AB259/VPI!R259</f>
        <v>0</v>
      </c>
      <c r="AD259" s="438">
        <f t="shared" si="14"/>
        <v>0</v>
      </c>
      <c r="AE259" s="436">
        <f>AD259/VPI!R259</f>
        <v>0</v>
      </c>
      <c r="AF259" s="235"/>
      <c r="AG259" s="235"/>
      <c r="AH259" s="235"/>
      <c r="AI259" s="269"/>
      <c r="AJ259" s="8"/>
      <c r="AK259" s="436">
        <f>AJ259/VPI!R259</f>
        <v>0</v>
      </c>
      <c r="AL259" s="438">
        <f t="shared" si="15"/>
        <v>0</v>
      </c>
      <c r="AM259" s="436">
        <f>AL259/VPI!R259</f>
        <v>0</v>
      </c>
      <c r="AN259" s="8"/>
      <c r="AO259" s="269"/>
      <c r="AP259" s="522">
        <v>28.613893428282903</v>
      </c>
      <c r="AR259" s="539">
        <v>0</v>
      </c>
    </row>
    <row r="260" spans="1:47" x14ac:dyDescent="0.25">
      <c r="A260" s="190">
        <v>5860</v>
      </c>
      <c r="B260" s="440" t="s">
        <v>24</v>
      </c>
      <c r="C260" s="528">
        <v>4556788.5599999996</v>
      </c>
      <c r="D260" s="528">
        <v>2206822.9500000002</v>
      </c>
      <c r="E260" s="528"/>
      <c r="F260" s="529"/>
      <c r="G260" s="528">
        <v>96272.75</v>
      </c>
      <c r="H260" s="528">
        <v>38091.199999999997</v>
      </c>
      <c r="I260" s="528">
        <v>317639.3</v>
      </c>
      <c r="J260" s="528">
        <v>84515.83</v>
      </c>
      <c r="K260" s="528">
        <v>24838.400000000001</v>
      </c>
      <c r="L260" s="528">
        <v>719817.5</v>
      </c>
      <c r="M260" s="491">
        <f t="shared" si="12"/>
        <v>8044786.4900000002</v>
      </c>
      <c r="N260" s="241">
        <v>29243.5</v>
      </c>
      <c r="O260" s="241">
        <v>29002.45</v>
      </c>
      <c r="P260" s="241">
        <v>345579.65</v>
      </c>
      <c r="Q260" s="241"/>
      <c r="R260" s="241">
        <v>396315.35</v>
      </c>
      <c r="S260" s="528">
        <v>14041.72</v>
      </c>
      <c r="T260" s="491">
        <f t="shared" si="13"/>
        <v>8858969.1600000001</v>
      </c>
      <c r="U260" s="237">
        <v>-111920.79</v>
      </c>
      <c r="V260" s="241"/>
      <c r="W260" s="241">
        <v>-36858.93</v>
      </c>
      <c r="X260" s="533">
        <v>58.5</v>
      </c>
      <c r="Y260" s="536">
        <v>1.3</v>
      </c>
      <c r="Z260" s="213">
        <v>1542</v>
      </c>
      <c r="AA260" s="265"/>
      <c r="AB260" s="235"/>
      <c r="AC260" s="436">
        <f>AB260/VPI!R260</f>
        <v>0</v>
      </c>
      <c r="AD260" s="438">
        <f t="shared" si="14"/>
        <v>0</v>
      </c>
      <c r="AE260" s="436">
        <f>AD260/VPI!R260</f>
        <v>0</v>
      </c>
      <c r="AF260" s="235"/>
      <c r="AG260" s="235"/>
      <c r="AH260" s="235"/>
      <c r="AI260" s="269"/>
      <c r="AJ260" s="8"/>
      <c r="AK260" s="436">
        <f>AJ260/VPI!R260</f>
        <v>0</v>
      </c>
      <c r="AL260" s="438">
        <f t="shared" si="15"/>
        <v>0</v>
      </c>
      <c r="AM260" s="436">
        <f>AL260/VPI!R260</f>
        <v>0</v>
      </c>
      <c r="AN260" s="8"/>
      <c r="AO260" s="269"/>
      <c r="AP260" s="522">
        <v>35.589111334884009</v>
      </c>
      <c r="AR260" s="539">
        <v>0</v>
      </c>
    </row>
    <row r="261" spans="1:47" x14ac:dyDescent="0.25">
      <c r="A261" s="190">
        <v>5861</v>
      </c>
      <c r="B261" s="440" t="s">
        <v>25</v>
      </c>
      <c r="C261" s="528">
        <v>14617244.279999999</v>
      </c>
      <c r="D261" s="528">
        <v>3819852.95</v>
      </c>
      <c r="E261" s="528"/>
      <c r="F261" s="529"/>
      <c r="G261" s="528">
        <v>26065871.719999999</v>
      </c>
      <c r="H261" s="528">
        <v>2302904.35</v>
      </c>
      <c r="I261" s="528">
        <v>344467.67</v>
      </c>
      <c r="J261" s="528">
        <v>1339455.58</v>
      </c>
      <c r="K261" s="528">
        <v>346635.6</v>
      </c>
      <c r="L261" s="528">
        <v>1916767.1</v>
      </c>
      <c r="M261" s="491">
        <f t="shared" si="12"/>
        <v>50753199.250000007</v>
      </c>
      <c r="N261" s="241">
        <v>705395.85</v>
      </c>
      <c r="O261" s="241">
        <v>135943.29999999999</v>
      </c>
      <c r="P261" s="241">
        <v>842829.6</v>
      </c>
      <c r="Q261" s="241">
        <v>10425.290000000001</v>
      </c>
      <c r="R261" s="241">
        <v>647419.65</v>
      </c>
      <c r="S261" s="528">
        <v>2964682.74</v>
      </c>
      <c r="T261" s="491">
        <f t="shared" si="13"/>
        <v>56059895.680000007</v>
      </c>
      <c r="U261" s="237">
        <v>-97474.64</v>
      </c>
      <c r="V261" s="241"/>
      <c r="W261" s="241">
        <v>-228761.65</v>
      </c>
      <c r="X261" s="533">
        <v>59.5</v>
      </c>
      <c r="Y261" s="536">
        <v>1</v>
      </c>
      <c r="Z261" s="213">
        <v>6323</v>
      </c>
      <c r="AA261" s="265"/>
      <c r="AB261" s="235"/>
      <c r="AC261" s="436">
        <f>AB261/VPI!R261</f>
        <v>0</v>
      </c>
      <c r="AD261" s="438">
        <f t="shared" si="14"/>
        <v>0</v>
      </c>
      <c r="AE261" s="436">
        <f>AD261/VPI!R261</f>
        <v>0</v>
      </c>
      <c r="AF261" s="235"/>
      <c r="AG261" s="235"/>
      <c r="AH261" s="235"/>
      <c r="AI261" s="269"/>
      <c r="AJ261" s="8"/>
      <c r="AK261" s="436">
        <f>AJ261/VPI!R261</f>
        <v>0</v>
      </c>
      <c r="AL261" s="438">
        <f t="shared" si="15"/>
        <v>0</v>
      </c>
      <c r="AM261" s="436">
        <f>AL261/VPI!R261</f>
        <v>0</v>
      </c>
      <c r="AN261" s="8"/>
      <c r="AO261" s="269"/>
      <c r="AP261" s="522">
        <v>37.518156761907811</v>
      </c>
      <c r="AR261" s="539">
        <v>0</v>
      </c>
    </row>
    <row r="262" spans="1:47" x14ac:dyDescent="0.25">
      <c r="A262" s="190">
        <v>5862</v>
      </c>
      <c r="B262" s="440" t="s">
        <v>26</v>
      </c>
      <c r="C262" s="528">
        <v>627322.27</v>
      </c>
      <c r="D262" s="528">
        <v>80154.850000000006</v>
      </c>
      <c r="E262" s="528"/>
      <c r="F262" s="529"/>
      <c r="G262" s="528">
        <v>8243.4</v>
      </c>
      <c r="H262" s="528">
        <v>1736.6</v>
      </c>
      <c r="I262" s="528"/>
      <c r="J262" s="528">
        <v>56362.67</v>
      </c>
      <c r="K262" s="528"/>
      <c r="L262" s="528">
        <v>50622.5</v>
      </c>
      <c r="M262" s="491">
        <f t="shared" si="12"/>
        <v>824442.29</v>
      </c>
      <c r="N262" s="241">
        <v>7523.45</v>
      </c>
      <c r="O262" s="241">
        <v>464</v>
      </c>
      <c r="P262" s="241">
        <v>75024.149999999994</v>
      </c>
      <c r="Q262" s="241"/>
      <c r="R262" s="241">
        <v>85476.1</v>
      </c>
      <c r="S262" s="528">
        <v>1042.96</v>
      </c>
      <c r="T262" s="491">
        <f t="shared" si="13"/>
        <v>993972.95</v>
      </c>
      <c r="U262" s="237">
        <v>-6136.95</v>
      </c>
      <c r="V262" s="241"/>
      <c r="W262" s="241">
        <v>0</v>
      </c>
      <c r="X262" s="533">
        <v>79</v>
      </c>
      <c r="Y262" s="536">
        <v>1</v>
      </c>
      <c r="Z262" s="213">
        <v>249</v>
      </c>
      <c r="AA262" s="265"/>
      <c r="AB262" s="235"/>
      <c r="AC262" s="436">
        <f>AB262/VPI!R262</f>
        <v>0</v>
      </c>
      <c r="AD262" s="438">
        <f t="shared" si="14"/>
        <v>0</v>
      </c>
      <c r="AE262" s="436">
        <f>AD262/VPI!R262</f>
        <v>0</v>
      </c>
      <c r="AF262" s="235"/>
      <c r="AG262" s="235"/>
      <c r="AH262" s="235"/>
      <c r="AI262" s="269"/>
      <c r="AJ262" s="8"/>
      <c r="AK262" s="436">
        <f>AJ262/VPI!R262</f>
        <v>0</v>
      </c>
      <c r="AL262" s="438">
        <f t="shared" si="15"/>
        <v>0</v>
      </c>
      <c r="AM262" s="436">
        <f>AL262/VPI!R262</f>
        <v>0</v>
      </c>
      <c r="AN262" s="8"/>
      <c r="AO262" s="269"/>
      <c r="AP262" s="522">
        <v>15.13036296141965</v>
      </c>
      <c r="AR262" s="539">
        <v>0</v>
      </c>
    </row>
    <row r="263" spans="1:47" x14ac:dyDescent="0.25">
      <c r="A263" s="190">
        <v>5863</v>
      </c>
      <c r="B263" s="440" t="s">
        <v>27</v>
      </c>
      <c r="C263" s="528">
        <v>1109539.18</v>
      </c>
      <c r="D263" s="528">
        <v>233939.48</v>
      </c>
      <c r="E263" s="237"/>
      <c r="F263" s="529"/>
      <c r="G263" s="528">
        <v>62362.25</v>
      </c>
      <c r="H263" s="528">
        <v>18779.55</v>
      </c>
      <c r="I263" s="528">
        <v>42873.3</v>
      </c>
      <c r="J263" s="528">
        <v>12152.93</v>
      </c>
      <c r="K263" s="528">
        <v>2534.9</v>
      </c>
      <c r="L263" s="528">
        <v>96302.1</v>
      </c>
      <c r="M263" s="491">
        <f t="shared" ref="M263:M305" si="16">SUM(C263:L263)</f>
        <v>1578483.69</v>
      </c>
      <c r="N263" s="241">
        <v>20078.099999999999</v>
      </c>
      <c r="O263" s="241"/>
      <c r="P263" s="241">
        <v>88715</v>
      </c>
      <c r="Q263" s="241">
        <v>1074.53</v>
      </c>
      <c r="R263" s="241">
        <v>69554.100000000006</v>
      </c>
      <c r="S263" s="528">
        <v>8479.73</v>
      </c>
      <c r="T263" s="491">
        <f t="shared" ref="T263:T305" si="17">SUM(M263:S263)</f>
        <v>1766385.1500000001</v>
      </c>
      <c r="U263" s="237">
        <v>-1314.72</v>
      </c>
      <c r="V263" s="241"/>
      <c r="W263" s="241">
        <v>-1373.95</v>
      </c>
      <c r="X263" s="533">
        <v>67</v>
      </c>
      <c r="Y263" s="536">
        <v>1</v>
      </c>
      <c r="Z263" s="213">
        <v>378</v>
      </c>
      <c r="AA263" s="265"/>
      <c r="AB263" s="235"/>
      <c r="AC263" s="436">
        <f>AB263/VPI!R263</f>
        <v>0</v>
      </c>
      <c r="AD263" s="438">
        <f t="shared" ref="AD263:AD305" si="18">AF263-AB263</f>
        <v>0</v>
      </c>
      <c r="AE263" s="436">
        <f>AD263/VPI!R263</f>
        <v>0</v>
      </c>
      <c r="AF263" s="235"/>
      <c r="AG263" s="235"/>
      <c r="AH263" s="235"/>
      <c r="AI263" s="269"/>
      <c r="AJ263" s="8"/>
      <c r="AK263" s="436">
        <f>AJ263/VPI!R263</f>
        <v>0</v>
      </c>
      <c r="AL263" s="438">
        <f t="shared" ref="AL263:AL305" si="19">AN263-AJ263</f>
        <v>0</v>
      </c>
      <c r="AM263" s="436">
        <f>AL263/VPI!R263</f>
        <v>0</v>
      </c>
      <c r="AN263" s="8"/>
      <c r="AO263" s="269"/>
      <c r="AP263" s="522">
        <v>30.934327384796951</v>
      </c>
      <c r="AR263" s="539">
        <v>0</v>
      </c>
    </row>
    <row r="264" spans="1:47" x14ac:dyDescent="0.25">
      <c r="A264" s="190">
        <v>5871</v>
      </c>
      <c r="B264" s="440" t="s">
        <v>28</v>
      </c>
      <c r="C264" s="528">
        <v>2797427.79</v>
      </c>
      <c r="D264" s="528">
        <v>634933.77</v>
      </c>
      <c r="E264" s="237"/>
      <c r="F264" s="529"/>
      <c r="G264" s="528">
        <v>54828.55</v>
      </c>
      <c r="H264" s="237">
        <v>27539.3</v>
      </c>
      <c r="I264" s="528"/>
      <c r="J264" s="528">
        <v>114138.05</v>
      </c>
      <c r="K264" s="528">
        <v>5570.65</v>
      </c>
      <c r="L264" s="528">
        <v>294470.8</v>
      </c>
      <c r="M264" s="491">
        <f t="shared" si="16"/>
        <v>3928908.9099999992</v>
      </c>
      <c r="N264" s="241">
        <v>739765.05</v>
      </c>
      <c r="O264" s="241">
        <v>945.70000000000198</v>
      </c>
      <c r="P264" s="241">
        <v>236519.65</v>
      </c>
      <c r="Q264" s="241">
        <v>9753.34</v>
      </c>
      <c r="R264" s="241">
        <v>110705.25</v>
      </c>
      <c r="S264" s="528">
        <v>8607.86</v>
      </c>
      <c r="T264" s="491">
        <f t="shared" si="17"/>
        <v>5035205.76</v>
      </c>
      <c r="U264" s="237">
        <v>-63747.31</v>
      </c>
      <c r="V264" s="241"/>
      <c r="W264" s="241">
        <v>-240.08</v>
      </c>
      <c r="X264" s="533">
        <v>77.3</v>
      </c>
      <c r="Y264" s="536">
        <v>1</v>
      </c>
      <c r="Z264" s="213">
        <v>1536</v>
      </c>
      <c r="AA264" s="265"/>
      <c r="AB264" s="235"/>
      <c r="AC264" s="436">
        <f>AB264/VPI!R264</f>
        <v>0</v>
      </c>
      <c r="AD264" s="438">
        <f t="shared" si="18"/>
        <v>0</v>
      </c>
      <c r="AE264" s="436">
        <f>AD264/VPI!R264</f>
        <v>0</v>
      </c>
      <c r="AF264" s="235"/>
      <c r="AG264" s="235"/>
      <c r="AH264" s="235"/>
      <c r="AI264" s="269"/>
      <c r="AJ264" s="8"/>
      <c r="AK264" s="436">
        <f>AJ264/VPI!R264</f>
        <v>0</v>
      </c>
      <c r="AL264" s="438">
        <f t="shared" si="19"/>
        <v>0</v>
      </c>
      <c r="AM264" s="436">
        <f>AL264/VPI!R264</f>
        <v>0</v>
      </c>
      <c r="AN264" s="8"/>
      <c r="AO264" s="269"/>
      <c r="AP264" s="522">
        <v>15.055100369087794</v>
      </c>
      <c r="AR264" s="539">
        <v>0</v>
      </c>
    </row>
    <row r="265" spans="1:47" x14ac:dyDescent="0.25">
      <c r="A265" s="190">
        <v>5872</v>
      </c>
      <c r="B265" s="440" t="s">
        <v>184</v>
      </c>
      <c r="C265" s="528">
        <v>6722731.2999999998</v>
      </c>
      <c r="D265" s="528">
        <v>1036732.85</v>
      </c>
      <c r="E265" s="237"/>
      <c r="F265" s="529"/>
      <c r="G265" s="528">
        <v>10731951.800000001</v>
      </c>
      <c r="H265" s="528">
        <v>245658.25</v>
      </c>
      <c r="I265" s="528"/>
      <c r="J265" s="528">
        <v>568916.32999999996</v>
      </c>
      <c r="K265" s="528">
        <v>66792.75</v>
      </c>
      <c r="L265" s="528">
        <v>803935.1</v>
      </c>
      <c r="M265" s="491">
        <f t="shared" si="16"/>
        <v>20176718.379999999</v>
      </c>
      <c r="N265" s="241">
        <v>8102751.8499999996</v>
      </c>
      <c r="O265" s="241">
        <v>179177.1</v>
      </c>
      <c r="P265" s="241">
        <v>259286.1</v>
      </c>
      <c r="Q265" s="241">
        <v>6210.09</v>
      </c>
      <c r="R265" s="241">
        <v>206136.4</v>
      </c>
      <c r="S265" s="528">
        <v>1147216.6100000001</v>
      </c>
      <c r="T265" s="491">
        <f t="shared" si="17"/>
        <v>30077496.529999997</v>
      </c>
      <c r="U265" s="237">
        <v>-132586.73000000001</v>
      </c>
      <c r="V265" s="241"/>
      <c r="W265" s="241">
        <v>-8147.58</v>
      </c>
      <c r="X265" s="533">
        <v>66.83</v>
      </c>
      <c r="Y265" s="536">
        <v>1</v>
      </c>
      <c r="Z265" s="213">
        <v>4617</v>
      </c>
      <c r="AA265" s="265"/>
      <c r="AB265" s="235"/>
      <c r="AC265" s="436">
        <f>AB265/VPI!R265</f>
        <v>0</v>
      </c>
      <c r="AD265" s="438">
        <f t="shared" si="18"/>
        <v>0</v>
      </c>
      <c r="AE265" s="436">
        <f>AD265/VPI!R265</f>
        <v>0</v>
      </c>
      <c r="AF265" s="235"/>
      <c r="AG265" s="235"/>
      <c r="AH265" s="235"/>
      <c r="AI265" s="269"/>
      <c r="AJ265" s="8"/>
      <c r="AK265" s="436">
        <f>AJ265/VPI!R265</f>
        <v>0</v>
      </c>
      <c r="AL265" s="438">
        <f t="shared" si="19"/>
        <v>0</v>
      </c>
      <c r="AM265" s="436">
        <f>AL265/VPI!R265</f>
        <v>0</v>
      </c>
      <c r="AN265" s="8"/>
      <c r="AO265" s="269"/>
      <c r="AP265" s="522">
        <v>20.810475895438987</v>
      </c>
      <c r="AR265" s="539">
        <v>0</v>
      </c>
    </row>
    <row r="266" spans="1:47" x14ac:dyDescent="0.25">
      <c r="A266" s="190">
        <v>5873</v>
      </c>
      <c r="B266" s="440" t="s">
        <v>185</v>
      </c>
      <c r="C266" s="528">
        <v>1554824.32</v>
      </c>
      <c r="D266" s="528">
        <v>416069.39</v>
      </c>
      <c r="E266" s="237"/>
      <c r="F266" s="529"/>
      <c r="G266" s="238">
        <v>277637.2</v>
      </c>
      <c r="H266" s="237">
        <v>4755.05</v>
      </c>
      <c r="I266" s="528"/>
      <c r="J266" s="528">
        <v>57658.89</v>
      </c>
      <c r="K266" s="528">
        <v>0</v>
      </c>
      <c r="L266" s="528">
        <v>121166.3</v>
      </c>
      <c r="M266" s="491">
        <f t="shared" si="16"/>
        <v>2432111.15</v>
      </c>
      <c r="N266" s="241">
        <v>879860</v>
      </c>
      <c r="O266" s="241">
        <v>40004.699999999997</v>
      </c>
      <c r="P266" s="241">
        <v>92283.199999999997</v>
      </c>
      <c r="Q266" s="241">
        <v>4338.42</v>
      </c>
      <c r="R266" s="241">
        <v>115052.6</v>
      </c>
      <c r="S266" s="528">
        <v>29511.439999999999</v>
      </c>
      <c r="T266" s="491">
        <f t="shared" si="17"/>
        <v>3593161.5100000002</v>
      </c>
      <c r="U266" s="237">
        <v>-31339.03</v>
      </c>
      <c r="V266" s="241"/>
      <c r="W266" s="241">
        <v>-421.75</v>
      </c>
      <c r="X266" s="533">
        <v>70</v>
      </c>
      <c r="Y266" s="536">
        <v>0.8</v>
      </c>
      <c r="Z266" s="213">
        <v>886</v>
      </c>
      <c r="AA266" s="265"/>
      <c r="AB266" s="235"/>
      <c r="AC266" s="436">
        <f>AB266/VPI!R266</f>
        <v>0</v>
      </c>
      <c r="AD266" s="438">
        <f t="shared" si="18"/>
        <v>0</v>
      </c>
      <c r="AE266" s="436">
        <f>AD266/VPI!R266</f>
        <v>0</v>
      </c>
      <c r="AF266" s="235"/>
      <c r="AG266" s="235"/>
      <c r="AH266" s="235"/>
      <c r="AI266" s="269"/>
      <c r="AJ266" s="8"/>
      <c r="AK266" s="436">
        <f>AJ266/VPI!R266</f>
        <v>0</v>
      </c>
      <c r="AL266" s="438">
        <f t="shared" si="19"/>
        <v>0</v>
      </c>
      <c r="AM266" s="436">
        <f>AL266/VPI!R266</f>
        <v>0</v>
      </c>
      <c r="AN266" s="8"/>
      <c r="AO266" s="269"/>
      <c r="AP266" s="522">
        <v>20.423181488188558</v>
      </c>
      <c r="AR266" s="539">
        <v>0</v>
      </c>
    </row>
    <row r="267" spans="1:47" s="237" customFormat="1" x14ac:dyDescent="0.25">
      <c r="A267" s="190">
        <v>5882</v>
      </c>
      <c r="B267" s="440" t="s">
        <v>186</v>
      </c>
      <c r="C267" s="528">
        <v>8517733.3000000007</v>
      </c>
      <c r="D267" s="528">
        <v>2149481.38</v>
      </c>
      <c r="E267" s="528"/>
      <c r="F267" s="529"/>
      <c r="G267" s="528">
        <v>116369.95</v>
      </c>
      <c r="H267" s="528">
        <v>18537.400000000001</v>
      </c>
      <c r="I267" s="528">
        <v>1150791.94</v>
      </c>
      <c r="J267" s="528">
        <v>700760.93</v>
      </c>
      <c r="K267" s="528">
        <v>67255.75</v>
      </c>
      <c r="L267" s="528">
        <v>1038610.14</v>
      </c>
      <c r="M267" s="491">
        <f t="shared" si="16"/>
        <v>13759540.789999999</v>
      </c>
      <c r="N267" s="241">
        <v>17097.55</v>
      </c>
      <c r="O267" s="241">
        <v>1794840.55</v>
      </c>
      <c r="P267" s="241">
        <v>726270.8</v>
      </c>
      <c r="Q267" s="241">
        <v>19119.43</v>
      </c>
      <c r="R267" s="241">
        <v>603840.44999999995</v>
      </c>
      <c r="S267" s="528">
        <v>14098.51</v>
      </c>
      <c r="T267" s="491">
        <f t="shared" si="17"/>
        <v>16934808.080000002</v>
      </c>
      <c r="U267" s="237">
        <v>-59054.11</v>
      </c>
      <c r="V267" s="241"/>
      <c r="W267" s="241">
        <v>-16408.09</v>
      </c>
      <c r="X267" s="533">
        <v>68</v>
      </c>
      <c r="Y267" s="536">
        <v>1</v>
      </c>
      <c r="Z267" s="213">
        <v>3195</v>
      </c>
      <c r="AA267" s="265"/>
      <c r="AB267" s="235"/>
      <c r="AC267" s="436">
        <f>AB267/VPI!R267</f>
        <v>0</v>
      </c>
      <c r="AD267" s="438">
        <f t="shared" si="18"/>
        <v>0</v>
      </c>
      <c r="AE267" s="436">
        <f>AD267/VPI!R267</f>
        <v>0</v>
      </c>
      <c r="AF267" s="235"/>
      <c r="AG267" s="235"/>
      <c r="AH267" s="235"/>
      <c r="AI267" s="269"/>
      <c r="AJ267" s="8"/>
      <c r="AK267" s="436">
        <f>AJ267/VPI!R267</f>
        <v>0</v>
      </c>
      <c r="AL267" s="438">
        <f t="shared" si="19"/>
        <v>0</v>
      </c>
      <c r="AM267" s="436">
        <f>AL267/VPI!R267</f>
        <v>0</v>
      </c>
      <c r="AN267" s="8"/>
      <c r="AO267" s="269"/>
      <c r="AP267" s="522">
        <v>29.30275136030145</v>
      </c>
      <c r="AR267" s="539">
        <v>1</v>
      </c>
      <c r="AU267" s="5"/>
    </row>
    <row r="268" spans="1:47" x14ac:dyDescent="0.25">
      <c r="A268" s="190">
        <v>5883</v>
      </c>
      <c r="B268" s="440" t="s">
        <v>187</v>
      </c>
      <c r="C268" s="528">
        <v>8644525.0899999999</v>
      </c>
      <c r="D268" s="528">
        <v>2267851.04</v>
      </c>
      <c r="E268" s="528"/>
      <c r="F268" s="529"/>
      <c r="G268" s="528">
        <v>61487.65</v>
      </c>
      <c r="H268" s="528">
        <v>21419.200000000001</v>
      </c>
      <c r="I268" s="528">
        <v>473368.28</v>
      </c>
      <c r="J268" s="528">
        <v>4940.47</v>
      </c>
      <c r="K268" s="528">
        <v>20863.8</v>
      </c>
      <c r="L268" s="528">
        <v>727626.3</v>
      </c>
      <c r="M268" s="491">
        <f t="shared" si="16"/>
        <v>12222081.83</v>
      </c>
      <c r="N268" s="241">
        <v>1881.65</v>
      </c>
      <c r="O268" s="241">
        <v>710734.8</v>
      </c>
      <c r="P268" s="241">
        <v>415006.3</v>
      </c>
      <c r="Q268" s="241">
        <v>12807.99</v>
      </c>
      <c r="R268" s="241">
        <v>371747.15</v>
      </c>
      <c r="S268" s="528">
        <v>8664.19</v>
      </c>
      <c r="T268" s="491">
        <f t="shared" si="17"/>
        <v>13742923.910000002</v>
      </c>
      <c r="U268" s="237">
        <v>-23324.94</v>
      </c>
      <c r="V268" s="241"/>
      <c r="W268" s="241">
        <v>-9731.92</v>
      </c>
      <c r="X268" s="533">
        <v>67.5</v>
      </c>
      <c r="Y268" s="536">
        <v>1</v>
      </c>
      <c r="Z268" s="213">
        <v>2307</v>
      </c>
      <c r="AA268" s="265"/>
      <c r="AB268" s="235"/>
      <c r="AC268" s="436">
        <f>AB268/VPI!R268</f>
        <v>0</v>
      </c>
      <c r="AD268" s="438">
        <f t="shared" si="18"/>
        <v>0</v>
      </c>
      <c r="AE268" s="436">
        <f>AD268/VPI!R268</f>
        <v>0</v>
      </c>
      <c r="AF268" s="235"/>
      <c r="AG268" s="235"/>
      <c r="AH268" s="235"/>
      <c r="AI268" s="269"/>
      <c r="AJ268" s="8"/>
      <c r="AK268" s="436">
        <f>AJ268/VPI!R268</f>
        <v>0</v>
      </c>
      <c r="AL268" s="438">
        <f t="shared" si="19"/>
        <v>0</v>
      </c>
      <c r="AM268" s="436">
        <f>AL268/VPI!R268</f>
        <v>0</v>
      </c>
      <c r="AN268" s="8"/>
      <c r="AO268" s="269"/>
      <c r="AP268" s="522">
        <v>36.275256969073332</v>
      </c>
      <c r="AR268" s="539">
        <v>1</v>
      </c>
    </row>
    <row r="269" spans="1:47" x14ac:dyDescent="0.25">
      <c r="A269" s="190">
        <v>5884</v>
      </c>
      <c r="B269" s="440" t="s">
        <v>45</v>
      </c>
      <c r="C269" s="528">
        <v>5305103.63</v>
      </c>
      <c r="D269" s="528">
        <v>832581.05</v>
      </c>
      <c r="E269" s="528"/>
      <c r="F269" s="529"/>
      <c r="G269" s="528">
        <v>723167.2</v>
      </c>
      <c r="H269" s="528">
        <v>96673.85</v>
      </c>
      <c r="I269" s="528">
        <v>30676.95</v>
      </c>
      <c r="J269" s="528">
        <v>194817.97</v>
      </c>
      <c r="K269" s="528">
        <v>169043.45</v>
      </c>
      <c r="L269" s="528">
        <v>966598.6</v>
      </c>
      <c r="M269" s="491">
        <f t="shared" si="16"/>
        <v>8318662.6999999993</v>
      </c>
      <c r="N269" s="241">
        <v>491143.6</v>
      </c>
      <c r="O269" s="241">
        <v>80903.600000000006</v>
      </c>
      <c r="P269" s="241">
        <v>466409.25</v>
      </c>
      <c r="Q269" s="241">
        <v>58543.24</v>
      </c>
      <c r="R269" s="241">
        <v>531535.44999999995</v>
      </c>
      <c r="S269" s="528">
        <v>85677.6</v>
      </c>
      <c r="T269" s="491">
        <f t="shared" si="17"/>
        <v>10032875.439999998</v>
      </c>
      <c r="U269" s="237">
        <v>-38609.71</v>
      </c>
      <c r="V269" s="241"/>
      <c r="W269" s="241">
        <v>-3866.58</v>
      </c>
      <c r="X269" s="533">
        <v>64.5</v>
      </c>
      <c r="Y269" s="536">
        <v>1.2</v>
      </c>
      <c r="Z269" s="213">
        <v>3367</v>
      </c>
      <c r="AA269" s="265"/>
      <c r="AB269" s="235"/>
      <c r="AC269" s="436">
        <f>AB269/VPI!R269</f>
        <v>0</v>
      </c>
      <c r="AD269" s="438">
        <f t="shared" si="18"/>
        <v>0</v>
      </c>
      <c r="AE269" s="436">
        <f>AD269/VPI!R269</f>
        <v>0</v>
      </c>
      <c r="AF269" s="235"/>
      <c r="AG269" s="235"/>
      <c r="AH269" s="235"/>
      <c r="AI269" s="269"/>
      <c r="AJ269" s="8"/>
      <c r="AK269" s="436">
        <f>AJ269/VPI!R269</f>
        <v>0</v>
      </c>
      <c r="AL269" s="438">
        <f t="shared" si="19"/>
        <v>0</v>
      </c>
      <c r="AM269" s="436">
        <f>AL269/VPI!R269</f>
        <v>0</v>
      </c>
      <c r="AN269" s="8"/>
      <c r="AO269" s="269"/>
      <c r="AP269" s="522">
        <v>22.324724300311384</v>
      </c>
      <c r="AR269" s="539">
        <v>1</v>
      </c>
    </row>
    <row r="270" spans="1:47" x14ac:dyDescent="0.25">
      <c r="A270" s="190">
        <v>5885</v>
      </c>
      <c r="B270" s="440" t="s">
        <v>46</v>
      </c>
      <c r="C270" s="528">
        <v>5271097.95</v>
      </c>
      <c r="D270" s="528">
        <v>928722.98</v>
      </c>
      <c r="E270" s="528"/>
      <c r="F270" s="529"/>
      <c r="G270" s="528">
        <v>181548.25</v>
      </c>
      <c r="H270" s="528">
        <v>28196</v>
      </c>
      <c r="I270" s="528">
        <v>196351.71</v>
      </c>
      <c r="J270" s="528">
        <v>130817.43</v>
      </c>
      <c r="K270" s="528">
        <v>3306.65</v>
      </c>
      <c r="L270" s="528">
        <v>597313.15</v>
      </c>
      <c r="M270" s="491">
        <f t="shared" si="16"/>
        <v>7337354.1200000001</v>
      </c>
      <c r="N270" s="241">
        <v>3104.95</v>
      </c>
      <c r="O270" s="241">
        <v>114058.7</v>
      </c>
      <c r="P270" s="241">
        <v>293057.8</v>
      </c>
      <c r="Q270" s="241"/>
      <c r="R270" s="241">
        <v>183657.5</v>
      </c>
      <c r="S270" s="528">
        <v>21919.35</v>
      </c>
      <c r="T270" s="491">
        <f t="shared" si="17"/>
        <v>7953152.4199999999</v>
      </c>
      <c r="U270" s="237">
        <v>-23195.72</v>
      </c>
      <c r="V270" s="241"/>
      <c r="W270" s="241">
        <v>-2175.87</v>
      </c>
      <c r="X270" s="533">
        <v>69.5</v>
      </c>
      <c r="Y270" s="536">
        <v>1.2</v>
      </c>
      <c r="Z270" s="213">
        <v>1842</v>
      </c>
      <c r="AA270" s="265"/>
      <c r="AB270" s="235"/>
      <c r="AC270" s="436">
        <f>AB270/VPI!R270</f>
        <v>0</v>
      </c>
      <c r="AD270" s="438">
        <f t="shared" si="18"/>
        <v>0</v>
      </c>
      <c r="AE270" s="436">
        <f>AD270/VPI!R270</f>
        <v>0</v>
      </c>
      <c r="AF270" s="235"/>
      <c r="AG270" s="235"/>
      <c r="AH270" s="235"/>
      <c r="AI270" s="269"/>
      <c r="AJ270" s="8"/>
      <c r="AK270" s="436">
        <f>AJ270/VPI!R270</f>
        <v>0</v>
      </c>
      <c r="AL270" s="438">
        <f t="shared" si="19"/>
        <v>0</v>
      </c>
      <c r="AM270" s="436">
        <f>AL270/VPI!R270</f>
        <v>0</v>
      </c>
      <c r="AN270" s="8"/>
      <c r="AO270" s="269"/>
      <c r="AP270" s="522">
        <v>28.063287040546395</v>
      </c>
      <c r="AR270" s="539">
        <v>1</v>
      </c>
    </row>
    <row r="271" spans="1:47" x14ac:dyDescent="0.25">
      <c r="A271" s="190">
        <v>5886</v>
      </c>
      <c r="B271" s="440" t="s">
        <v>47</v>
      </c>
      <c r="C271" s="528">
        <v>44972882.689999998</v>
      </c>
      <c r="D271" s="528">
        <v>12252555.51</v>
      </c>
      <c r="E271" s="528"/>
      <c r="F271" s="529"/>
      <c r="G271" s="528">
        <v>3312254.85</v>
      </c>
      <c r="H271" s="528">
        <v>694377.55</v>
      </c>
      <c r="I271" s="528">
        <v>3915210.38</v>
      </c>
      <c r="J271" s="528">
        <v>2357491.62</v>
      </c>
      <c r="K271" s="528">
        <v>774006.2</v>
      </c>
      <c r="L271" s="528">
        <v>10976646</v>
      </c>
      <c r="M271" s="491">
        <f t="shared" si="16"/>
        <v>79255424.799999997</v>
      </c>
      <c r="N271" s="241">
        <v>920310.65</v>
      </c>
      <c r="O271" s="241">
        <v>15182542.449999999</v>
      </c>
      <c r="P271" s="241">
        <v>4496505.9000000004</v>
      </c>
      <c r="Q271" s="241">
        <v>1092404.32</v>
      </c>
      <c r="R271" s="241">
        <v>3073791.35</v>
      </c>
      <c r="S271" s="528">
        <v>418713.65</v>
      </c>
      <c r="T271" s="491">
        <f t="shared" si="17"/>
        <v>104439693.12</v>
      </c>
      <c r="U271" s="237">
        <v>-2091798.36</v>
      </c>
      <c r="V271" s="241"/>
      <c r="W271" s="241">
        <v>-63535.86</v>
      </c>
      <c r="X271" s="533">
        <v>65</v>
      </c>
      <c r="Y271" s="536">
        <v>1.5</v>
      </c>
      <c r="Z271" s="213">
        <v>26100</v>
      </c>
      <c r="AA271" s="265"/>
      <c r="AB271" s="235"/>
      <c r="AC271" s="436">
        <f>AB271/VPI!R271</f>
        <v>0</v>
      </c>
      <c r="AD271" s="438">
        <f t="shared" si="18"/>
        <v>0</v>
      </c>
      <c r="AE271" s="436">
        <f>AD271/VPI!R271</f>
        <v>0</v>
      </c>
      <c r="AF271" s="235"/>
      <c r="AG271" s="235"/>
      <c r="AH271" s="235"/>
      <c r="AI271" s="269"/>
      <c r="AJ271" s="8"/>
      <c r="AK271" s="436">
        <f>AJ271/VPI!R271</f>
        <v>0</v>
      </c>
      <c r="AL271" s="438">
        <f t="shared" si="19"/>
        <v>0</v>
      </c>
      <c r="AM271" s="436">
        <f>AL271/VPI!R271</f>
        <v>0</v>
      </c>
      <c r="AN271" s="8"/>
      <c r="AO271" s="269"/>
      <c r="AP271" s="522">
        <v>12.958235649939589</v>
      </c>
      <c r="AR271" s="539">
        <v>1</v>
      </c>
    </row>
    <row r="272" spans="1:47" x14ac:dyDescent="0.25">
      <c r="A272" s="190">
        <v>5889</v>
      </c>
      <c r="B272" s="440" t="s">
        <v>48</v>
      </c>
      <c r="C272" s="528">
        <v>27274786.09</v>
      </c>
      <c r="D272" s="528">
        <v>6964182.7699999996</v>
      </c>
      <c r="E272" s="528"/>
      <c r="F272" s="529"/>
      <c r="G272" s="528">
        <v>5600469.1500000004</v>
      </c>
      <c r="H272" s="528">
        <v>1040204.7</v>
      </c>
      <c r="I272" s="528">
        <v>678936.31</v>
      </c>
      <c r="J272" s="528">
        <v>445309.48</v>
      </c>
      <c r="K272" s="528">
        <v>279936.90000000002</v>
      </c>
      <c r="L272" s="528">
        <v>3162489.35</v>
      </c>
      <c r="M272" s="491">
        <f t="shared" si="16"/>
        <v>45446314.75</v>
      </c>
      <c r="N272" s="241">
        <v>244731.45</v>
      </c>
      <c r="O272" s="241">
        <v>1244313.55</v>
      </c>
      <c r="P272" s="241">
        <v>1887556.05</v>
      </c>
      <c r="Q272" s="241">
        <v>206090.58</v>
      </c>
      <c r="R272" s="241">
        <v>1285644.8999999999</v>
      </c>
      <c r="S272" s="528">
        <v>693984.51</v>
      </c>
      <c r="T272" s="491">
        <f t="shared" si="17"/>
        <v>51008635.789999992</v>
      </c>
      <c r="U272" s="237">
        <v>-330764.75</v>
      </c>
      <c r="V272" s="241"/>
      <c r="W272" s="241">
        <v>-101064.1</v>
      </c>
      <c r="X272" s="533">
        <v>64</v>
      </c>
      <c r="Y272" s="536">
        <v>1.2</v>
      </c>
      <c r="Z272" s="213">
        <v>12402</v>
      </c>
      <c r="AA272" s="265"/>
      <c r="AB272" s="235"/>
      <c r="AC272" s="436">
        <f>AB272/VPI!R272</f>
        <v>0</v>
      </c>
      <c r="AD272" s="438">
        <f t="shared" si="18"/>
        <v>0</v>
      </c>
      <c r="AE272" s="436">
        <f>AD272/VPI!R272</f>
        <v>0</v>
      </c>
      <c r="AF272" s="235"/>
      <c r="AG272" s="235"/>
      <c r="AH272" s="235"/>
      <c r="AI272" s="269"/>
      <c r="AJ272" s="8"/>
      <c r="AK272" s="436">
        <f>AJ272/VPI!R272</f>
        <v>0</v>
      </c>
      <c r="AL272" s="438">
        <f t="shared" si="19"/>
        <v>0</v>
      </c>
      <c r="AM272" s="436">
        <f>AL272/VPI!R272</f>
        <v>0</v>
      </c>
      <c r="AN272" s="8"/>
      <c r="AO272" s="269"/>
      <c r="AP272" s="522">
        <v>24.265636382822109</v>
      </c>
      <c r="AR272" s="539">
        <v>1</v>
      </c>
    </row>
    <row r="273" spans="1:47" x14ac:dyDescent="0.25">
      <c r="A273" s="190">
        <v>5890</v>
      </c>
      <c r="B273" s="440" t="s">
        <v>49</v>
      </c>
      <c r="C273" s="528">
        <v>36457612.399999999</v>
      </c>
      <c r="D273" s="528">
        <v>5115426.16</v>
      </c>
      <c r="E273" s="528"/>
      <c r="F273" s="529"/>
      <c r="G273" s="528">
        <v>16216362.050000001</v>
      </c>
      <c r="H273" s="528">
        <v>1914528.75</v>
      </c>
      <c r="I273" s="528">
        <v>919618.72</v>
      </c>
      <c r="J273" s="528">
        <v>3661901.96</v>
      </c>
      <c r="K273" s="528">
        <v>793893.9</v>
      </c>
      <c r="L273" s="528">
        <v>5950803.0199999996</v>
      </c>
      <c r="M273" s="491">
        <f t="shared" si="16"/>
        <v>71030146.959999993</v>
      </c>
      <c r="N273" s="241">
        <v>859057.1</v>
      </c>
      <c r="O273" s="241">
        <v>3802005.7</v>
      </c>
      <c r="P273" s="241">
        <v>1772932.4</v>
      </c>
      <c r="Q273" s="241">
        <v>259229.85</v>
      </c>
      <c r="R273" s="241">
        <v>926077.3</v>
      </c>
      <c r="S273" s="528">
        <v>1894771.17</v>
      </c>
      <c r="T273" s="491">
        <f t="shared" si="17"/>
        <v>80544220.479999989</v>
      </c>
      <c r="U273" s="237">
        <v>-754239.37</v>
      </c>
      <c r="V273" s="241"/>
      <c r="W273" s="241">
        <v>-37273.660000000003</v>
      </c>
      <c r="X273" s="533">
        <v>74.5</v>
      </c>
      <c r="Y273" s="536">
        <v>1.5</v>
      </c>
      <c r="Z273" s="213">
        <v>19754</v>
      </c>
      <c r="AA273" s="265"/>
      <c r="AB273" s="235"/>
      <c r="AC273" s="436">
        <f>AB273/VPI!R273</f>
        <v>0</v>
      </c>
      <c r="AD273" s="438">
        <f t="shared" si="18"/>
        <v>0</v>
      </c>
      <c r="AE273" s="436">
        <f>AD273/VPI!R273</f>
        <v>0</v>
      </c>
      <c r="AF273" s="235"/>
      <c r="AG273" s="235"/>
      <c r="AH273" s="235"/>
      <c r="AI273" s="269"/>
      <c r="AJ273" s="8"/>
      <c r="AK273" s="436">
        <f>AJ273/VPI!R273</f>
        <v>0</v>
      </c>
      <c r="AL273" s="438">
        <f t="shared" si="19"/>
        <v>0</v>
      </c>
      <c r="AM273" s="436">
        <f>AL273/VPI!R273</f>
        <v>0</v>
      </c>
      <c r="AN273" s="8"/>
      <c r="AO273" s="269"/>
      <c r="AP273" s="522">
        <v>15.928494566429267</v>
      </c>
      <c r="AR273" s="539">
        <v>1</v>
      </c>
    </row>
    <row r="274" spans="1:47" x14ac:dyDescent="0.25">
      <c r="A274" s="190">
        <v>5891</v>
      </c>
      <c r="B274" s="440" t="s">
        <v>50</v>
      </c>
      <c r="C274" s="528">
        <v>1900244.81</v>
      </c>
      <c r="D274" s="528">
        <v>536734.68999999994</v>
      </c>
      <c r="E274" s="528"/>
      <c r="F274" s="529"/>
      <c r="G274" s="528">
        <v>25416.15</v>
      </c>
      <c r="H274" s="528">
        <v>22093.25</v>
      </c>
      <c r="I274" s="528"/>
      <c r="J274" s="528">
        <v>88527.94</v>
      </c>
      <c r="K274" s="528">
        <v>15304.85</v>
      </c>
      <c r="L274" s="528">
        <v>449673.4</v>
      </c>
      <c r="M274" s="491">
        <f t="shared" si="16"/>
        <v>3037995.09</v>
      </c>
      <c r="N274" s="241">
        <v>172</v>
      </c>
      <c r="O274" s="241">
        <v>266056.59999999998</v>
      </c>
      <c r="P274" s="241">
        <v>179907.20000000001</v>
      </c>
      <c r="Q274" s="241">
        <v>26436.43</v>
      </c>
      <c r="R274" s="241">
        <v>150009.85</v>
      </c>
      <c r="S274" s="528">
        <v>4964.9799999999996</v>
      </c>
      <c r="T274" s="491">
        <f t="shared" si="17"/>
        <v>3665542.1500000004</v>
      </c>
      <c r="U274" s="237">
        <v>-60757.16</v>
      </c>
      <c r="V274" s="241"/>
      <c r="W274" s="241">
        <v>-1372.73</v>
      </c>
      <c r="X274" s="533">
        <v>69.5</v>
      </c>
      <c r="Y274" s="536">
        <v>1.5</v>
      </c>
      <c r="Z274" s="213">
        <v>972</v>
      </c>
      <c r="AA274" s="265"/>
      <c r="AB274" s="235"/>
      <c r="AC274" s="436">
        <f>AB274/VPI!R274</f>
        <v>0</v>
      </c>
      <c r="AD274" s="438">
        <f t="shared" si="18"/>
        <v>0</v>
      </c>
      <c r="AE274" s="436">
        <f>AD274/VPI!R274</f>
        <v>0</v>
      </c>
      <c r="AF274" s="235"/>
      <c r="AG274" s="235"/>
      <c r="AH274" s="235"/>
      <c r="AI274" s="269"/>
      <c r="AJ274" s="8"/>
      <c r="AK274" s="436">
        <f>AJ274/VPI!R274</f>
        <v>0</v>
      </c>
      <c r="AL274" s="438">
        <f t="shared" si="19"/>
        <v>0</v>
      </c>
      <c r="AM274" s="436">
        <f>AL274/VPI!R274</f>
        <v>0</v>
      </c>
      <c r="AN274" s="8"/>
      <c r="AO274" s="269"/>
      <c r="AP274" s="522">
        <v>24.391996183670738</v>
      </c>
      <c r="AR274" s="539">
        <v>1</v>
      </c>
    </row>
    <row r="275" spans="1:47" s="237" customFormat="1" x14ac:dyDescent="0.25">
      <c r="A275" s="190">
        <v>5892</v>
      </c>
      <c r="B275" s="440" t="s">
        <v>567</v>
      </c>
      <c r="C275" s="528">
        <v>37443598.399999999</v>
      </c>
      <c r="D275" s="528">
        <v>8417314.0600000005</v>
      </c>
      <c r="E275" s="528"/>
      <c r="F275" s="528"/>
      <c r="G275" s="528">
        <v>888608.7</v>
      </c>
      <c r="H275" s="528">
        <v>153415.70000000001</v>
      </c>
      <c r="I275" s="528">
        <v>883133.52</v>
      </c>
      <c r="J275" s="528">
        <v>206658.69</v>
      </c>
      <c r="K275" s="528">
        <v>134932.1</v>
      </c>
      <c r="L275" s="528">
        <v>3507406.75</v>
      </c>
      <c r="M275" s="491">
        <f t="shared" si="16"/>
        <v>51635067.920000009</v>
      </c>
      <c r="N275" s="528">
        <v>295689.34999999998</v>
      </c>
      <c r="O275" s="528">
        <v>2405488.7000000002</v>
      </c>
      <c r="P275" s="528">
        <v>2373599.7999999998</v>
      </c>
      <c r="Q275" s="528">
        <v>40891.57</v>
      </c>
      <c r="R275" s="528">
        <v>1884214.8</v>
      </c>
      <c r="S275" s="528">
        <v>108896.9</v>
      </c>
      <c r="T275" s="491">
        <f t="shared" si="17"/>
        <v>58743849.040000007</v>
      </c>
      <c r="U275" s="528">
        <v>-250192.7</v>
      </c>
      <c r="V275" s="528"/>
      <c r="W275" s="528">
        <v>-177839.7</v>
      </c>
      <c r="X275" s="528">
        <v>68.5</v>
      </c>
      <c r="Y275" s="528">
        <v>1</v>
      </c>
      <c r="Z275" s="213">
        <v>12137</v>
      </c>
      <c r="AA275" s="528"/>
      <c r="AB275" s="552"/>
      <c r="AC275" s="436">
        <f>AB275/VPI!R275</f>
        <v>0</v>
      </c>
      <c r="AD275" s="438">
        <f t="shared" si="18"/>
        <v>0</v>
      </c>
      <c r="AE275" s="436">
        <f>AD275/VPI!R275</f>
        <v>0</v>
      </c>
      <c r="AF275" s="552"/>
      <c r="AG275" s="552"/>
      <c r="AH275" s="552"/>
      <c r="AI275" s="543"/>
      <c r="AJ275" s="552"/>
      <c r="AK275" s="436">
        <f>AJ275/VPI!R275</f>
        <v>0</v>
      </c>
      <c r="AL275" s="438">
        <f t="shared" si="19"/>
        <v>0</v>
      </c>
      <c r="AM275" s="436">
        <f>AL275/VPI!R275</f>
        <v>0</v>
      </c>
      <c r="AN275" s="552"/>
      <c r="AO275" s="543"/>
      <c r="AP275" s="522">
        <v>26.67</v>
      </c>
      <c r="AQ275" s="528"/>
      <c r="AR275" s="539">
        <v>1</v>
      </c>
      <c r="AU275" s="5"/>
    </row>
    <row r="276" spans="1:47" x14ac:dyDescent="0.25">
      <c r="A276" s="190">
        <v>5902</v>
      </c>
      <c r="B276" s="440" t="s">
        <v>51</v>
      </c>
      <c r="C276" s="528">
        <v>676388.28</v>
      </c>
      <c r="D276" s="528">
        <v>63329.45</v>
      </c>
      <c r="E276" s="528"/>
      <c r="F276" s="529"/>
      <c r="G276" s="528">
        <v>24256.35</v>
      </c>
      <c r="H276" s="528">
        <v>212.5</v>
      </c>
      <c r="I276" s="528"/>
      <c r="J276" s="528">
        <v>-266.57</v>
      </c>
      <c r="K276" s="528"/>
      <c r="L276" s="528">
        <v>69778.5</v>
      </c>
      <c r="M276" s="491">
        <f t="shared" si="16"/>
        <v>833698.51</v>
      </c>
      <c r="N276" s="241">
        <v>0</v>
      </c>
      <c r="O276" s="241"/>
      <c r="P276" s="241">
        <v>39280.25</v>
      </c>
      <c r="Q276" s="241"/>
      <c r="R276" s="241">
        <v>42871.05</v>
      </c>
      <c r="S276" s="528">
        <v>2557.12</v>
      </c>
      <c r="T276" s="491">
        <f t="shared" si="17"/>
        <v>918406.93</v>
      </c>
      <c r="U276" s="237">
        <v>-410.43</v>
      </c>
      <c r="V276" s="241">
        <v>-1527.65</v>
      </c>
      <c r="W276" s="241">
        <v>-56.85</v>
      </c>
      <c r="X276" s="533">
        <v>70</v>
      </c>
      <c r="Y276" s="536">
        <v>1</v>
      </c>
      <c r="Z276" s="213">
        <v>434</v>
      </c>
      <c r="AA276" s="265"/>
      <c r="AB276" s="235"/>
      <c r="AC276" s="436">
        <f>AB276/VPI!R276</f>
        <v>0</v>
      </c>
      <c r="AD276" s="438">
        <f t="shared" si="18"/>
        <v>0</v>
      </c>
      <c r="AE276" s="436">
        <f>AD276/VPI!R276</f>
        <v>0</v>
      </c>
      <c r="AF276" s="235"/>
      <c r="AG276" s="235"/>
      <c r="AH276" s="235"/>
      <c r="AI276" s="269"/>
      <c r="AJ276" s="8"/>
      <c r="AK276" s="436">
        <f>AJ276/VPI!R276</f>
        <v>0</v>
      </c>
      <c r="AL276" s="438">
        <f t="shared" si="19"/>
        <v>0</v>
      </c>
      <c r="AM276" s="436">
        <f>AL276/VPI!R276</f>
        <v>0</v>
      </c>
      <c r="AN276" s="8"/>
      <c r="AO276" s="269"/>
      <c r="AP276" s="522">
        <v>13.691373647738539</v>
      </c>
      <c r="AR276" s="539">
        <v>0</v>
      </c>
    </row>
    <row r="277" spans="1:47" x14ac:dyDescent="0.25">
      <c r="A277" s="190">
        <v>5903</v>
      </c>
      <c r="B277" s="440" t="s">
        <v>52</v>
      </c>
      <c r="C277" s="528">
        <v>363428.01</v>
      </c>
      <c r="D277" s="528">
        <v>46941.18</v>
      </c>
      <c r="E277" s="528"/>
      <c r="F277" s="529"/>
      <c r="G277" s="528">
        <v>5314.45</v>
      </c>
      <c r="H277" s="528">
        <v>-152.25</v>
      </c>
      <c r="I277" s="528"/>
      <c r="J277" s="528">
        <v>-219.75</v>
      </c>
      <c r="K277" s="528"/>
      <c r="L277" s="528">
        <v>27631.65</v>
      </c>
      <c r="M277" s="491">
        <f t="shared" si="16"/>
        <v>442943.29000000004</v>
      </c>
      <c r="N277" s="241">
        <v>29031.05</v>
      </c>
      <c r="O277" s="241">
        <v>1056.4000000000001</v>
      </c>
      <c r="P277" s="241">
        <v>13200</v>
      </c>
      <c r="Q277" s="241">
        <v>195.53</v>
      </c>
      <c r="R277" s="241">
        <v>7854.3</v>
      </c>
      <c r="S277" s="528">
        <v>539.48</v>
      </c>
      <c r="T277" s="491">
        <f t="shared" si="17"/>
        <v>494820.05000000005</v>
      </c>
      <c r="U277" s="237">
        <v>-3689.38</v>
      </c>
      <c r="V277" s="241"/>
      <c r="W277" s="241">
        <v>0</v>
      </c>
      <c r="X277" s="533">
        <v>72</v>
      </c>
      <c r="Y277" s="536">
        <v>0.7</v>
      </c>
      <c r="Z277" s="213">
        <v>247</v>
      </c>
      <c r="AA277" s="265"/>
      <c r="AB277" s="235"/>
      <c r="AC277" s="436">
        <f>AB277/VPI!R277</f>
        <v>0</v>
      </c>
      <c r="AD277" s="438">
        <f t="shared" si="18"/>
        <v>0</v>
      </c>
      <c r="AE277" s="436">
        <f>AD277/VPI!R277</f>
        <v>0</v>
      </c>
      <c r="AF277" s="235"/>
      <c r="AG277" s="235"/>
      <c r="AH277" s="235"/>
      <c r="AI277" s="269"/>
      <c r="AJ277" s="8"/>
      <c r="AK277" s="436">
        <f>AJ277/VPI!R277</f>
        <v>0</v>
      </c>
      <c r="AL277" s="438">
        <f t="shared" si="19"/>
        <v>0</v>
      </c>
      <c r="AM277" s="436">
        <f>AL277/VPI!R277</f>
        <v>0</v>
      </c>
      <c r="AN277" s="8"/>
      <c r="AO277" s="269"/>
      <c r="AP277" s="522">
        <v>8.0468215659746409</v>
      </c>
      <c r="AR277" s="539">
        <v>0</v>
      </c>
    </row>
    <row r="278" spans="1:47" x14ac:dyDescent="0.25">
      <c r="A278" s="190">
        <v>5904</v>
      </c>
      <c r="B278" s="440" t="s">
        <v>53</v>
      </c>
      <c r="C278" s="528">
        <v>937768.34</v>
      </c>
      <c r="D278" s="528">
        <v>168419.22</v>
      </c>
      <c r="E278" s="528"/>
      <c r="F278" s="529"/>
      <c r="G278" s="528">
        <v>24818.85</v>
      </c>
      <c r="H278" s="528">
        <v>526.75</v>
      </c>
      <c r="I278" s="528"/>
      <c r="J278" s="528">
        <v>18399.05</v>
      </c>
      <c r="K278" s="528">
        <v>3596.65</v>
      </c>
      <c r="L278" s="528">
        <v>100815.9</v>
      </c>
      <c r="M278" s="491">
        <f t="shared" si="16"/>
        <v>1254344.76</v>
      </c>
      <c r="N278" s="241">
        <v>31054.2</v>
      </c>
      <c r="O278" s="241"/>
      <c r="P278" s="241">
        <v>59237.35</v>
      </c>
      <c r="Q278" s="241"/>
      <c r="R278" s="241">
        <v>63330.25</v>
      </c>
      <c r="S278" s="528">
        <v>2648.75</v>
      </c>
      <c r="T278" s="491">
        <f t="shared" si="17"/>
        <v>1410615.31</v>
      </c>
      <c r="U278" s="237">
        <v>-10101.14</v>
      </c>
      <c r="V278" s="241"/>
      <c r="W278" s="241">
        <v>-135.85</v>
      </c>
      <c r="X278" s="533">
        <v>66</v>
      </c>
      <c r="Y278" s="536">
        <v>1</v>
      </c>
      <c r="Z278" s="213">
        <v>567</v>
      </c>
      <c r="AA278" s="265"/>
      <c r="AB278" s="235"/>
      <c r="AC278" s="436">
        <f>AB278/VPI!R278</f>
        <v>0</v>
      </c>
      <c r="AD278" s="438">
        <f t="shared" si="18"/>
        <v>0</v>
      </c>
      <c r="AE278" s="436">
        <f>AD278/VPI!R278</f>
        <v>0</v>
      </c>
      <c r="AF278" s="235"/>
      <c r="AG278" s="235"/>
      <c r="AH278" s="235"/>
      <c r="AI278" s="269"/>
      <c r="AJ278" s="8"/>
      <c r="AK278" s="436">
        <f>AJ278/VPI!R278</f>
        <v>0</v>
      </c>
      <c r="AL278" s="438">
        <f t="shared" si="19"/>
        <v>0</v>
      </c>
      <c r="AM278" s="436">
        <f>AL278/VPI!R278</f>
        <v>0</v>
      </c>
      <c r="AN278" s="8"/>
      <c r="AO278" s="269"/>
      <c r="AP278" s="522">
        <v>23.798419643528607</v>
      </c>
      <c r="AR278" s="539">
        <v>1</v>
      </c>
    </row>
    <row r="279" spans="1:47" x14ac:dyDescent="0.25">
      <c r="A279" s="190">
        <v>5905</v>
      </c>
      <c r="B279" s="440" t="s">
        <v>54</v>
      </c>
      <c r="C279" s="528">
        <v>1091061.81</v>
      </c>
      <c r="D279" s="528">
        <v>146124.75</v>
      </c>
      <c r="E279" s="528"/>
      <c r="F279" s="529"/>
      <c r="G279" s="528">
        <v>125077.9</v>
      </c>
      <c r="H279" s="528">
        <v>-2545.25</v>
      </c>
      <c r="I279" s="528"/>
      <c r="J279" s="528">
        <v>25768.46</v>
      </c>
      <c r="K279" s="528">
        <v>3170.25</v>
      </c>
      <c r="L279" s="529">
        <v>109356.3</v>
      </c>
      <c r="M279" s="491">
        <f t="shared" si="16"/>
        <v>1498014.22</v>
      </c>
      <c r="N279" s="241">
        <v>173931</v>
      </c>
      <c r="O279" s="241">
        <v>34436.300000000003</v>
      </c>
      <c r="P279" s="241">
        <v>44931.35</v>
      </c>
      <c r="Q279" s="241">
        <v>747.02</v>
      </c>
      <c r="R279" s="241">
        <v>22751.9</v>
      </c>
      <c r="S279" s="528">
        <v>12805.29</v>
      </c>
      <c r="T279" s="491">
        <f t="shared" si="17"/>
        <v>1787617.08</v>
      </c>
      <c r="U279" s="237">
        <v>-4130.54</v>
      </c>
      <c r="V279" s="241"/>
      <c r="W279" s="241">
        <v>-43.55</v>
      </c>
      <c r="X279" s="533">
        <v>70</v>
      </c>
      <c r="Y279" s="536">
        <v>1</v>
      </c>
      <c r="Z279" s="213">
        <v>733</v>
      </c>
      <c r="AA279" s="265"/>
      <c r="AB279" s="235"/>
      <c r="AC279" s="436">
        <f>AB279/VPI!R279</f>
        <v>0</v>
      </c>
      <c r="AD279" s="438">
        <f t="shared" si="18"/>
        <v>0</v>
      </c>
      <c r="AE279" s="436">
        <f>AD279/VPI!R279</f>
        <v>0</v>
      </c>
      <c r="AF279" s="235"/>
      <c r="AG279" s="235"/>
      <c r="AH279" s="235"/>
      <c r="AI279" s="269"/>
      <c r="AJ279" s="8"/>
      <c r="AK279" s="436">
        <f>AJ279/VPI!R279</f>
        <v>0</v>
      </c>
      <c r="AL279" s="438">
        <f t="shared" si="19"/>
        <v>0</v>
      </c>
      <c r="AM279" s="436">
        <f>AL279/VPI!R279</f>
        <v>0</v>
      </c>
      <c r="AN279" s="8"/>
      <c r="AO279" s="269"/>
      <c r="AP279" s="522">
        <v>17.668941625173851</v>
      </c>
      <c r="AR279" s="539">
        <v>0</v>
      </c>
    </row>
    <row r="280" spans="1:47" x14ac:dyDescent="0.25">
      <c r="A280" s="190">
        <v>5907</v>
      </c>
      <c r="B280" s="440" t="s">
        <v>55</v>
      </c>
      <c r="C280" s="528">
        <v>519816.79</v>
      </c>
      <c r="D280" s="528">
        <v>55200.03</v>
      </c>
      <c r="E280" s="528"/>
      <c r="F280" s="529">
        <v>1980</v>
      </c>
      <c r="G280" s="528">
        <v>1693.9</v>
      </c>
      <c r="H280" s="528">
        <v>83.65</v>
      </c>
      <c r="I280" s="528"/>
      <c r="J280" s="528">
        <v>-48.95</v>
      </c>
      <c r="K280" s="528">
        <v>520.70000000000005</v>
      </c>
      <c r="L280" s="528">
        <v>49846.2</v>
      </c>
      <c r="M280" s="491">
        <f t="shared" si="16"/>
        <v>629092.31999999995</v>
      </c>
      <c r="N280" s="241">
        <v>10275.1</v>
      </c>
      <c r="O280" s="241"/>
      <c r="P280" s="241">
        <v>39676.550000000003</v>
      </c>
      <c r="Q280" s="241">
        <v>5889.78</v>
      </c>
      <c r="R280" s="241">
        <v>22750</v>
      </c>
      <c r="S280" s="528">
        <v>185.76</v>
      </c>
      <c r="T280" s="491">
        <f t="shared" si="17"/>
        <v>707869.51</v>
      </c>
      <c r="U280" s="237">
        <v>-1157.4100000000001</v>
      </c>
      <c r="V280" s="241"/>
      <c r="W280" s="241">
        <v>0</v>
      </c>
      <c r="X280" s="533">
        <v>75</v>
      </c>
      <c r="Y280" s="536">
        <v>1</v>
      </c>
      <c r="Z280" s="213">
        <v>317</v>
      </c>
      <c r="AA280" s="265"/>
      <c r="AB280" s="235"/>
      <c r="AC280" s="436">
        <f>AB280/VPI!R280</f>
        <v>0</v>
      </c>
      <c r="AD280" s="438">
        <f t="shared" si="18"/>
        <v>0</v>
      </c>
      <c r="AE280" s="436">
        <f>AD280/VPI!R280</f>
        <v>0</v>
      </c>
      <c r="AF280" s="235"/>
      <c r="AG280" s="235"/>
      <c r="AH280" s="235"/>
      <c r="AI280" s="269"/>
      <c r="AJ280" s="8"/>
      <c r="AK280" s="436">
        <f>AJ280/VPI!R280</f>
        <v>0</v>
      </c>
      <c r="AL280" s="438">
        <f t="shared" si="19"/>
        <v>0</v>
      </c>
      <c r="AM280" s="436">
        <f>AL280/VPI!R280</f>
        <v>0</v>
      </c>
      <c r="AN280" s="8"/>
      <c r="AO280" s="269"/>
      <c r="AP280" s="522">
        <v>2.9418971883276925</v>
      </c>
      <c r="AR280" s="539">
        <v>0</v>
      </c>
    </row>
    <row r="281" spans="1:47" x14ac:dyDescent="0.25">
      <c r="A281" s="190">
        <v>5908</v>
      </c>
      <c r="B281" s="440" t="s">
        <v>56</v>
      </c>
      <c r="C281" s="528">
        <v>297311.81</v>
      </c>
      <c r="D281" s="528">
        <v>56355.22</v>
      </c>
      <c r="E281" s="528"/>
      <c r="F281" s="529"/>
      <c r="G281" s="528">
        <v>13902.45</v>
      </c>
      <c r="H281" s="528">
        <v>-379.3</v>
      </c>
      <c r="I281" s="528"/>
      <c r="J281" s="528">
        <v>-23437.49</v>
      </c>
      <c r="K281" s="528">
        <v>92.95</v>
      </c>
      <c r="L281" s="528">
        <v>23463.15</v>
      </c>
      <c r="M281" s="491">
        <f t="shared" si="16"/>
        <v>367308.7900000001</v>
      </c>
      <c r="N281" s="241">
        <v>0</v>
      </c>
      <c r="O281" s="241"/>
      <c r="P281" s="241">
        <v>12302.5</v>
      </c>
      <c r="Q281" s="241"/>
      <c r="R281" s="241">
        <v>12044.7</v>
      </c>
      <c r="S281" s="528">
        <v>1413.24</v>
      </c>
      <c r="T281" s="491">
        <f t="shared" si="17"/>
        <v>393069.2300000001</v>
      </c>
      <c r="U281" s="237">
        <v>174.07</v>
      </c>
      <c r="V281" s="241"/>
      <c r="W281" s="241">
        <v>-50.85</v>
      </c>
      <c r="X281" s="533">
        <v>75</v>
      </c>
      <c r="Y281" s="536">
        <v>1</v>
      </c>
      <c r="Z281" s="213">
        <v>163</v>
      </c>
      <c r="AA281" s="265"/>
      <c r="AB281" s="235"/>
      <c r="AC281" s="436">
        <f>AB281/VPI!R281</f>
        <v>0</v>
      </c>
      <c r="AD281" s="438">
        <f t="shared" si="18"/>
        <v>0</v>
      </c>
      <c r="AE281" s="436">
        <f>AD281/VPI!R281</f>
        <v>0</v>
      </c>
      <c r="AF281" s="235"/>
      <c r="AG281" s="235"/>
      <c r="AH281" s="235"/>
      <c r="AI281" s="269"/>
      <c r="AJ281" s="8"/>
      <c r="AK281" s="436">
        <f>AJ281/VPI!R281</f>
        <v>0</v>
      </c>
      <c r="AL281" s="438">
        <f t="shared" si="19"/>
        <v>0</v>
      </c>
      <c r="AM281" s="436">
        <f>AL281/VPI!R281</f>
        <v>0</v>
      </c>
      <c r="AN281" s="8"/>
      <c r="AO281" s="269"/>
      <c r="AP281" s="522">
        <v>9.6439397837711045</v>
      </c>
      <c r="AR281" s="539">
        <v>0</v>
      </c>
    </row>
    <row r="282" spans="1:47" x14ac:dyDescent="0.25">
      <c r="A282" s="190">
        <v>5909</v>
      </c>
      <c r="B282" s="440" t="s">
        <v>57</v>
      </c>
      <c r="C282" s="528">
        <v>1708567.83</v>
      </c>
      <c r="D282" s="528">
        <v>388220.97</v>
      </c>
      <c r="E282" s="528"/>
      <c r="F282" s="529"/>
      <c r="G282" s="528">
        <v>4719.1000000000004</v>
      </c>
      <c r="H282" s="528">
        <v>-7819.75</v>
      </c>
      <c r="I282" s="528"/>
      <c r="J282" s="528">
        <v>26919.72</v>
      </c>
      <c r="K282" s="528">
        <v>788.1</v>
      </c>
      <c r="L282" s="528">
        <v>172607.2</v>
      </c>
      <c r="M282" s="491">
        <f t="shared" si="16"/>
        <v>2294003.1700000004</v>
      </c>
      <c r="N282" s="241">
        <v>9007.6</v>
      </c>
      <c r="O282" s="241">
        <v>4593.3</v>
      </c>
      <c r="P282" s="241">
        <v>122503.35</v>
      </c>
      <c r="Q282" s="241"/>
      <c r="R282" s="241">
        <v>81925.600000000006</v>
      </c>
      <c r="S282" s="528">
        <v>-324.02999999999997</v>
      </c>
      <c r="T282" s="491">
        <f t="shared" si="17"/>
        <v>2511708.9900000007</v>
      </c>
      <c r="U282" s="237">
        <v>-2679.65</v>
      </c>
      <c r="V282" s="241"/>
      <c r="W282" s="241">
        <v>-962.95</v>
      </c>
      <c r="X282" s="533">
        <v>67</v>
      </c>
      <c r="Y282" s="536">
        <v>1</v>
      </c>
      <c r="Z282" s="213">
        <v>735</v>
      </c>
      <c r="AA282" s="265"/>
      <c r="AB282" s="235"/>
      <c r="AC282" s="436">
        <f>AB282/VPI!R282</f>
        <v>0</v>
      </c>
      <c r="AD282" s="438">
        <f>AF282-AB282</f>
        <v>0</v>
      </c>
      <c r="AE282" s="436">
        <f>AD282/VPI!R282</f>
        <v>0</v>
      </c>
      <c r="AF282" s="235"/>
      <c r="AG282" s="235"/>
      <c r="AH282" s="235"/>
      <c r="AI282" s="269"/>
      <c r="AJ282" s="8"/>
      <c r="AK282" s="436">
        <f>AJ282/VPI!R282</f>
        <v>0</v>
      </c>
      <c r="AL282" s="438">
        <f t="shared" si="19"/>
        <v>0</v>
      </c>
      <c r="AM282" s="436">
        <f>AL282/VPI!R282</f>
        <v>0</v>
      </c>
      <c r="AN282" s="8"/>
      <c r="AO282" s="269"/>
      <c r="AP282" s="522">
        <v>28.996674749597883</v>
      </c>
      <c r="AR282" s="539">
        <v>1</v>
      </c>
    </row>
    <row r="283" spans="1:47" x14ac:dyDescent="0.25">
      <c r="A283" s="190">
        <v>5910</v>
      </c>
      <c r="B283" s="440" t="s">
        <v>58</v>
      </c>
      <c r="C283" s="528">
        <v>650686</v>
      </c>
      <c r="D283" s="528">
        <v>86332.63</v>
      </c>
      <c r="E283" s="528"/>
      <c r="F283" s="529">
        <v>2270</v>
      </c>
      <c r="G283" s="528">
        <v>15443.3</v>
      </c>
      <c r="H283" s="528">
        <v>177.55</v>
      </c>
      <c r="I283" s="528">
        <v>0</v>
      </c>
      <c r="J283" s="528">
        <v>2816.74</v>
      </c>
      <c r="K283" s="528"/>
      <c r="L283" s="528">
        <v>64331.7</v>
      </c>
      <c r="M283" s="491">
        <f t="shared" si="16"/>
        <v>822057.92</v>
      </c>
      <c r="N283" s="241">
        <v>6244.6</v>
      </c>
      <c r="O283" s="241">
        <v>2978</v>
      </c>
      <c r="P283" s="241">
        <v>83896.65</v>
      </c>
      <c r="Q283" s="241">
        <v>5804.99</v>
      </c>
      <c r="R283" s="241">
        <v>53300.7</v>
      </c>
      <c r="S283" s="528">
        <v>1632.46</v>
      </c>
      <c r="T283" s="491">
        <f t="shared" si="17"/>
        <v>975915.32</v>
      </c>
      <c r="U283" s="237">
        <v>-11753.56</v>
      </c>
      <c r="V283" s="241"/>
      <c r="W283" s="241">
        <v>0</v>
      </c>
      <c r="X283" s="533">
        <v>77</v>
      </c>
      <c r="Y283" s="536">
        <v>1</v>
      </c>
      <c r="Z283" s="213">
        <v>410</v>
      </c>
      <c r="AA283" s="265"/>
      <c r="AB283" s="235"/>
      <c r="AC283" s="436">
        <f>AB283/VPI!R283</f>
        <v>0</v>
      </c>
      <c r="AD283" s="438">
        <f t="shared" si="18"/>
        <v>0</v>
      </c>
      <c r="AE283" s="436">
        <f>AD283/VPI!R283</f>
        <v>0</v>
      </c>
      <c r="AF283" s="235"/>
      <c r="AG283" s="235"/>
      <c r="AH283" s="235"/>
      <c r="AI283" s="269"/>
      <c r="AJ283" s="8"/>
      <c r="AK283" s="436">
        <f>AJ283/VPI!R283</f>
        <v>0</v>
      </c>
      <c r="AL283" s="438">
        <f t="shared" si="19"/>
        <v>0</v>
      </c>
      <c r="AM283" s="436">
        <f>AL283/VPI!R283</f>
        <v>0</v>
      </c>
      <c r="AN283" s="8"/>
      <c r="AO283" s="269"/>
      <c r="AP283" s="522">
        <v>6.2263747605558128</v>
      </c>
      <c r="AR283" s="539">
        <v>0</v>
      </c>
    </row>
    <row r="284" spans="1:47" x14ac:dyDescent="0.25">
      <c r="A284" s="190">
        <v>5911</v>
      </c>
      <c r="B284" s="440" t="s">
        <v>59</v>
      </c>
      <c r="C284" s="528">
        <v>472001.1</v>
      </c>
      <c r="D284" s="528">
        <v>57827.57</v>
      </c>
      <c r="E284" s="528"/>
      <c r="F284" s="529">
        <v>1520</v>
      </c>
      <c r="G284" s="528">
        <v>3400.55</v>
      </c>
      <c r="H284" s="528">
        <v>135.9</v>
      </c>
      <c r="I284" s="528"/>
      <c r="J284" s="528">
        <v>15883.11</v>
      </c>
      <c r="K284" s="528">
        <v>2201.5</v>
      </c>
      <c r="L284" s="528">
        <v>36573.1</v>
      </c>
      <c r="M284" s="491">
        <f t="shared" si="16"/>
        <v>589542.82999999996</v>
      </c>
      <c r="N284" s="241">
        <v>0</v>
      </c>
      <c r="O284" s="241">
        <v>80.400000000000006</v>
      </c>
      <c r="P284" s="241">
        <v>12120.9</v>
      </c>
      <c r="Q284" s="241">
        <v>266.35000000000002</v>
      </c>
      <c r="R284" s="241">
        <v>18457.7</v>
      </c>
      <c r="S284" s="528">
        <v>369.58</v>
      </c>
      <c r="T284" s="491">
        <f t="shared" si="17"/>
        <v>620837.75999999989</v>
      </c>
      <c r="U284" s="237">
        <v>-2053.27</v>
      </c>
      <c r="V284" s="241"/>
      <c r="W284" s="241">
        <v>-559.65</v>
      </c>
      <c r="X284" s="533">
        <v>77</v>
      </c>
      <c r="Y284" s="536">
        <v>1</v>
      </c>
      <c r="Z284" s="213">
        <v>236</v>
      </c>
      <c r="AA284" s="265"/>
      <c r="AB284" s="235"/>
      <c r="AC284" s="436">
        <f>AB284/VPI!R284</f>
        <v>0</v>
      </c>
      <c r="AD284" s="438">
        <f t="shared" si="18"/>
        <v>0</v>
      </c>
      <c r="AE284" s="436">
        <f>AD284/VPI!R284</f>
        <v>0</v>
      </c>
      <c r="AF284" s="235"/>
      <c r="AG284" s="235"/>
      <c r="AH284" s="235"/>
      <c r="AI284" s="269"/>
      <c r="AJ284" s="8"/>
      <c r="AK284" s="436">
        <f>AJ284/VPI!R284</f>
        <v>0</v>
      </c>
      <c r="AL284" s="438">
        <f t="shared" si="19"/>
        <v>0</v>
      </c>
      <c r="AM284" s="436">
        <f>AL284/VPI!R284</f>
        <v>0</v>
      </c>
      <c r="AN284" s="8"/>
      <c r="AO284" s="269"/>
      <c r="AP284" s="522">
        <v>13.046897042038109</v>
      </c>
      <c r="AR284" s="539">
        <v>0</v>
      </c>
    </row>
    <row r="285" spans="1:47" x14ac:dyDescent="0.25">
      <c r="A285" s="190">
        <v>5912</v>
      </c>
      <c r="B285" s="440" t="s">
        <v>60</v>
      </c>
      <c r="C285" s="528">
        <v>190305.84</v>
      </c>
      <c r="D285" s="528">
        <v>24008.03</v>
      </c>
      <c r="E285" s="528"/>
      <c r="F285" s="529">
        <v>940</v>
      </c>
      <c r="G285" s="528">
        <v>2679.95</v>
      </c>
      <c r="H285" s="528">
        <v>141.85</v>
      </c>
      <c r="I285" s="528"/>
      <c r="J285" s="528">
        <v>3771.49</v>
      </c>
      <c r="K285" s="528"/>
      <c r="L285" s="528">
        <v>22461.4</v>
      </c>
      <c r="M285" s="491">
        <f t="shared" si="16"/>
        <v>244308.56</v>
      </c>
      <c r="N285" s="241">
        <v>0</v>
      </c>
      <c r="O285" s="241">
        <v>34118.699999999997</v>
      </c>
      <c r="P285" s="241">
        <v>6974.8</v>
      </c>
      <c r="Q285" s="241">
        <v>1559.41</v>
      </c>
      <c r="R285" s="241">
        <v>392</v>
      </c>
      <c r="S285" s="528">
        <v>294.89</v>
      </c>
      <c r="T285" s="491">
        <f t="shared" si="17"/>
        <v>287648.36</v>
      </c>
      <c r="U285" s="237">
        <v>-9386.1</v>
      </c>
      <c r="V285" s="241"/>
      <c r="W285" s="241">
        <v>0</v>
      </c>
      <c r="X285" s="533">
        <v>78</v>
      </c>
      <c r="Y285" s="536">
        <v>1</v>
      </c>
      <c r="Z285" s="213">
        <v>167</v>
      </c>
      <c r="AA285" s="265"/>
      <c r="AB285" s="235"/>
      <c r="AC285" s="436">
        <f>AB285/VPI!R285</f>
        <v>0</v>
      </c>
      <c r="AD285" s="438">
        <f t="shared" si="18"/>
        <v>0</v>
      </c>
      <c r="AE285" s="436">
        <f>AD285/VPI!R285</f>
        <v>0</v>
      </c>
      <c r="AF285" s="235"/>
      <c r="AG285" s="235"/>
      <c r="AH285" s="235"/>
      <c r="AI285" s="269"/>
      <c r="AJ285" s="8"/>
      <c r="AK285" s="436">
        <f>AJ285/VPI!R285</f>
        <v>0</v>
      </c>
      <c r="AL285" s="438">
        <f t="shared" si="19"/>
        <v>0</v>
      </c>
      <c r="AM285" s="436">
        <f>AL285/VPI!R285</f>
        <v>0</v>
      </c>
      <c r="AN285" s="8"/>
      <c r="AO285" s="269"/>
      <c r="AP285" s="522">
        <v>8.6897736972399944</v>
      </c>
      <c r="AR285" s="539">
        <v>0</v>
      </c>
    </row>
    <row r="286" spans="1:47" x14ac:dyDescent="0.25">
      <c r="A286" s="190">
        <v>5913</v>
      </c>
      <c r="B286" s="440" t="s">
        <v>61</v>
      </c>
      <c r="C286" s="528">
        <v>1309396.3799999999</v>
      </c>
      <c r="D286" s="528">
        <v>146583.32</v>
      </c>
      <c r="E286" s="528"/>
      <c r="F286" s="529"/>
      <c r="G286" s="528">
        <v>711.7</v>
      </c>
      <c r="H286" s="528">
        <v>198.8</v>
      </c>
      <c r="I286" s="528"/>
      <c r="J286" s="528">
        <v>33828.449999999997</v>
      </c>
      <c r="K286" s="528">
        <v>-5581.95</v>
      </c>
      <c r="L286" s="528">
        <v>126441</v>
      </c>
      <c r="M286" s="491">
        <f t="shared" si="16"/>
        <v>1611577.7</v>
      </c>
      <c r="N286" s="241">
        <v>19227.599999999999</v>
      </c>
      <c r="O286" s="241">
        <v>464.2</v>
      </c>
      <c r="P286" s="241">
        <v>90926</v>
      </c>
      <c r="Q286" s="241">
        <v>3564.09</v>
      </c>
      <c r="R286" s="241">
        <v>81457.2</v>
      </c>
      <c r="S286" s="528">
        <v>95.15</v>
      </c>
      <c r="T286" s="491">
        <f t="shared" si="17"/>
        <v>1807311.94</v>
      </c>
      <c r="U286" s="237">
        <v>-17967.88</v>
      </c>
      <c r="V286" s="241"/>
      <c r="W286" s="241">
        <v>-892.99</v>
      </c>
      <c r="X286" s="533">
        <v>73</v>
      </c>
      <c r="Y286" s="536">
        <v>1</v>
      </c>
      <c r="Z286" s="213">
        <v>905</v>
      </c>
      <c r="AA286" s="265"/>
      <c r="AB286" s="235"/>
      <c r="AC286" s="436">
        <f>AB286/VPI!R286</f>
        <v>0</v>
      </c>
      <c r="AD286" s="438">
        <f t="shared" si="18"/>
        <v>0</v>
      </c>
      <c r="AE286" s="436">
        <f>AD286/VPI!R286</f>
        <v>0</v>
      </c>
      <c r="AF286" s="235"/>
      <c r="AG286" s="235"/>
      <c r="AH286" s="235"/>
      <c r="AI286" s="269"/>
      <c r="AJ286" s="8"/>
      <c r="AK286" s="436">
        <f>AJ286/VPI!R286</f>
        <v>0</v>
      </c>
      <c r="AL286" s="438">
        <f t="shared" si="19"/>
        <v>0</v>
      </c>
      <c r="AM286" s="436">
        <f>AL286/VPI!R286</f>
        <v>0</v>
      </c>
      <c r="AN286" s="8"/>
      <c r="AO286" s="269"/>
      <c r="AP286" s="522">
        <v>9.0773392157388439</v>
      </c>
      <c r="AR286" s="539">
        <v>0</v>
      </c>
    </row>
    <row r="287" spans="1:47" x14ac:dyDescent="0.25">
      <c r="A287" s="190">
        <v>5914</v>
      </c>
      <c r="B287" s="440" t="s">
        <v>62</v>
      </c>
      <c r="C287" s="528">
        <v>570841.68999999994</v>
      </c>
      <c r="D287" s="528">
        <v>61947.12</v>
      </c>
      <c r="E287" s="528"/>
      <c r="F287" s="529">
        <v>2270</v>
      </c>
      <c r="G287" s="528">
        <v>9161.2000000000007</v>
      </c>
      <c r="H287" s="528">
        <v>3551.8</v>
      </c>
      <c r="I287" s="528"/>
      <c r="J287" s="528">
        <v>14779.43</v>
      </c>
      <c r="K287" s="528">
        <v>7301.35</v>
      </c>
      <c r="L287" s="528">
        <v>64165.7</v>
      </c>
      <c r="M287" s="491">
        <f t="shared" si="16"/>
        <v>734018.28999999992</v>
      </c>
      <c r="N287" s="241">
        <v>20140.25</v>
      </c>
      <c r="O287" s="241"/>
      <c r="P287" s="241">
        <v>14076.2</v>
      </c>
      <c r="Q287" s="241">
        <v>2264.35</v>
      </c>
      <c r="R287" s="241">
        <v>13164.3</v>
      </c>
      <c r="S287" s="528">
        <v>1328.57</v>
      </c>
      <c r="T287" s="491">
        <f t="shared" si="17"/>
        <v>784991.95999999985</v>
      </c>
      <c r="U287" s="237">
        <v>-15389.64</v>
      </c>
      <c r="V287" s="241"/>
      <c r="W287" s="241">
        <v>0</v>
      </c>
      <c r="X287" s="533">
        <v>73.5</v>
      </c>
      <c r="Y287" s="536">
        <v>1</v>
      </c>
      <c r="Z287" s="213">
        <v>372</v>
      </c>
      <c r="AA287" s="265"/>
      <c r="AB287" s="235"/>
      <c r="AC287" s="436">
        <f>AB287/VPI!R287</f>
        <v>0</v>
      </c>
      <c r="AD287" s="438">
        <f t="shared" si="18"/>
        <v>0</v>
      </c>
      <c r="AE287" s="436">
        <f>AD287/VPI!R287</f>
        <v>0</v>
      </c>
      <c r="AF287" s="235"/>
      <c r="AG287" s="235"/>
      <c r="AH287" s="235"/>
      <c r="AI287" s="269"/>
      <c r="AJ287" s="8"/>
      <c r="AK287" s="436">
        <f>AJ287/VPI!R287</f>
        <v>0</v>
      </c>
      <c r="AL287" s="438">
        <f t="shared" si="19"/>
        <v>0</v>
      </c>
      <c r="AM287" s="436">
        <f>AL287/VPI!R287</f>
        <v>0</v>
      </c>
      <c r="AN287" s="8"/>
      <c r="AO287" s="269"/>
      <c r="AP287" s="522">
        <v>7.1237883632554047</v>
      </c>
      <c r="AR287" s="539">
        <v>1</v>
      </c>
    </row>
    <row r="288" spans="1:47" s="237" customFormat="1" x14ac:dyDescent="0.25">
      <c r="A288" s="190">
        <v>5919</v>
      </c>
      <c r="B288" s="440" t="s">
        <v>322</v>
      </c>
      <c r="C288" s="528">
        <v>1091725.5</v>
      </c>
      <c r="D288" s="528">
        <v>218910.67</v>
      </c>
      <c r="E288" s="528"/>
      <c r="F288" s="529">
        <v>3960</v>
      </c>
      <c r="G288" s="528">
        <v>37342.85</v>
      </c>
      <c r="H288" s="528">
        <v>1037.4000000000001</v>
      </c>
      <c r="I288" s="528"/>
      <c r="J288" s="528">
        <v>23986.73</v>
      </c>
      <c r="K288" s="528">
        <v>11383.75</v>
      </c>
      <c r="L288" s="528">
        <v>148460.75</v>
      </c>
      <c r="M288" s="491">
        <f t="shared" si="16"/>
        <v>1536807.65</v>
      </c>
      <c r="N288" s="241">
        <v>14768.6</v>
      </c>
      <c r="O288" s="241">
        <v>16275.4</v>
      </c>
      <c r="P288" s="241">
        <v>222178.95</v>
      </c>
      <c r="Q288" s="241">
        <v>7673.07</v>
      </c>
      <c r="R288" s="241">
        <v>48237.25</v>
      </c>
      <c r="S288" s="528">
        <v>4010.93</v>
      </c>
      <c r="T288" s="491">
        <f t="shared" si="17"/>
        <v>1849951.8499999999</v>
      </c>
      <c r="U288" s="237">
        <v>-22232.55</v>
      </c>
      <c r="V288" s="241"/>
      <c r="W288" s="241">
        <v>0</v>
      </c>
      <c r="X288" s="533">
        <v>72</v>
      </c>
      <c r="Y288" s="536">
        <v>1.2</v>
      </c>
      <c r="Z288" s="213">
        <v>685</v>
      </c>
      <c r="AA288" s="265"/>
      <c r="AB288" s="235"/>
      <c r="AC288" s="436">
        <f>AB288/VPI!R288</f>
        <v>0</v>
      </c>
      <c r="AD288" s="438">
        <f t="shared" si="18"/>
        <v>0</v>
      </c>
      <c r="AE288" s="436">
        <f>AD288/VPI!R288</f>
        <v>0</v>
      </c>
      <c r="AF288" s="235"/>
      <c r="AG288" s="235"/>
      <c r="AH288" s="235"/>
      <c r="AI288" s="269"/>
      <c r="AJ288" s="8"/>
      <c r="AK288" s="436">
        <f>AJ288/VPI!R288</f>
        <v>0</v>
      </c>
      <c r="AL288" s="438">
        <f t="shared" si="19"/>
        <v>0</v>
      </c>
      <c r="AM288" s="436">
        <f>AL288/VPI!R288</f>
        <v>0</v>
      </c>
      <c r="AN288" s="8"/>
      <c r="AO288" s="269"/>
      <c r="AP288" s="522">
        <v>12.061962787574767</v>
      </c>
      <c r="AR288" s="539">
        <v>1</v>
      </c>
      <c r="AU288" s="5"/>
    </row>
    <row r="289" spans="1:47" s="237" customFormat="1" x14ac:dyDescent="0.25">
      <c r="A289" s="190">
        <v>5921</v>
      </c>
      <c r="B289" s="440" t="s">
        <v>323</v>
      </c>
      <c r="C289" s="528">
        <v>333777.21000000002</v>
      </c>
      <c r="D289" s="528">
        <v>38076.980000000003</v>
      </c>
      <c r="E289" s="528"/>
      <c r="F289" s="529">
        <v>1421.7</v>
      </c>
      <c r="G289" s="528">
        <v>920.4</v>
      </c>
      <c r="H289" s="528">
        <v>-59.6</v>
      </c>
      <c r="I289" s="528"/>
      <c r="J289" s="528">
        <v>6939.28</v>
      </c>
      <c r="K289" s="528"/>
      <c r="L289" s="528">
        <v>35888.75</v>
      </c>
      <c r="M289" s="491">
        <f t="shared" si="16"/>
        <v>416964.72000000009</v>
      </c>
      <c r="N289" s="241">
        <v>11053.2</v>
      </c>
      <c r="O289" s="241">
        <v>707.3</v>
      </c>
      <c r="P289" s="241">
        <v>24365</v>
      </c>
      <c r="Q289" s="241">
        <v>2503.8200000000002</v>
      </c>
      <c r="R289" s="241"/>
      <c r="S289" s="528">
        <v>89.96</v>
      </c>
      <c r="T289" s="491">
        <f t="shared" si="17"/>
        <v>455684.00000000012</v>
      </c>
      <c r="U289" s="237">
        <v>-7190.13</v>
      </c>
      <c r="V289" s="241"/>
      <c r="W289" s="241">
        <v>0</v>
      </c>
      <c r="X289" s="533">
        <v>81</v>
      </c>
      <c r="Y289" s="536">
        <v>1</v>
      </c>
      <c r="Z289" s="213">
        <v>258</v>
      </c>
      <c r="AA289" s="265"/>
      <c r="AB289" s="235"/>
      <c r="AC289" s="436">
        <f>AB289/VPI!R289</f>
        <v>0</v>
      </c>
      <c r="AD289" s="438">
        <f t="shared" si="18"/>
        <v>0</v>
      </c>
      <c r="AE289" s="436">
        <f>AD289/VPI!R289</f>
        <v>0</v>
      </c>
      <c r="AF289" s="235"/>
      <c r="AG289" s="235"/>
      <c r="AH289" s="235"/>
      <c r="AI289" s="269"/>
      <c r="AJ289" s="8"/>
      <c r="AK289" s="436">
        <f>AJ289/VPI!R289</f>
        <v>0</v>
      </c>
      <c r="AL289" s="438">
        <f t="shared" si="19"/>
        <v>0</v>
      </c>
      <c r="AM289" s="436">
        <f>AL289/VPI!R289</f>
        <v>0</v>
      </c>
      <c r="AN289" s="8"/>
      <c r="AO289" s="269"/>
      <c r="AP289" s="522">
        <v>0.39753570561138601</v>
      </c>
      <c r="AR289" s="539">
        <v>0</v>
      </c>
      <c r="AU289" s="5"/>
    </row>
    <row r="290" spans="1:47" s="237" customFormat="1" x14ac:dyDescent="0.25">
      <c r="A290" s="190">
        <v>5922</v>
      </c>
      <c r="B290" s="440" t="s">
        <v>234</v>
      </c>
      <c r="C290" s="528">
        <v>1353693.24</v>
      </c>
      <c r="D290" s="528">
        <v>212766.65</v>
      </c>
      <c r="E290" s="528"/>
      <c r="F290" s="529"/>
      <c r="G290" s="528">
        <v>467640.2</v>
      </c>
      <c r="H290" s="528">
        <v>14051.45</v>
      </c>
      <c r="I290" s="528"/>
      <c r="J290" s="528">
        <v>85313.26</v>
      </c>
      <c r="K290" s="528">
        <v>65824.350000000006</v>
      </c>
      <c r="L290" s="528">
        <v>268740.05</v>
      </c>
      <c r="M290" s="491">
        <f t="shared" si="16"/>
        <v>2468029.1999999997</v>
      </c>
      <c r="N290" s="241">
        <v>403748.6</v>
      </c>
      <c r="O290" s="241">
        <v>3463.5</v>
      </c>
      <c r="P290" s="241">
        <v>36961.1</v>
      </c>
      <c r="Q290" s="241"/>
      <c r="R290" s="241">
        <v>31280.15</v>
      </c>
      <c r="S290" s="528">
        <v>50339.25</v>
      </c>
      <c r="T290" s="491">
        <f t="shared" si="17"/>
        <v>2993821.8</v>
      </c>
      <c r="U290" s="237">
        <v>-18199.62</v>
      </c>
      <c r="V290" s="241"/>
      <c r="W290" s="241">
        <v>-254.07</v>
      </c>
      <c r="X290" s="533">
        <v>64.5</v>
      </c>
      <c r="Y290" s="536">
        <v>0.8</v>
      </c>
      <c r="Z290" s="213">
        <v>770</v>
      </c>
      <c r="AA290" s="265"/>
      <c r="AB290" s="235"/>
      <c r="AC290" s="436">
        <f>AB290/VPI!R290</f>
        <v>0</v>
      </c>
      <c r="AD290" s="438">
        <f t="shared" si="18"/>
        <v>0</v>
      </c>
      <c r="AE290" s="436">
        <f>AD290/VPI!R290</f>
        <v>0</v>
      </c>
      <c r="AF290" s="235"/>
      <c r="AG290" s="235"/>
      <c r="AH290" s="235"/>
      <c r="AI290" s="269"/>
      <c r="AJ290" s="8"/>
      <c r="AK290" s="436">
        <f>AJ290/VPI!R290</f>
        <v>0</v>
      </c>
      <c r="AL290" s="438">
        <f t="shared" si="19"/>
        <v>0</v>
      </c>
      <c r="AM290" s="436">
        <f>AL290/VPI!R290</f>
        <v>0</v>
      </c>
      <c r="AN290" s="8"/>
      <c r="AO290" s="269"/>
      <c r="AP290" s="522">
        <v>29.098328756621406</v>
      </c>
      <c r="AR290" s="539">
        <v>0</v>
      </c>
      <c r="AU290" s="5"/>
    </row>
    <row r="291" spans="1:47" s="237" customFormat="1" x14ac:dyDescent="0.25">
      <c r="A291" s="190">
        <v>5923</v>
      </c>
      <c r="B291" s="440" t="s">
        <v>235</v>
      </c>
      <c r="C291" s="528">
        <v>240852.12</v>
      </c>
      <c r="D291" s="528">
        <v>39684.65</v>
      </c>
      <c r="E291" s="528"/>
      <c r="F291" s="529"/>
      <c r="G291" s="528">
        <v>22460.05</v>
      </c>
      <c r="H291" s="528">
        <v>-218.9</v>
      </c>
      <c r="I291" s="528"/>
      <c r="J291" s="528">
        <v>31244.639999999999</v>
      </c>
      <c r="K291" s="528"/>
      <c r="L291" s="528">
        <v>27354</v>
      </c>
      <c r="M291" s="491">
        <f t="shared" si="16"/>
        <v>361376.56</v>
      </c>
      <c r="N291" s="241">
        <v>40011.199999999997</v>
      </c>
      <c r="O291" s="241">
        <v>1527.6</v>
      </c>
      <c r="P291" s="241"/>
      <c r="Q291" s="241">
        <v>3625.14</v>
      </c>
      <c r="R291" s="241"/>
      <c r="S291" s="528">
        <v>2324.31</v>
      </c>
      <c r="T291" s="491">
        <f t="shared" si="17"/>
        <v>408864.81</v>
      </c>
      <c r="U291" s="237">
        <v>-6113.84</v>
      </c>
      <c r="V291" s="241"/>
      <c r="W291" s="241">
        <v>0</v>
      </c>
      <c r="X291" s="533">
        <v>81</v>
      </c>
      <c r="Y291" s="536">
        <v>1</v>
      </c>
      <c r="Z291" s="213">
        <v>202</v>
      </c>
      <c r="AA291" s="265"/>
      <c r="AB291" s="235"/>
      <c r="AC291" s="436">
        <f>AB291/VPI!R291</f>
        <v>0</v>
      </c>
      <c r="AD291" s="438">
        <f t="shared" si="18"/>
        <v>0</v>
      </c>
      <c r="AE291" s="436">
        <f>AD291/VPI!R291</f>
        <v>0</v>
      </c>
      <c r="AF291" s="235"/>
      <c r="AG291" s="235"/>
      <c r="AH291" s="235"/>
      <c r="AI291" s="269"/>
      <c r="AJ291" s="8"/>
      <c r="AK291" s="436">
        <f>AJ291/VPI!R291</f>
        <v>0</v>
      </c>
      <c r="AL291" s="438">
        <f t="shared" si="19"/>
        <v>0</v>
      </c>
      <c r="AM291" s="436">
        <f>AL291/VPI!R291</f>
        <v>0</v>
      </c>
      <c r="AN291" s="8"/>
      <c r="AO291" s="269"/>
      <c r="AP291" s="522">
        <v>2.1094364201705265</v>
      </c>
      <c r="AR291" s="539">
        <v>0</v>
      </c>
      <c r="AU291" s="5"/>
    </row>
    <row r="292" spans="1:47" s="237" customFormat="1" x14ac:dyDescent="0.25">
      <c r="A292" s="190">
        <v>5924</v>
      </c>
      <c r="B292" s="440" t="s">
        <v>236</v>
      </c>
      <c r="C292" s="528">
        <v>683629.63</v>
      </c>
      <c r="D292" s="528">
        <v>78938.259999999995</v>
      </c>
      <c r="E292" s="528"/>
      <c r="F292" s="529"/>
      <c r="G292" s="528">
        <v>11651.25</v>
      </c>
      <c r="H292" s="528">
        <v>689.2</v>
      </c>
      <c r="I292" s="528"/>
      <c r="J292" s="528">
        <v>22949.55</v>
      </c>
      <c r="K292" s="528"/>
      <c r="L292" s="528">
        <v>61757.15</v>
      </c>
      <c r="M292" s="491">
        <f t="shared" si="16"/>
        <v>859615.04</v>
      </c>
      <c r="N292" s="241">
        <v>20322.2</v>
      </c>
      <c r="O292" s="241"/>
      <c r="P292" s="241">
        <v>26337.05</v>
      </c>
      <c r="Q292" s="241">
        <v>1748.47</v>
      </c>
      <c r="R292" s="241">
        <v>22442.5</v>
      </c>
      <c r="S292" s="528">
        <v>1289.6400000000001</v>
      </c>
      <c r="T292" s="491">
        <f t="shared" si="17"/>
        <v>931754.9</v>
      </c>
      <c r="U292" s="237">
        <v>-1325.8</v>
      </c>
      <c r="V292" s="241"/>
      <c r="W292" s="241">
        <v>-145.54</v>
      </c>
      <c r="X292" s="533">
        <v>74</v>
      </c>
      <c r="Y292" s="536">
        <v>1</v>
      </c>
      <c r="Z292" s="213">
        <v>407</v>
      </c>
      <c r="AA292" s="265"/>
      <c r="AB292" s="235"/>
      <c r="AC292" s="436">
        <f>AB292/VPI!R292</f>
        <v>0</v>
      </c>
      <c r="AD292" s="438">
        <f t="shared" si="18"/>
        <v>0</v>
      </c>
      <c r="AE292" s="436">
        <f>AD292/VPI!R292</f>
        <v>0</v>
      </c>
      <c r="AF292" s="235"/>
      <c r="AG292" s="235"/>
      <c r="AH292" s="235"/>
      <c r="AI292" s="269"/>
      <c r="AJ292" s="8"/>
      <c r="AK292" s="436">
        <f>AJ292/VPI!R292</f>
        <v>0</v>
      </c>
      <c r="AL292" s="438">
        <f t="shared" si="19"/>
        <v>0</v>
      </c>
      <c r="AM292" s="436">
        <f>AL292/VPI!R292</f>
        <v>0</v>
      </c>
      <c r="AN292" s="8"/>
      <c r="AO292" s="269"/>
      <c r="AP292" s="522">
        <v>19.604113810476523</v>
      </c>
      <c r="AR292" s="539">
        <v>0</v>
      </c>
      <c r="AU292" s="5"/>
    </row>
    <row r="293" spans="1:47" s="237" customFormat="1" x14ac:dyDescent="0.25">
      <c r="A293" s="190">
        <v>5925</v>
      </c>
      <c r="B293" s="440" t="s">
        <v>327</v>
      </c>
      <c r="C293" s="528">
        <v>310921.34999999998</v>
      </c>
      <c r="D293" s="528">
        <v>61925.62</v>
      </c>
      <c r="E293" s="528"/>
      <c r="F293" s="529">
        <v>680</v>
      </c>
      <c r="G293" s="528">
        <v>2423</v>
      </c>
      <c r="H293" s="528">
        <v>450.25</v>
      </c>
      <c r="I293" s="528"/>
      <c r="J293" s="528">
        <v>11747.07</v>
      </c>
      <c r="K293" s="528"/>
      <c r="L293" s="528">
        <v>34493.699999999997</v>
      </c>
      <c r="M293" s="491">
        <f t="shared" si="16"/>
        <v>422640.99</v>
      </c>
      <c r="N293" s="241">
        <v>288.45</v>
      </c>
      <c r="O293" s="241">
        <v>13581.5</v>
      </c>
      <c r="P293" s="241">
        <v>4660.1499999999996</v>
      </c>
      <c r="Q293" s="241">
        <v>2220.4899999999998</v>
      </c>
      <c r="R293" s="241">
        <v>20445.099999999999</v>
      </c>
      <c r="S293" s="528">
        <v>300.27</v>
      </c>
      <c r="T293" s="491">
        <f t="shared" si="17"/>
        <v>464136.95</v>
      </c>
      <c r="U293" s="237">
        <v>-10323.950000000001</v>
      </c>
      <c r="V293" s="241"/>
      <c r="W293" s="241">
        <v>-164.65</v>
      </c>
      <c r="X293" s="533">
        <v>79</v>
      </c>
      <c r="Y293" s="536">
        <v>1</v>
      </c>
      <c r="Z293" s="213">
        <v>212</v>
      </c>
      <c r="AA293" s="265"/>
      <c r="AB293" s="235"/>
      <c r="AC293" s="436">
        <f>AB293/VPI!R293</f>
        <v>0</v>
      </c>
      <c r="AD293" s="438">
        <f t="shared" si="18"/>
        <v>0</v>
      </c>
      <c r="AE293" s="436">
        <f>AD293/VPI!R293</f>
        <v>0</v>
      </c>
      <c r="AF293" s="235"/>
      <c r="AG293" s="235"/>
      <c r="AH293" s="235"/>
      <c r="AI293" s="269"/>
      <c r="AJ293" s="8"/>
      <c r="AK293" s="436">
        <f>AJ293/VPI!R293</f>
        <v>0</v>
      </c>
      <c r="AL293" s="438">
        <f t="shared" si="19"/>
        <v>0</v>
      </c>
      <c r="AM293" s="436">
        <f>AL293/VPI!R293</f>
        <v>0</v>
      </c>
      <c r="AN293" s="8"/>
      <c r="AO293" s="269"/>
      <c r="AP293" s="522">
        <v>4.379456119725619</v>
      </c>
      <c r="AR293" s="539">
        <v>0</v>
      </c>
      <c r="AU293" s="5"/>
    </row>
    <row r="294" spans="1:47" s="237" customFormat="1" x14ac:dyDescent="0.25">
      <c r="A294" s="190">
        <v>5926</v>
      </c>
      <c r="B294" s="440" t="s">
        <v>328</v>
      </c>
      <c r="C294" s="528">
        <v>1440302.97</v>
      </c>
      <c r="D294" s="528">
        <v>242047.73</v>
      </c>
      <c r="E294" s="528"/>
      <c r="F294" s="529"/>
      <c r="G294" s="528">
        <v>46776.800000000003</v>
      </c>
      <c r="H294" s="528">
        <v>589.65</v>
      </c>
      <c r="I294" s="528"/>
      <c r="J294" s="528">
        <v>39940.949999999997</v>
      </c>
      <c r="K294" s="528"/>
      <c r="L294" s="530">
        <v>139755.29999999999</v>
      </c>
      <c r="M294" s="491">
        <f t="shared" si="16"/>
        <v>1909413.4</v>
      </c>
      <c r="N294" s="241">
        <v>24861.65</v>
      </c>
      <c r="O294" s="241">
        <v>23125.599999999999</v>
      </c>
      <c r="P294" s="241">
        <v>45914.65</v>
      </c>
      <c r="Q294" s="241">
        <v>1395.7</v>
      </c>
      <c r="R294" s="241">
        <v>30756.799999999999</v>
      </c>
      <c r="S294" s="528">
        <v>4950.04</v>
      </c>
      <c r="T294" s="491">
        <f t="shared" si="17"/>
        <v>2040417.8399999999</v>
      </c>
      <c r="U294" s="237">
        <v>-14155.75</v>
      </c>
      <c r="V294" s="241"/>
      <c r="W294" s="241">
        <v>-33.1</v>
      </c>
      <c r="X294" s="533">
        <v>71</v>
      </c>
      <c r="Y294" s="536">
        <v>1</v>
      </c>
      <c r="Z294" s="213">
        <v>868</v>
      </c>
      <c r="AA294" s="265"/>
      <c r="AB294" s="235"/>
      <c r="AC294" s="436">
        <f>AB294/VPI!R294</f>
        <v>0</v>
      </c>
      <c r="AD294" s="438">
        <f t="shared" si="18"/>
        <v>0</v>
      </c>
      <c r="AE294" s="436">
        <f>AD294/VPI!R294</f>
        <v>0</v>
      </c>
      <c r="AF294" s="235"/>
      <c r="AG294" s="235"/>
      <c r="AH294" s="235"/>
      <c r="AI294" s="269"/>
      <c r="AJ294" s="8"/>
      <c r="AK294" s="436">
        <f>AJ294/VPI!R294</f>
        <v>0</v>
      </c>
      <c r="AL294" s="438">
        <f t="shared" si="19"/>
        <v>0</v>
      </c>
      <c r="AM294" s="436">
        <f>AL294/VPI!R294</f>
        <v>0</v>
      </c>
      <c r="AN294" s="8"/>
      <c r="AO294" s="269"/>
      <c r="AP294" s="522">
        <v>17.946168935028922</v>
      </c>
      <c r="AR294" s="539">
        <v>1</v>
      </c>
      <c r="AU294" s="5"/>
    </row>
    <row r="295" spans="1:47" s="237" customFormat="1" x14ac:dyDescent="0.25">
      <c r="A295" s="190">
        <v>5928</v>
      </c>
      <c r="B295" s="440" t="s">
        <v>329</v>
      </c>
      <c r="C295" s="528">
        <v>295283.53000000003</v>
      </c>
      <c r="D295" s="528">
        <v>35785.18</v>
      </c>
      <c r="E295" s="528"/>
      <c r="F295" s="529"/>
      <c r="G295" s="528">
        <v>1941.6</v>
      </c>
      <c r="H295" s="528">
        <v>-21.6</v>
      </c>
      <c r="I295" s="528"/>
      <c r="J295" s="528">
        <v>12054.8</v>
      </c>
      <c r="K295" s="528"/>
      <c r="L295" s="528">
        <v>26295.7</v>
      </c>
      <c r="M295" s="491">
        <f t="shared" si="16"/>
        <v>371339.21</v>
      </c>
      <c r="N295" s="241">
        <v>0</v>
      </c>
      <c r="O295" s="241"/>
      <c r="P295" s="241">
        <v>70.25</v>
      </c>
      <c r="Q295" s="241">
        <v>11</v>
      </c>
      <c r="R295" s="241">
        <v>168.25</v>
      </c>
      <c r="S295" s="528">
        <v>200.65</v>
      </c>
      <c r="T295" s="491">
        <f t="shared" si="17"/>
        <v>371789.36000000004</v>
      </c>
      <c r="U295" s="237">
        <v>-7221.21</v>
      </c>
      <c r="V295" s="241"/>
      <c r="W295" s="241">
        <v>0</v>
      </c>
      <c r="X295" s="533">
        <v>71.5</v>
      </c>
      <c r="Y295" s="536">
        <v>1</v>
      </c>
      <c r="Z295" s="213">
        <v>197</v>
      </c>
      <c r="AA295" s="265"/>
      <c r="AB295" s="235"/>
      <c r="AC295" s="436">
        <f>AB295/VPI!R295</f>
        <v>0</v>
      </c>
      <c r="AD295" s="438">
        <f t="shared" si="18"/>
        <v>0</v>
      </c>
      <c r="AE295" s="436">
        <f>AD295/VPI!R295</f>
        <v>0</v>
      </c>
      <c r="AF295" s="235"/>
      <c r="AG295" s="235"/>
      <c r="AH295" s="235"/>
      <c r="AI295" s="269"/>
      <c r="AJ295" s="8"/>
      <c r="AK295" s="436">
        <f>AJ295/VPI!R295</f>
        <v>0</v>
      </c>
      <c r="AL295" s="438">
        <f t="shared" si="19"/>
        <v>0</v>
      </c>
      <c r="AM295" s="436">
        <f>AL295/VPI!R295</f>
        <v>0</v>
      </c>
      <c r="AN295" s="8"/>
      <c r="AO295" s="269"/>
      <c r="AP295" s="522">
        <v>9.2819917240754659</v>
      </c>
      <c r="AR295" s="539">
        <v>0</v>
      </c>
      <c r="AU295" s="5"/>
    </row>
    <row r="296" spans="1:47" x14ac:dyDescent="0.25">
      <c r="A296" s="190">
        <v>5929</v>
      </c>
      <c r="B296" s="440" t="s">
        <v>330</v>
      </c>
      <c r="C296" s="528">
        <v>1158429.44</v>
      </c>
      <c r="D296" s="528">
        <v>142569.04</v>
      </c>
      <c r="E296" s="528"/>
      <c r="F296" s="529"/>
      <c r="G296" s="528">
        <v>33353.050000000003</v>
      </c>
      <c r="H296" s="528">
        <v>128.44999999999999</v>
      </c>
      <c r="I296" s="528">
        <v>41100.15</v>
      </c>
      <c r="J296" s="528">
        <v>26464.74</v>
      </c>
      <c r="K296" s="528"/>
      <c r="L296" s="528">
        <v>94372.6</v>
      </c>
      <c r="M296" s="491">
        <f t="shared" si="16"/>
        <v>1496417.47</v>
      </c>
      <c r="N296" s="241">
        <v>19827.2</v>
      </c>
      <c r="O296" s="241"/>
      <c r="P296" s="241">
        <v>36654.550000000003</v>
      </c>
      <c r="Q296" s="241">
        <v>158.96</v>
      </c>
      <c r="R296" s="241">
        <v>52663.95</v>
      </c>
      <c r="S296" s="528">
        <v>3498.99</v>
      </c>
      <c r="T296" s="491">
        <f t="shared" si="17"/>
        <v>1609221.1199999999</v>
      </c>
      <c r="U296" s="237">
        <v>-11366.04</v>
      </c>
      <c r="V296" s="241"/>
      <c r="W296" s="241">
        <v>-87.5</v>
      </c>
      <c r="X296" s="533">
        <v>70</v>
      </c>
      <c r="Y296" s="536">
        <v>0.8</v>
      </c>
      <c r="Z296" s="213">
        <v>671</v>
      </c>
      <c r="AA296" s="265"/>
      <c r="AB296" s="235"/>
      <c r="AC296" s="436">
        <f>AB296/VPI!R296</f>
        <v>0</v>
      </c>
      <c r="AD296" s="438">
        <f t="shared" si="18"/>
        <v>0</v>
      </c>
      <c r="AE296" s="436">
        <f>AD296/VPI!R296</f>
        <v>0</v>
      </c>
      <c r="AF296" s="235"/>
      <c r="AG296" s="235"/>
      <c r="AH296" s="235"/>
      <c r="AI296" s="269"/>
      <c r="AJ296" s="8"/>
      <c r="AK296" s="436">
        <f>AJ296/VPI!R296</f>
        <v>0</v>
      </c>
      <c r="AL296" s="438">
        <f t="shared" si="19"/>
        <v>0</v>
      </c>
      <c r="AM296" s="436">
        <f>AL296/VPI!R296</f>
        <v>0</v>
      </c>
      <c r="AN296" s="8"/>
      <c r="AO296" s="269"/>
      <c r="AP296" s="522">
        <v>15.731623991753112</v>
      </c>
      <c r="AR296" s="539">
        <v>1</v>
      </c>
    </row>
    <row r="297" spans="1:47" s="237" customFormat="1" x14ac:dyDescent="0.25">
      <c r="A297" s="190">
        <v>5930</v>
      </c>
      <c r="B297" s="440" t="s">
        <v>331</v>
      </c>
      <c r="C297" s="528">
        <v>324024.74</v>
      </c>
      <c r="D297" s="528">
        <v>50569.21</v>
      </c>
      <c r="E297" s="528"/>
      <c r="F297" s="529">
        <v>1150</v>
      </c>
      <c r="G297" s="528">
        <v>587.29999999999995</v>
      </c>
      <c r="H297" s="528">
        <v>42.1</v>
      </c>
      <c r="I297" s="528"/>
      <c r="J297" s="528">
        <v>6739.75</v>
      </c>
      <c r="K297" s="528">
        <v>228.6</v>
      </c>
      <c r="L297" s="528">
        <v>30971.5</v>
      </c>
      <c r="M297" s="491">
        <f t="shared" si="16"/>
        <v>414313.19999999995</v>
      </c>
      <c r="N297" s="241">
        <v>0</v>
      </c>
      <c r="O297" s="241">
        <v>0</v>
      </c>
      <c r="P297" s="241">
        <v>27302</v>
      </c>
      <c r="Q297" s="241">
        <v>0</v>
      </c>
      <c r="R297" s="241">
        <v>21235.95</v>
      </c>
      <c r="S297" s="528">
        <v>65.78</v>
      </c>
      <c r="T297" s="491">
        <f t="shared" si="17"/>
        <v>462916.93</v>
      </c>
      <c r="U297" s="237">
        <v>-42.39</v>
      </c>
      <c r="V297" s="241"/>
      <c r="W297" s="241">
        <v>-396.7</v>
      </c>
      <c r="X297" s="533">
        <v>72</v>
      </c>
      <c r="Y297" s="536">
        <v>1</v>
      </c>
      <c r="Z297" s="213">
        <v>220</v>
      </c>
      <c r="AA297" s="265"/>
      <c r="AB297" s="235"/>
      <c r="AC297" s="436">
        <f>AB297/VPI!R297</f>
        <v>0</v>
      </c>
      <c r="AD297" s="438">
        <f t="shared" si="18"/>
        <v>0</v>
      </c>
      <c r="AE297" s="436">
        <f>AD297/VPI!R297</f>
        <v>0</v>
      </c>
      <c r="AF297" s="235"/>
      <c r="AG297" s="235"/>
      <c r="AH297" s="235"/>
      <c r="AI297" s="269"/>
      <c r="AJ297" s="8"/>
      <c r="AK297" s="436">
        <f>AJ297/VPI!R297</f>
        <v>0</v>
      </c>
      <c r="AL297" s="438">
        <f t="shared" si="19"/>
        <v>0</v>
      </c>
      <c r="AM297" s="436">
        <f>AL297/VPI!R297</f>
        <v>0</v>
      </c>
      <c r="AN297" s="8"/>
      <c r="AO297" s="269"/>
      <c r="AP297" s="522">
        <v>15.195735512050128</v>
      </c>
      <c r="AR297" s="539">
        <v>1</v>
      </c>
      <c r="AU297" s="5"/>
    </row>
    <row r="298" spans="1:47" x14ac:dyDescent="0.25">
      <c r="A298" s="190">
        <v>5931</v>
      </c>
      <c r="B298" s="440" t="s">
        <v>332</v>
      </c>
      <c r="C298" s="528">
        <v>1036909.97</v>
      </c>
      <c r="D298" s="528">
        <v>93771.85</v>
      </c>
      <c r="E298" s="528"/>
      <c r="F298" s="529"/>
      <c r="G298" s="528">
        <v>11925.35</v>
      </c>
      <c r="H298" s="528">
        <v>1184.5999999999999</v>
      </c>
      <c r="I298" s="528"/>
      <c r="J298" s="528">
        <v>16964.7</v>
      </c>
      <c r="K298" s="528">
        <v>1295.9000000000001</v>
      </c>
      <c r="L298" s="528">
        <v>85534.8</v>
      </c>
      <c r="M298" s="491">
        <f t="shared" si="16"/>
        <v>1247587.1700000002</v>
      </c>
      <c r="N298" s="241">
        <v>14546.55</v>
      </c>
      <c r="O298" s="241"/>
      <c r="P298" s="241">
        <v>99291.5</v>
      </c>
      <c r="Q298" s="241">
        <v>2635.73</v>
      </c>
      <c r="R298" s="241">
        <v>98829.1</v>
      </c>
      <c r="S298" s="528">
        <v>1370.06</v>
      </c>
      <c r="T298" s="491">
        <f t="shared" si="17"/>
        <v>1464260.1100000003</v>
      </c>
      <c r="U298" s="237">
        <v>-28547.599999999999</v>
      </c>
      <c r="V298" s="241"/>
      <c r="W298" s="241">
        <v>-39.6</v>
      </c>
      <c r="X298" s="533">
        <v>75</v>
      </c>
      <c r="Y298" s="536">
        <v>1</v>
      </c>
      <c r="Z298" s="213">
        <v>520</v>
      </c>
      <c r="AA298" s="265"/>
      <c r="AB298" s="235"/>
      <c r="AC298" s="436">
        <f>AB298/VPI!R298</f>
        <v>0</v>
      </c>
      <c r="AD298" s="438">
        <f t="shared" si="18"/>
        <v>0</v>
      </c>
      <c r="AE298" s="436">
        <f>AD298/VPI!R298</f>
        <v>0</v>
      </c>
      <c r="AF298" s="235"/>
      <c r="AG298" s="235"/>
      <c r="AH298" s="235"/>
      <c r="AI298" s="269"/>
      <c r="AJ298" s="8"/>
      <c r="AK298" s="436">
        <f>AJ298/VPI!R298</f>
        <v>0</v>
      </c>
      <c r="AL298" s="438">
        <f t="shared" si="19"/>
        <v>0</v>
      </c>
      <c r="AM298" s="436">
        <f>AL298/VPI!R298</f>
        <v>0</v>
      </c>
      <c r="AN298" s="8"/>
      <c r="AO298" s="269"/>
      <c r="AP298" s="522">
        <v>14.432757288151009</v>
      </c>
      <c r="AR298" s="539">
        <v>1</v>
      </c>
    </row>
    <row r="299" spans="1:47" x14ac:dyDescent="0.25">
      <c r="A299" s="190">
        <v>5932</v>
      </c>
      <c r="B299" s="440" t="s">
        <v>237</v>
      </c>
      <c r="C299" s="528">
        <v>438578.77</v>
      </c>
      <c r="D299" s="528">
        <v>78417.789999999994</v>
      </c>
      <c r="E299" s="528"/>
      <c r="F299" s="529">
        <v>1350</v>
      </c>
      <c r="G299" s="528">
        <v>174.7</v>
      </c>
      <c r="H299" s="528">
        <v>424.55</v>
      </c>
      <c r="I299" s="528">
        <v>40597.800000000003</v>
      </c>
      <c r="J299" s="528">
        <v>5920.82</v>
      </c>
      <c r="K299" s="528">
        <v>819.5</v>
      </c>
      <c r="L299" s="528">
        <v>33679.300000000003</v>
      </c>
      <c r="M299" s="491">
        <f t="shared" si="16"/>
        <v>599963.23</v>
      </c>
      <c r="N299" s="241">
        <v>0</v>
      </c>
      <c r="O299" s="241">
        <v>1060.9000000000001</v>
      </c>
      <c r="P299" s="241"/>
      <c r="Q299" s="241">
        <v>56.86</v>
      </c>
      <c r="R299" s="241">
        <v>18408.75</v>
      </c>
      <c r="S299" s="528">
        <v>62.62</v>
      </c>
      <c r="T299" s="491">
        <f t="shared" si="17"/>
        <v>619552.36</v>
      </c>
      <c r="U299" s="237">
        <v>-4106.46</v>
      </c>
      <c r="V299" s="241"/>
      <c r="W299" s="241">
        <v>-53.7</v>
      </c>
      <c r="X299" s="533">
        <v>75</v>
      </c>
      <c r="Y299" s="536">
        <v>1</v>
      </c>
      <c r="Z299" s="213">
        <v>230</v>
      </c>
      <c r="AA299" s="265"/>
      <c r="AB299" s="235"/>
      <c r="AC299" s="436">
        <f>AB299/VPI!R299</f>
        <v>0</v>
      </c>
      <c r="AD299" s="438">
        <f t="shared" si="18"/>
        <v>0</v>
      </c>
      <c r="AE299" s="436">
        <f>AD299/VPI!R299</f>
        <v>0</v>
      </c>
      <c r="AF299" s="235"/>
      <c r="AG299" s="235"/>
      <c r="AH299" s="235"/>
      <c r="AI299" s="269"/>
      <c r="AJ299" s="8"/>
      <c r="AK299" s="436">
        <f>AJ299/VPI!R299</f>
        <v>0</v>
      </c>
      <c r="AL299" s="438">
        <f t="shared" si="19"/>
        <v>0</v>
      </c>
      <c r="AM299" s="436">
        <f>AL299/VPI!R299</f>
        <v>0</v>
      </c>
      <c r="AN299" s="8"/>
      <c r="AO299" s="269"/>
      <c r="AP299" s="522">
        <v>17.449227239360354</v>
      </c>
      <c r="AR299" s="539">
        <v>0</v>
      </c>
    </row>
    <row r="300" spans="1:47" x14ac:dyDescent="0.25">
      <c r="A300" s="190">
        <v>5933</v>
      </c>
      <c r="B300" s="440" t="s">
        <v>325</v>
      </c>
      <c r="C300" s="528">
        <v>1343729.72</v>
      </c>
      <c r="D300" s="528">
        <v>162464.26999999999</v>
      </c>
      <c r="E300" s="528"/>
      <c r="F300" s="529"/>
      <c r="G300" s="528">
        <v>24941.200000000001</v>
      </c>
      <c r="H300" s="528">
        <v>168.65</v>
      </c>
      <c r="I300" s="528"/>
      <c r="J300" s="528">
        <v>15895.67</v>
      </c>
      <c r="K300" s="528">
        <v>3437.05</v>
      </c>
      <c r="L300" s="528">
        <v>123173.55</v>
      </c>
      <c r="M300" s="491">
        <f t="shared" si="16"/>
        <v>1673810.1099999999</v>
      </c>
      <c r="N300" s="241">
        <v>27780.9</v>
      </c>
      <c r="O300" s="241">
        <v>27451.599999999999</v>
      </c>
      <c r="P300" s="241">
        <v>51051.05</v>
      </c>
      <c r="Q300" s="241">
        <v>153.87</v>
      </c>
      <c r="R300" s="241">
        <v>14564.25</v>
      </c>
      <c r="S300" s="528">
        <v>2624.11</v>
      </c>
      <c r="T300" s="491">
        <f t="shared" si="17"/>
        <v>1797435.8900000001</v>
      </c>
      <c r="U300" s="237">
        <v>-21366.7</v>
      </c>
      <c r="V300" s="241"/>
      <c r="W300" s="241">
        <v>-0.21</v>
      </c>
      <c r="X300" s="533">
        <v>70.5</v>
      </c>
      <c r="Y300" s="536">
        <v>1</v>
      </c>
      <c r="Z300" s="213">
        <v>703</v>
      </c>
      <c r="AA300" s="265"/>
      <c r="AB300" s="235"/>
      <c r="AC300" s="436">
        <f>AB300/VPI!R300</f>
        <v>0</v>
      </c>
      <c r="AD300" s="438">
        <f t="shared" si="18"/>
        <v>0</v>
      </c>
      <c r="AE300" s="436">
        <f>AD300/VPI!R300</f>
        <v>0</v>
      </c>
      <c r="AF300" s="235"/>
      <c r="AG300" s="235"/>
      <c r="AH300" s="235"/>
      <c r="AI300" s="269"/>
      <c r="AJ300" s="8"/>
      <c r="AK300" s="436">
        <f>AJ300/VPI!R300</f>
        <v>0</v>
      </c>
      <c r="AL300" s="438">
        <f t="shared" si="19"/>
        <v>0</v>
      </c>
      <c r="AM300" s="436">
        <f>AL300/VPI!R300</f>
        <v>0</v>
      </c>
      <c r="AN300" s="8"/>
      <c r="AO300" s="269"/>
      <c r="AP300" s="522">
        <v>12.120948554390793</v>
      </c>
      <c r="AR300" s="539">
        <v>0</v>
      </c>
    </row>
    <row r="301" spans="1:47" x14ac:dyDescent="0.25">
      <c r="A301" s="190">
        <v>5934</v>
      </c>
      <c r="B301" s="440" t="s">
        <v>326</v>
      </c>
      <c r="C301" s="528">
        <v>1135253.8899999999</v>
      </c>
      <c r="D301" s="528">
        <v>111660.06</v>
      </c>
      <c r="E301" s="528"/>
      <c r="F301" s="529">
        <v>1520</v>
      </c>
      <c r="G301" s="528">
        <v>-55.05</v>
      </c>
      <c r="H301" s="528">
        <v>-18.05</v>
      </c>
      <c r="I301" s="528"/>
      <c r="J301" s="528">
        <v>16298.23</v>
      </c>
      <c r="K301" s="528">
        <v>34.700000000000003</v>
      </c>
      <c r="L301" s="528">
        <v>29927.4</v>
      </c>
      <c r="M301" s="491">
        <f t="shared" si="16"/>
        <v>1294621.1799999997</v>
      </c>
      <c r="N301" s="241">
        <v>7121.8</v>
      </c>
      <c r="O301" s="241">
        <v>36038.199999999997</v>
      </c>
      <c r="P301" s="241">
        <v>20020</v>
      </c>
      <c r="Q301" s="241"/>
      <c r="R301" s="241"/>
      <c r="S301" s="528">
        <v>-7.64</v>
      </c>
      <c r="T301" s="491">
        <f t="shared" si="17"/>
        <v>1357793.5399999998</v>
      </c>
      <c r="U301" s="237">
        <v>-1969.43</v>
      </c>
      <c r="V301" s="241"/>
      <c r="W301" s="241">
        <v>0</v>
      </c>
      <c r="X301" s="533">
        <v>77</v>
      </c>
      <c r="Y301" s="536">
        <v>1</v>
      </c>
      <c r="Z301" s="213">
        <v>241</v>
      </c>
      <c r="AA301" s="265"/>
      <c r="AB301" s="235"/>
      <c r="AC301" s="436">
        <f>AB301/VPI!R301</f>
        <v>0</v>
      </c>
      <c r="AD301" s="438">
        <f t="shared" si="18"/>
        <v>0</v>
      </c>
      <c r="AE301" s="436">
        <f>AD301/VPI!R301</f>
        <v>0</v>
      </c>
      <c r="AF301" s="235"/>
      <c r="AG301" s="235"/>
      <c r="AH301" s="235"/>
      <c r="AI301" s="269"/>
      <c r="AJ301" s="8"/>
      <c r="AK301" s="436">
        <f>AJ301/VPI!R301</f>
        <v>0</v>
      </c>
      <c r="AL301" s="438">
        <f t="shared" si="19"/>
        <v>0</v>
      </c>
      <c r="AM301" s="436">
        <f>AL301/VPI!R301</f>
        <v>0</v>
      </c>
      <c r="AN301" s="8"/>
      <c r="AO301" s="269"/>
      <c r="AP301" s="522">
        <v>9.8140131664116517</v>
      </c>
      <c r="AR301" s="539">
        <v>0</v>
      </c>
    </row>
    <row r="302" spans="1:47" x14ac:dyDescent="0.25">
      <c r="A302" s="190">
        <v>5935</v>
      </c>
      <c r="B302" s="440" t="s">
        <v>254</v>
      </c>
      <c r="C302" s="528">
        <v>236148.89</v>
      </c>
      <c r="D302" s="528">
        <v>196068.77</v>
      </c>
      <c r="E302" s="528"/>
      <c r="F302" s="529"/>
      <c r="G302" s="528">
        <v>1900.45</v>
      </c>
      <c r="H302" s="528">
        <v>421.5</v>
      </c>
      <c r="I302" s="528"/>
      <c r="J302" s="528">
        <v>1751.41</v>
      </c>
      <c r="K302" s="528"/>
      <c r="L302" s="528">
        <v>20862.05</v>
      </c>
      <c r="M302" s="491">
        <f t="shared" si="16"/>
        <v>457153.07</v>
      </c>
      <c r="N302" s="241">
        <v>0</v>
      </c>
      <c r="O302" s="241"/>
      <c r="P302" s="241">
        <v>32010</v>
      </c>
      <c r="Q302" s="241"/>
      <c r="R302" s="241">
        <v>25852.7</v>
      </c>
      <c r="S302" s="528">
        <v>242.66</v>
      </c>
      <c r="T302" s="491">
        <f t="shared" si="17"/>
        <v>515258.43</v>
      </c>
      <c r="U302" s="237">
        <v>-14.49</v>
      </c>
      <c r="V302" s="241"/>
      <c r="W302" s="241">
        <v>-121.1</v>
      </c>
      <c r="X302" s="533">
        <v>68</v>
      </c>
      <c r="Y302" s="536">
        <v>1</v>
      </c>
      <c r="Z302" s="213">
        <v>92</v>
      </c>
      <c r="AA302" s="265"/>
      <c r="AB302" s="235"/>
      <c r="AC302" s="436">
        <f>AB302/VPI!R302</f>
        <v>0</v>
      </c>
      <c r="AD302" s="438">
        <f t="shared" si="18"/>
        <v>0</v>
      </c>
      <c r="AE302" s="436">
        <f>AD302/VPI!R302</f>
        <v>0</v>
      </c>
      <c r="AF302" s="235"/>
      <c r="AG302" s="235"/>
      <c r="AH302" s="235"/>
      <c r="AI302" s="269"/>
      <c r="AJ302" s="8"/>
      <c r="AK302" s="436">
        <f>AJ302/VPI!R302</f>
        <v>0</v>
      </c>
      <c r="AL302" s="438">
        <f t="shared" si="19"/>
        <v>0</v>
      </c>
      <c r="AM302" s="436">
        <f>AL302/VPI!R302</f>
        <v>0</v>
      </c>
      <c r="AN302" s="8"/>
      <c r="AO302" s="269"/>
      <c r="AP302" s="522">
        <v>22.624285300478334</v>
      </c>
      <c r="AR302" s="539">
        <v>0</v>
      </c>
    </row>
    <row r="303" spans="1:47" x14ac:dyDescent="0.25">
      <c r="A303" s="190">
        <v>5937</v>
      </c>
      <c r="B303" s="440" t="s">
        <v>238</v>
      </c>
      <c r="C303" s="528">
        <v>195941.17</v>
      </c>
      <c r="D303" s="528">
        <v>19337.2</v>
      </c>
      <c r="E303" s="528"/>
      <c r="F303" s="529"/>
      <c r="G303" s="528">
        <v>1177.8499999999999</v>
      </c>
      <c r="H303" s="528">
        <v>106.5</v>
      </c>
      <c r="I303" s="528"/>
      <c r="J303" s="528">
        <v>2117.29</v>
      </c>
      <c r="K303" s="528"/>
      <c r="L303" s="528">
        <v>12533.57</v>
      </c>
      <c r="M303" s="491">
        <f t="shared" si="16"/>
        <v>231213.58000000005</v>
      </c>
      <c r="N303" s="241">
        <v>2274.35</v>
      </c>
      <c r="O303" s="241"/>
      <c r="P303" s="241">
        <v>13090</v>
      </c>
      <c r="Q303" s="241">
        <v>52.83</v>
      </c>
      <c r="R303" s="241">
        <v>3499.4</v>
      </c>
      <c r="S303" s="528">
        <v>134.22</v>
      </c>
      <c r="T303" s="491">
        <f t="shared" si="17"/>
        <v>250264.38000000003</v>
      </c>
      <c r="U303" s="237">
        <v>-2699.57</v>
      </c>
      <c r="V303" s="241"/>
      <c r="W303" s="241">
        <v>0</v>
      </c>
      <c r="X303" s="533">
        <v>70</v>
      </c>
      <c r="Y303" s="536">
        <v>0.7</v>
      </c>
      <c r="Z303" s="213">
        <v>142</v>
      </c>
      <c r="AA303" s="265"/>
      <c r="AB303" s="235"/>
      <c r="AC303" s="436">
        <f>AB303/VPI!R303</f>
        <v>0</v>
      </c>
      <c r="AD303" s="438">
        <f t="shared" si="18"/>
        <v>0</v>
      </c>
      <c r="AE303" s="436">
        <f>AD303/VPI!R303</f>
        <v>0</v>
      </c>
      <c r="AF303" s="235"/>
      <c r="AG303" s="235"/>
      <c r="AH303" s="235"/>
      <c r="AI303" s="269"/>
      <c r="AJ303" s="8"/>
      <c r="AK303" s="436">
        <f>AJ303/VPI!R303</f>
        <v>0</v>
      </c>
      <c r="AL303" s="438">
        <f t="shared" si="19"/>
        <v>0</v>
      </c>
      <c r="AM303" s="436">
        <f>AL303/VPI!R303</f>
        <v>0</v>
      </c>
      <c r="AN303" s="8"/>
      <c r="AO303" s="269"/>
      <c r="AP303" s="522">
        <v>7.3029066388922566</v>
      </c>
      <c r="AR303" s="539">
        <v>0</v>
      </c>
    </row>
    <row r="304" spans="1:47" x14ac:dyDescent="0.25">
      <c r="A304" s="190">
        <v>5938</v>
      </c>
      <c r="B304" s="440" t="s">
        <v>133</v>
      </c>
      <c r="C304" s="528">
        <v>42326469.560000002</v>
      </c>
      <c r="D304" s="528">
        <v>5051938.8</v>
      </c>
      <c r="E304" s="528"/>
      <c r="F304" s="529"/>
      <c r="G304" s="528">
        <v>3785833.65</v>
      </c>
      <c r="H304" s="528">
        <v>379814.40000000002</v>
      </c>
      <c r="I304" s="528"/>
      <c r="J304" s="528">
        <v>2035405.47</v>
      </c>
      <c r="K304" s="528">
        <v>733178.2</v>
      </c>
      <c r="L304" s="528">
        <v>4698262.95</v>
      </c>
      <c r="M304" s="491">
        <f t="shared" si="16"/>
        <v>59010903.030000001</v>
      </c>
      <c r="N304" s="241">
        <v>5431399.5</v>
      </c>
      <c r="O304" s="241">
        <v>882538.35</v>
      </c>
      <c r="P304" s="241">
        <v>2802146.2</v>
      </c>
      <c r="Q304" s="241">
        <v>309378.27</v>
      </c>
      <c r="R304" s="241">
        <v>1585332.9</v>
      </c>
      <c r="S304" s="528">
        <v>435331.61</v>
      </c>
      <c r="T304" s="491">
        <f t="shared" si="17"/>
        <v>70457029.859999999</v>
      </c>
      <c r="U304" s="237">
        <v>-1193782.54</v>
      </c>
      <c r="V304" s="241"/>
      <c r="W304" s="241">
        <v>-17227.91</v>
      </c>
      <c r="X304" s="533">
        <v>75</v>
      </c>
      <c r="Y304" s="536">
        <v>1</v>
      </c>
      <c r="Z304" s="213">
        <v>29897</v>
      </c>
      <c r="AA304" s="265"/>
      <c r="AB304" s="235"/>
      <c r="AC304" s="436">
        <f>AB304/VPI!R304</f>
        <v>0</v>
      </c>
      <c r="AD304" s="438">
        <f t="shared" si="18"/>
        <v>0</v>
      </c>
      <c r="AE304" s="436">
        <f>AD304/VPI!R304</f>
        <v>0</v>
      </c>
      <c r="AF304" s="235"/>
      <c r="AG304" s="235"/>
      <c r="AH304" s="235"/>
      <c r="AI304" s="269"/>
      <c r="AJ304" s="8"/>
      <c r="AK304" s="436">
        <f>AJ304/VPI!R304</f>
        <v>0</v>
      </c>
      <c r="AL304" s="438">
        <f t="shared" si="19"/>
        <v>0</v>
      </c>
      <c r="AM304" s="436">
        <f>AL304/VPI!R304</f>
        <v>0</v>
      </c>
      <c r="AN304" s="8"/>
      <c r="AO304" s="269"/>
      <c r="AP304" s="522">
        <v>-22.023420610335986</v>
      </c>
      <c r="AR304" s="539">
        <v>1</v>
      </c>
    </row>
    <row r="305" spans="1:47" x14ac:dyDescent="0.25">
      <c r="A305" s="190">
        <v>5939</v>
      </c>
      <c r="B305" s="440" t="s">
        <v>132</v>
      </c>
      <c r="C305" s="528">
        <v>5276349.25</v>
      </c>
      <c r="D305" s="528">
        <v>646041.44999999995</v>
      </c>
      <c r="E305" s="528"/>
      <c r="F305" s="529"/>
      <c r="G305" s="528">
        <v>365310.25</v>
      </c>
      <c r="H305" s="528">
        <v>10483.65</v>
      </c>
      <c r="I305" s="528"/>
      <c r="J305" s="528">
        <v>64905.83</v>
      </c>
      <c r="K305" s="528">
        <v>53322.6</v>
      </c>
      <c r="L305" s="528">
        <v>597639.35</v>
      </c>
      <c r="M305" s="491">
        <f t="shared" si="16"/>
        <v>7014052.3799999999</v>
      </c>
      <c r="N305" s="241">
        <v>174288.8</v>
      </c>
      <c r="O305" s="241">
        <v>777441.9</v>
      </c>
      <c r="P305" s="241">
        <v>341945.05</v>
      </c>
      <c r="Q305" s="241">
        <v>34210.68</v>
      </c>
      <c r="R305" s="241">
        <v>263684.5</v>
      </c>
      <c r="S305" s="528">
        <v>39272.39</v>
      </c>
      <c r="T305" s="491">
        <f t="shared" si="17"/>
        <v>8644895.6999999993</v>
      </c>
      <c r="U305" s="237">
        <v>-123423.25</v>
      </c>
      <c r="V305" s="241"/>
      <c r="W305" s="243">
        <v>-416.3</v>
      </c>
      <c r="X305" s="534">
        <v>71.5</v>
      </c>
      <c r="Y305" s="537">
        <v>1</v>
      </c>
      <c r="Z305" s="215">
        <v>3535</v>
      </c>
      <c r="AA305" s="265"/>
      <c r="AB305" s="235"/>
      <c r="AC305" s="436">
        <f>AB305/VPI!R305</f>
        <v>0</v>
      </c>
      <c r="AD305" s="438">
        <f t="shared" si="18"/>
        <v>0</v>
      </c>
      <c r="AE305" s="436">
        <f>AD305/VPI!R305</f>
        <v>0</v>
      </c>
      <c r="AF305" s="141"/>
      <c r="AG305" s="235"/>
      <c r="AH305" s="141"/>
      <c r="AI305" s="269"/>
      <c r="AJ305" s="8"/>
      <c r="AK305" s="436">
        <f>AJ305/VPI!R305</f>
        <v>0</v>
      </c>
      <c r="AL305" s="438">
        <f t="shared" si="19"/>
        <v>0</v>
      </c>
      <c r="AM305" s="436">
        <f>AL305/VPI!R305</f>
        <v>0</v>
      </c>
      <c r="AN305" s="225"/>
      <c r="AO305" s="269"/>
      <c r="AP305" s="522">
        <v>8.0867344347771031</v>
      </c>
      <c r="AR305" s="539">
        <v>0</v>
      </c>
    </row>
    <row r="306" spans="1:47" x14ac:dyDescent="0.25">
      <c r="A306" s="192"/>
      <c r="B306" s="201">
        <f>COUNTA(B6:B305)</f>
        <v>300</v>
      </c>
      <c r="C306" s="434">
        <f t="shared" ref="C306:S306" si="20">SUM(C6:C305)</f>
        <v>1711636779.2999995</v>
      </c>
      <c r="D306" s="434">
        <f t="shared" si="20"/>
        <v>336910319.83000028</v>
      </c>
      <c r="E306" s="434">
        <f t="shared" si="20"/>
        <v>0</v>
      </c>
      <c r="F306" s="434">
        <f t="shared" si="20"/>
        <v>120316.59999999999</v>
      </c>
      <c r="G306" s="434">
        <f t="shared" si="20"/>
        <v>293270914.3499999</v>
      </c>
      <c r="H306" s="434">
        <f t="shared" si="20"/>
        <v>35670555.449999981</v>
      </c>
      <c r="I306" s="434">
        <f t="shared" si="20"/>
        <v>40975270.140000008</v>
      </c>
      <c r="J306" s="434">
        <f t="shared" si="20"/>
        <v>80353589.530000046</v>
      </c>
      <c r="K306" s="434">
        <f t="shared" si="20"/>
        <v>21427695.000000004</v>
      </c>
      <c r="L306" s="434">
        <f t="shared" si="20"/>
        <v>232069776.22000003</v>
      </c>
      <c r="M306" s="492">
        <f t="shared" si="20"/>
        <v>2752435216.420002</v>
      </c>
      <c r="N306" s="434">
        <f t="shared" si="20"/>
        <v>86039533.399999931</v>
      </c>
      <c r="O306" s="434">
        <f t="shared" si="20"/>
        <v>90526120.200000018</v>
      </c>
      <c r="P306" s="434">
        <f t="shared" si="20"/>
        <v>114360408.85000004</v>
      </c>
      <c r="Q306" s="434">
        <f t="shared" si="20"/>
        <v>9672097.6099999957</v>
      </c>
      <c r="R306" s="434">
        <f t="shared" si="20"/>
        <v>91217415.00000006</v>
      </c>
      <c r="S306" s="434">
        <f t="shared" si="20"/>
        <v>34374977.730000004</v>
      </c>
      <c r="T306" s="492">
        <f t="shared" ref="T306" si="21">SUM(M306:S306)</f>
        <v>3178625769.2100019</v>
      </c>
      <c r="U306" s="434">
        <f>SUM(U6:U305)</f>
        <v>-31669246.170000006</v>
      </c>
      <c r="V306" s="434">
        <f>SUM(V6:V305)</f>
        <v>-35431.199999999997</v>
      </c>
      <c r="W306" s="434">
        <f>SUM(W6:W305)</f>
        <v>-5868235.3999999985</v>
      </c>
      <c r="X306" s="435"/>
      <c r="Y306" s="435"/>
      <c r="Z306" s="434">
        <f>SUM(Z6:Z305)</f>
        <v>831327</v>
      </c>
      <c r="AA306" s="240"/>
      <c r="AB306" s="434">
        <f>SUM(AB6:AB305)</f>
        <v>0</v>
      </c>
      <c r="AC306" s="437">
        <f>AB306/VPI!R306</f>
        <v>0</v>
      </c>
      <c r="AD306" s="439">
        <f>SUM(AD6:AD305)</f>
        <v>0</v>
      </c>
      <c r="AE306" s="437">
        <f>AD306/VPI!R306</f>
        <v>0</v>
      </c>
      <c r="AF306" s="434">
        <f>SUM(AF6:AF305)</f>
        <v>0</v>
      </c>
      <c r="AG306" s="434">
        <f>SUM(AG6:AG305)</f>
        <v>0</v>
      </c>
      <c r="AH306" s="434">
        <f>SUM(AH6:AH305)</f>
        <v>0</v>
      </c>
      <c r="AJ306" s="434">
        <f>SUM(AJ6:AJ305)</f>
        <v>0</v>
      </c>
      <c r="AK306" s="437">
        <f>AJ306/VPI!R306</f>
        <v>0</v>
      </c>
      <c r="AL306" s="439">
        <f>SUM(AL6:AL305)</f>
        <v>0</v>
      </c>
      <c r="AM306" s="437">
        <f>AL306/VPI!R306</f>
        <v>0</v>
      </c>
      <c r="AN306" s="434">
        <f>SUM(AN6:AN305)</f>
        <v>0</v>
      </c>
      <c r="AP306" s="17"/>
      <c r="AR306" s="351">
        <f>SUM(AR6:AR305)</f>
        <v>51</v>
      </c>
    </row>
    <row r="307" spans="1:47" s="5" customFormat="1" x14ac:dyDescent="0.25">
      <c r="A307" s="4"/>
      <c r="C307" s="236"/>
      <c r="AC307" s="237"/>
    </row>
    <row r="308" spans="1:47" x14ac:dyDescent="0.25">
      <c r="C308" s="237"/>
      <c r="D308" s="237"/>
      <c r="E308" s="237"/>
      <c r="F308" s="237"/>
      <c r="G308" s="237"/>
      <c r="H308" s="237"/>
      <c r="I308" s="237"/>
      <c r="J308" s="237"/>
      <c r="K308" s="237"/>
      <c r="L308" s="237"/>
      <c r="M308" s="5"/>
      <c r="N308" s="237"/>
      <c r="O308" s="237"/>
      <c r="P308" s="237"/>
      <c r="Q308" s="237"/>
      <c r="R308" s="237"/>
      <c r="S308" s="237"/>
      <c r="T308" s="237"/>
      <c r="U308" s="237"/>
      <c r="V308" s="237"/>
      <c r="W308" s="237"/>
      <c r="X308" s="237"/>
      <c r="Y308" s="237"/>
      <c r="Z308" s="237"/>
      <c r="AL308" s="5"/>
    </row>
    <row r="311" spans="1:47" s="237" customFormat="1" x14ac:dyDescent="0.25">
      <c r="A311" s="193"/>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U311" s="5"/>
    </row>
    <row r="312" spans="1:47" s="237" customFormat="1" x14ac:dyDescent="0.25">
      <c r="A312" s="193"/>
      <c r="C312" s="240"/>
      <c r="N312" s="5"/>
      <c r="O312" s="5"/>
      <c r="P312" s="5"/>
      <c r="Q312" s="5"/>
      <c r="R312" s="5"/>
      <c r="S312" s="5"/>
      <c r="Z312" s="5"/>
      <c r="AU312" s="5"/>
    </row>
    <row r="320" spans="1:47" s="237" customFormat="1" x14ac:dyDescent="0.25">
      <c r="A320" s="193"/>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c r="AA320" s="240"/>
      <c r="AB320" s="240"/>
      <c r="AC320" s="240"/>
      <c r="AD320" s="240"/>
      <c r="AE320" s="240"/>
      <c r="AF320" s="240"/>
      <c r="AG320" s="240"/>
      <c r="AH320" s="240"/>
      <c r="AI320" s="240"/>
      <c r="AJ320" s="240"/>
      <c r="AK320" s="240"/>
      <c r="AL320" s="240"/>
      <c r="AM320" s="240"/>
      <c r="AN320" s="240"/>
      <c r="AO320" s="240"/>
      <c r="AP320" s="240"/>
      <c r="AQ320" s="240"/>
      <c r="AR320" s="240"/>
      <c r="AU320" s="5"/>
    </row>
    <row r="324" spans="1:47" s="237" customFormat="1" x14ac:dyDescent="0.25">
      <c r="A324" s="193"/>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c r="AI324" s="240"/>
      <c r="AJ324" s="240"/>
      <c r="AK324" s="240"/>
      <c r="AL324" s="240"/>
      <c r="AM324" s="240"/>
      <c r="AN324" s="240"/>
      <c r="AO324" s="240"/>
      <c r="AP324" s="240"/>
      <c r="AQ324" s="240"/>
      <c r="AR324" s="240"/>
      <c r="AU324" s="5"/>
    </row>
    <row r="328" spans="1:47" x14ac:dyDescent="0.25">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row>
    <row r="329" spans="1:47" s="237" customFormat="1" x14ac:dyDescent="0.25">
      <c r="A329" s="193"/>
      <c r="C329" s="240"/>
      <c r="N329" s="5"/>
      <c r="O329" s="5"/>
      <c r="P329" s="5"/>
      <c r="Q329" s="5"/>
      <c r="R329" s="5"/>
      <c r="S329" s="5"/>
      <c r="Z329" s="5"/>
      <c r="AU329" s="5"/>
    </row>
    <row r="330" spans="1:47" s="237" customFormat="1" x14ac:dyDescent="0.25">
      <c r="A330" s="193"/>
      <c r="C330" s="240"/>
      <c r="N330" s="5"/>
      <c r="O330" s="5"/>
      <c r="P330" s="5"/>
      <c r="Q330" s="5"/>
      <c r="R330" s="5"/>
      <c r="S330" s="5"/>
      <c r="Z330" s="5"/>
      <c r="AU330" s="5"/>
    </row>
    <row r="331" spans="1:47" s="5" customFormat="1" x14ac:dyDescent="0.25">
      <c r="A331" s="4"/>
      <c r="C331" s="236"/>
    </row>
    <row r="332" spans="1:47" s="5" customFormat="1" x14ac:dyDescent="0.25">
      <c r="A332" s="4"/>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c r="AA332" s="236"/>
      <c r="AB332" s="236"/>
      <c r="AC332" s="236"/>
      <c r="AD332" s="236"/>
      <c r="AE332" s="236"/>
      <c r="AF332" s="236"/>
      <c r="AG332" s="236"/>
      <c r="AH332" s="236"/>
      <c r="AI332" s="236"/>
      <c r="AJ332" s="236"/>
      <c r="AK332" s="236"/>
      <c r="AL332" s="236"/>
      <c r="AM332" s="236"/>
      <c r="AN332" s="236"/>
      <c r="AO332" s="236"/>
      <c r="AP332" s="236"/>
      <c r="AQ332" s="236"/>
      <c r="AR332" s="236"/>
    </row>
    <row r="333" spans="1:47" s="5" customFormat="1" x14ac:dyDescent="0.25">
      <c r="A333" s="4"/>
      <c r="C333" s="236"/>
      <c r="D333" s="236"/>
      <c r="E333" s="236"/>
      <c r="F333" s="236"/>
      <c r="G333" s="236"/>
      <c r="H333" s="236"/>
      <c r="I333" s="236"/>
      <c r="J333" s="236"/>
      <c r="K333" s="236"/>
      <c r="L333" s="236"/>
      <c r="M333" s="236"/>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236"/>
      <c r="AL333" s="236"/>
      <c r="AM333" s="236"/>
      <c r="AN333" s="236"/>
      <c r="AO333" s="236"/>
      <c r="AP333" s="236"/>
      <c r="AQ333" s="236"/>
      <c r="AR333" s="236"/>
    </row>
    <row r="335" spans="1:47" x14ac:dyDescent="0.25">
      <c r="C335" s="542"/>
      <c r="D335" s="542"/>
    </row>
    <row r="336" spans="1:47" x14ac:dyDescent="0.25">
      <c r="C336" s="542"/>
      <c r="D336" s="542"/>
    </row>
    <row r="337" spans="3:4" x14ac:dyDescent="0.25">
      <c r="C337" s="542"/>
      <c r="D337" s="542"/>
    </row>
    <row r="338" spans="3:4" x14ac:dyDescent="0.25">
      <c r="C338" s="542"/>
      <c r="D338" s="542"/>
    </row>
    <row r="353" spans="25:25" x14ac:dyDescent="0.25">
      <c r="Y353" s="237"/>
    </row>
    <row r="354" spans="25:25" x14ac:dyDescent="0.25">
      <c r="Y354" s="237"/>
    </row>
    <row r="355" spans="25:25" x14ac:dyDescent="0.25">
      <c r="Y355" s="237"/>
    </row>
  </sheetData>
  <protectedRanges>
    <protectedRange sqref="AF276:AH305 AF236:AH274 AF156:AH234 AF6:AH67 AF69:AH154" name="Plage5"/>
    <protectedRange sqref="U306:Z306" name="Plage3"/>
    <protectedRange sqref="AB276:AB305 AB236:AB274 AB156:AB234 AB6:AB67 AB69:AB154" name="Plage4"/>
    <protectedRange sqref="AJ276:AJ305 AJ236:AJ274 AJ156:AJ234 AJ6:AJ67 AJ69:AJ154" name="Plage6"/>
    <protectedRange sqref="AP6:AP305" name="Plage8"/>
    <protectedRange sqref="A7:B305" name="Plage1_1"/>
    <protectedRange sqref="G264:G265 H265 I295:L305 I294:K294 E156:E162 I276:L293 C276:H305 C275:L275 G267:H274 E267:E274 E236:E262 G236:H263 I236:L274 C236:D274 F236:F274 C235:L235 F156:L234 C156:D234 E164:E234 C6:L155 AF155:AJ155 AF275:AJ275 AF235:AJ235 AF68:AJ68 AN155:AO155 AN275:AO275 AN235:AO235 AN68:AO68 AQ155:AR155 AQ275:AR275 AQ235:AR235 AQ68:AR68 U155:AB155 U275:AB275 U235:AB235 U68:AB68 V1 N275:R275 N235:R235 N155:R155 N68:R68" name="Plage1_1_1"/>
    <protectedRange sqref="E163" name="Plage1_3"/>
    <protectedRange sqref="L294" name="Plage1_1_1_1"/>
    <protectedRange sqref="N276:R305 N236:R274 N156:R234 N6:R67 N69:R154" name="Plage1_2"/>
    <protectedRange sqref="S6:S305" name="Plage1_1_2"/>
    <protectedRange sqref="U276:W305 U236:W274 U156:W234 U6:W67 U69:W154" name="Plage1_4"/>
    <protectedRange sqref="X276:X305 X236:X274 X156:X234 X6:X67 X69:X154" name="Plage1_5"/>
    <protectedRange sqref="Z276:Z305 Z236:Z274 Z156:Z234 Z6:Z67 Z69:Z154" name="Plage1_6"/>
    <protectedRange sqref="AR276:AR305 AR236:AR274 AR156:AR234 AR6:AR67 AR69:AR154" name="Plage1_7"/>
  </protectedRanges>
  <mergeCells count="19">
    <mergeCell ref="AR4:AR5"/>
    <mergeCell ref="AN4:AN5"/>
    <mergeCell ref="AB3:AF3"/>
    <mergeCell ref="AB4:AC4"/>
    <mergeCell ref="AJ4:AK4"/>
    <mergeCell ref="AL4:AM4"/>
    <mergeCell ref="AJ3:AN3"/>
    <mergeCell ref="AD4:AE4"/>
    <mergeCell ref="AF4:AF5"/>
    <mergeCell ref="AG4:AG5"/>
    <mergeCell ref="AH4:AH5"/>
    <mergeCell ref="A4:A5"/>
    <mergeCell ref="B4:B5"/>
    <mergeCell ref="Q4:Q5"/>
    <mergeCell ref="Y4:Y5"/>
    <mergeCell ref="U4:U5"/>
    <mergeCell ref="W4:W5"/>
    <mergeCell ref="V4:V5"/>
    <mergeCell ref="S4:S5"/>
  </mergeCells>
  <phoneticPr fontId="21" type="noConversion"/>
  <hyperlinks>
    <hyperlink ref="C1" location="Recherche!A1" display="← Précédent" xr:uid="{9DFAD010-0C97-42DF-A3FC-76FBADDC6AFF}"/>
    <hyperlink ref="D1" location="'Table des matières'!A1" display="Table des matières" xr:uid="{DD040F16-3F41-415E-ABBC-CF6EBDE17DB0}"/>
    <hyperlink ref="E1" location="VPI!A1" display="Suivant →" xr:uid="{0BFBE454-28CA-492D-AAD2-6B120C6EA93F}"/>
  </hyperlinks>
  <pageMargins left="0.19685039370078741"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59999389629810485"/>
  </sheetPr>
  <dimension ref="A1:R315"/>
  <sheetViews>
    <sheetView zoomScaleNormal="100" workbookViewId="0">
      <pane ySplit="5" topLeftCell="A6" activePane="bottomLeft" state="frozen"/>
      <selection activeCell="C3" sqref="C3:E3"/>
      <selection pane="bottomLeft" activeCell="C3" sqref="C3:E3"/>
    </sheetView>
  </sheetViews>
  <sheetFormatPr baseColWidth="10" defaultColWidth="8.625" defaultRowHeight="15" x14ac:dyDescent="0.25"/>
  <cols>
    <col min="1" max="1" width="7.625" style="3" customWidth="1"/>
    <col min="2" max="2" width="21.625" style="11" customWidth="1"/>
    <col min="3" max="3" width="12" style="11" customWidth="1"/>
    <col min="4" max="4" width="20.625" style="5" customWidth="1"/>
    <col min="5" max="5" width="12" style="11" bestFit="1" customWidth="1"/>
    <col min="6" max="6" width="9.875" style="5" bestFit="1" customWidth="1"/>
    <col min="7" max="7" width="10.25" style="11" bestFit="1" customWidth="1"/>
    <col min="8" max="8" width="9.875" style="11" bestFit="1" customWidth="1"/>
    <col min="9" max="9" width="12.875" style="11" customWidth="1"/>
    <col min="10" max="10" width="10.25" style="11" customWidth="1"/>
    <col min="11" max="11" width="15.75" style="11" customWidth="1"/>
    <col min="12" max="12" width="13" style="217" customWidth="1"/>
    <col min="13" max="13" width="10" style="11" bestFit="1" customWidth="1"/>
    <col min="14" max="14" width="13.375" style="11" customWidth="1"/>
    <col min="15" max="15" width="12.875" style="13" customWidth="1"/>
    <col min="16" max="16" width="13" style="11" bestFit="1" customWidth="1"/>
    <col min="17" max="17" width="11.25" style="11" customWidth="1"/>
    <col min="18" max="18" width="14.25" style="11" customWidth="1"/>
    <col min="19" max="19" width="9.875" style="11" bestFit="1" customWidth="1"/>
    <col min="20" max="16384" width="8.625" style="11"/>
  </cols>
  <sheetData>
    <row r="1" spans="1:18" ht="26.25" customHeight="1" x14ac:dyDescent="0.4">
      <c r="A1" s="277" t="s">
        <v>411</v>
      </c>
      <c r="B1" s="21"/>
      <c r="C1" s="21"/>
      <c r="E1" s="301" t="s">
        <v>405</v>
      </c>
      <c r="F1" s="302" t="s">
        <v>397</v>
      </c>
      <c r="G1" s="496" t="s">
        <v>406</v>
      </c>
      <c r="H1" s="3"/>
      <c r="I1" s="369"/>
      <c r="J1" s="369"/>
      <c r="K1" s="369"/>
      <c r="L1" s="369"/>
      <c r="M1" s="369"/>
      <c r="N1" s="369"/>
      <c r="O1" s="369"/>
      <c r="P1" s="369"/>
      <c r="Q1" s="369"/>
      <c r="R1" s="369"/>
    </row>
    <row r="2" spans="1:18" ht="15.75" customHeight="1" x14ac:dyDescent="0.35">
      <c r="A2" s="357" t="str">
        <f>Paramètres!B4</f>
        <v>Décompte 2022</v>
      </c>
      <c r="C2" s="20"/>
      <c r="E2" s="23"/>
      <c r="G2" s="24"/>
      <c r="H2" s="3"/>
      <c r="I2" s="369"/>
      <c r="J2" s="369"/>
      <c r="K2" s="369"/>
      <c r="L2" s="369"/>
      <c r="M2" s="369"/>
      <c r="N2" s="369"/>
      <c r="O2" s="369"/>
      <c r="P2" s="369"/>
      <c r="Q2" s="369"/>
      <c r="R2" s="369"/>
    </row>
    <row r="3" spans="1:18" x14ac:dyDescent="0.25">
      <c r="A3" s="2"/>
      <c r="B3" s="358"/>
      <c r="C3" s="3"/>
      <c r="E3" s="23"/>
      <c r="G3" s="3"/>
      <c r="H3" s="3"/>
      <c r="I3" s="3"/>
      <c r="J3" s="3"/>
      <c r="K3" s="3"/>
    </row>
    <row r="4" spans="1:18" s="14" customFormat="1" ht="45" x14ac:dyDescent="0.2">
      <c r="A4" s="650" t="s">
        <v>44</v>
      </c>
      <c r="B4" s="646" t="s">
        <v>84</v>
      </c>
      <c r="C4" s="441" t="s">
        <v>516</v>
      </c>
      <c r="D4" s="441" t="s">
        <v>517</v>
      </c>
      <c r="E4" s="442" t="s">
        <v>419</v>
      </c>
      <c r="F4" s="441" t="s">
        <v>532</v>
      </c>
      <c r="G4" s="441" t="s">
        <v>312</v>
      </c>
      <c r="H4" s="631" t="s">
        <v>218</v>
      </c>
      <c r="I4" s="633" t="s">
        <v>531</v>
      </c>
      <c r="J4" s="631" t="s">
        <v>219</v>
      </c>
      <c r="K4" s="631" t="s">
        <v>337</v>
      </c>
      <c r="L4" s="648" t="s">
        <v>288</v>
      </c>
      <c r="M4" s="441" t="s">
        <v>223</v>
      </c>
      <c r="N4" s="441" t="s">
        <v>450</v>
      </c>
      <c r="O4" s="646" t="s">
        <v>420</v>
      </c>
      <c r="P4" s="648" t="s">
        <v>364</v>
      </c>
      <c r="Q4" s="443" t="s">
        <v>71</v>
      </c>
      <c r="R4" s="448" t="s">
        <v>413</v>
      </c>
    </row>
    <row r="5" spans="1:18" ht="14.25" customHeight="1" x14ac:dyDescent="0.25">
      <c r="A5" s="651"/>
      <c r="B5" s="647"/>
      <c r="C5" s="444" t="s">
        <v>533</v>
      </c>
      <c r="D5" s="445" t="s">
        <v>534</v>
      </c>
      <c r="E5" s="446" t="s">
        <v>72</v>
      </c>
      <c r="F5" s="444" t="s">
        <v>74</v>
      </c>
      <c r="G5" s="445" t="s">
        <v>75</v>
      </c>
      <c r="H5" s="632"/>
      <c r="I5" s="635"/>
      <c r="J5" s="632"/>
      <c r="K5" s="632"/>
      <c r="L5" s="649"/>
      <c r="M5" s="445" t="s">
        <v>73</v>
      </c>
      <c r="N5" s="445" t="s">
        <v>76</v>
      </c>
      <c r="O5" s="647"/>
      <c r="P5" s="649"/>
      <c r="Q5" s="447">
        <f>Paramètres!B5</f>
        <v>2022</v>
      </c>
      <c r="R5" s="449">
        <f>Paramètres!B5</f>
        <v>2022</v>
      </c>
    </row>
    <row r="6" spans="1:18" x14ac:dyDescent="0.25">
      <c r="A6" s="7">
        <f>Données!A6</f>
        <v>5401</v>
      </c>
      <c r="B6" s="27" t="str">
        <f>Données!B6</f>
        <v>Aigle</v>
      </c>
      <c r="C6" s="8">
        <f>Données!C6+Données!D6</f>
        <v>15269577.16</v>
      </c>
      <c r="D6" s="8">
        <f>+Données!G6+Données!H6+Données!S6</f>
        <v>1402436.6700000002</v>
      </c>
      <c r="E6" s="8">
        <f>+Données!E6</f>
        <v>0</v>
      </c>
      <c r="F6" s="8">
        <f>+Données!I6</f>
        <v>46694.29</v>
      </c>
      <c r="G6" s="8">
        <f>+Données!J6</f>
        <v>732596.5</v>
      </c>
      <c r="H6" s="8">
        <f>Données!U6</f>
        <v>-379686.17</v>
      </c>
      <c r="I6" s="26">
        <f>Données!V6</f>
        <v>0</v>
      </c>
      <c r="J6" s="26">
        <f>Données!W6</f>
        <v>-10950.15</v>
      </c>
      <c r="K6" s="8">
        <f>+Données!Q6</f>
        <v>67721.289999999994</v>
      </c>
      <c r="L6" s="450">
        <f>SUM(C6:K6)</f>
        <v>17128389.589999996</v>
      </c>
      <c r="M6" s="8">
        <f>+Données!F6</f>
        <v>0</v>
      </c>
      <c r="N6" s="8">
        <f>+Données!K6</f>
        <v>228798.45</v>
      </c>
      <c r="O6" s="8">
        <f>(Données!L6/Données!Y6)*1</f>
        <v>2088690</v>
      </c>
      <c r="P6" s="450">
        <f>SUM(L6:O6)</f>
        <v>19445878.039999995</v>
      </c>
      <c r="Q6" s="28">
        <f>+Données!X6</f>
        <v>66</v>
      </c>
      <c r="R6" s="450">
        <f t="shared" ref="R6" si="0">P6/Q6</f>
        <v>294634.51575757569</v>
      </c>
    </row>
    <row r="7" spans="1:18" x14ac:dyDescent="0.25">
      <c r="A7" s="7">
        <f>Données!A7</f>
        <v>5402</v>
      </c>
      <c r="B7" s="27" t="str">
        <f>Données!B7</f>
        <v>Bex</v>
      </c>
      <c r="C7" s="8">
        <f>Données!C7+Données!D7</f>
        <v>11038183.720000001</v>
      </c>
      <c r="D7" s="8">
        <f>+Données!G7+Données!H7+Données!S7</f>
        <v>800561.16999999993</v>
      </c>
      <c r="E7" s="8">
        <f>+Données!E7</f>
        <v>0</v>
      </c>
      <c r="F7" s="8">
        <f>+Données!I7</f>
        <v>27379.55</v>
      </c>
      <c r="G7" s="8">
        <f>+Données!J7</f>
        <v>377996.02</v>
      </c>
      <c r="H7" s="8">
        <f>Données!U7</f>
        <v>-258933.35</v>
      </c>
      <c r="I7" s="213">
        <f>Données!V7</f>
        <v>0</v>
      </c>
      <c r="J7" s="213">
        <f>Données!W7</f>
        <v>-1175.92</v>
      </c>
      <c r="K7" s="8">
        <f>+Données!Q7</f>
        <v>106337.92</v>
      </c>
      <c r="L7" s="450">
        <f t="shared" ref="L7:L70" si="1">SUM(C7:K7)</f>
        <v>12090349.110000001</v>
      </c>
      <c r="M7" s="8">
        <f>+Données!F7</f>
        <v>0</v>
      </c>
      <c r="N7" s="8">
        <f>+Données!K7</f>
        <v>133607.20000000001</v>
      </c>
      <c r="O7" s="8">
        <f>(Données!L7/Données!Y7)*1</f>
        <v>1405288</v>
      </c>
      <c r="P7" s="450">
        <f t="shared" ref="P7:P70" si="2">SUM(L7:O7)</f>
        <v>13629244.310000001</v>
      </c>
      <c r="Q7" s="238">
        <f>+Données!X7</f>
        <v>71</v>
      </c>
      <c r="R7" s="450">
        <f t="shared" ref="R7:R70" si="3">P7/Q7</f>
        <v>191961.18746478873</v>
      </c>
    </row>
    <row r="8" spans="1:18" x14ac:dyDescent="0.25">
      <c r="A8" s="7">
        <f>Données!A8</f>
        <v>5403</v>
      </c>
      <c r="B8" s="27" t="str">
        <f>Données!B8</f>
        <v>Chessel</v>
      </c>
      <c r="C8" s="8">
        <f>Données!C8+Données!D8</f>
        <v>697507.13</v>
      </c>
      <c r="D8" s="8">
        <f>+Données!G8+Données!H8+Données!S8</f>
        <v>69410.2</v>
      </c>
      <c r="E8" s="8">
        <f>+Données!E8</f>
        <v>0</v>
      </c>
      <c r="F8" s="8">
        <f>+Données!I8</f>
        <v>0</v>
      </c>
      <c r="G8" s="8">
        <f>+Données!J8</f>
        <v>41708.410000000003</v>
      </c>
      <c r="H8" s="8">
        <f>Données!U8</f>
        <v>-27602.83</v>
      </c>
      <c r="I8" s="213">
        <f>Données!V8</f>
        <v>0</v>
      </c>
      <c r="J8" s="213">
        <f>Données!W8</f>
        <v>0.59</v>
      </c>
      <c r="K8" s="8">
        <f>+Données!Q8</f>
        <v>1744.89</v>
      </c>
      <c r="L8" s="450">
        <f t="shared" si="1"/>
        <v>782768.39</v>
      </c>
      <c r="M8" s="8">
        <f>+Données!F8</f>
        <v>0</v>
      </c>
      <c r="N8" s="8">
        <f>+Données!K8</f>
        <v>6861.1</v>
      </c>
      <c r="O8" s="8">
        <f>(Données!L8/Données!Y8)*1</f>
        <v>89263.5</v>
      </c>
      <c r="P8" s="450">
        <f t="shared" si="2"/>
        <v>878892.99</v>
      </c>
      <c r="Q8" s="238">
        <f>+Données!X8</f>
        <v>65</v>
      </c>
      <c r="R8" s="450">
        <f t="shared" si="3"/>
        <v>13521.430615384616</v>
      </c>
    </row>
    <row r="9" spans="1:18" x14ac:dyDescent="0.25">
      <c r="A9" s="7">
        <f>Données!A9</f>
        <v>5404</v>
      </c>
      <c r="B9" s="27" t="str">
        <f>Données!B9</f>
        <v>Corbeyrier</v>
      </c>
      <c r="C9" s="8">
        <f>Données!C9+Données!D9</f>
        <v>769815.99</v>
      </c>
      <c r="D9" s="8">
        <f>+Données!G9+Données!H9+Données!S9</f>
        <v>6638.13</v>
      </c>
      <c r="E9" s="8">
        <f>+Données!E9</f>
        <v>0</v>
      </c>
      <c r="F9" s="8">
        <f>+Données!I9</f>
        <v>0</v>
      </c>
      <c r="G9" s="8">
        <f>+Données!J9</f>
        <v>8970.39</v>
      </c>
      <c r="H9" s="8">
        <f>Données!U9</f>
        <v>-12569.58</v>
      </c>
      <c r="I9" s="213">
        <f>Données!V9</f>
        <v>0</v>
      </c>
      <c r="J9" s="213">
        <f>Données!W9</f>
        <v>-1764.13</v>
      </c>
      <c r="K9" s="8">
        <f>+Données!Q9</f>
        <v>553.05999999999995</v>
      </c>
      <c r="L9" s="450">
        <f t="shared" si="1"/>
        <v>771643.8600000001</v>
      </c>
      <c r="M9" s="8">
        <f>+Données!F9</f>
        <v>0</v>
      </c>
      <c r="N9" s="8">
        <f>+Données!K9</f>
        <v>1763.05</v>
      </c>
      <c r="O9" s="8">
        <f>(Données!L9/Données!Y9)*1</f>
        <v>89673.433333333334</v>
      </c>
      <c r="P9" s="450">
        <f t="shared" si="2"/>
        <v>863080.3433333335</v>
      </c>
      <c r="Q9" s="238">
        <f>+Données!X9</f>
        <v>74</v>
      </c>
      <c r="R9" s="450">
        <f t="shared" si="3"/>
        <v>11663.247882882884</v>
      </c>
    </row>
    <row r="10" spans="1:18" x14ac:dyDescent="0.25">
      <c r="A10" s="7">
        <f>Données!A10</f>
        <v>5405</v>
      </c>
      <c r="B10" s="27" t="str">
        <f>Données!B10</f>
        <v>Gryon</v>
      </c>
      <c r="C10" s="8">
        <f>Données!C10+Données!D10</f>
        <v>4342407.32</v>
      </c>
      <c r="D10" s="8">
        <f>+Données!G10+Données!H10+Données!S10</f>
        <v>139833.88</v>
      </c>
      <c r="E10" s="8">
        <f>+Données!E10</f>
        <v>0</v>
      </c>
      <c r="F10" s="8">
        <f>+Données!I10</f>
        <v>84568.01</v>
      </c>
      <c r="G10" s="8">
        <f>+Données!J10</f>
        <v>155104.95000000001</v>
      </c>
      <c r="H10" s="8">
        <f>Données!U10</f>
        <v>-276779.18</v>
      </c>
      <c r="I10" s="213">
        <f>Données!V10</f>
        <v>0</v>
      </c>
      <c r="J10" s="213">
        <f>Données!W10</f>
        <v>-6866.63</v>
      </c>
      <c r="K10" s="8">
        <f>+Données!Q10</f>
        <v>101969.08</v>
      </c>
      <c r="L10" s="450">
        <f t="shared" si="1"/>
        <v>4540237.4300000006</v>
      </c>
      <c r="M10" s="8">
        <f>+Données!F10</f>
        <v>0</v>
      </c>
      <c r="N10" s="8">
        <f>+Données!K10</f>
        <v>21060.9</v>
      </c>
      <c r="O10" s="8">
        <f>(Données!L10/Données!Y10)*1</f>
        <v>825238.43333333323</v>
      </c>
      <c r="P10" s="450">
        <f t="shared" si="2"/>
        <v>5386536.7633333346</v>
      </c>
      <c r="Q10" s="238">
        <f>+Données!X10</f>
        <v>73.5</v>
      </c>
      <c r="R10" s="450">
        <f t="shared" si="3"/>
        <v>73286.214467120197</v>
      </c>
    </row>
    <row r="11" spans="1:18" x14ac:dyDescent="0.25">
      <c r="A11" s="7">
        <f>Données!A11</f>
        <v>5406</v>
      </c>
      <c r="B11" s="27" t="str">
        <f>Données!B11</f>
        <v>Lavey-Morcles</v>
      </c>
      <c r="C11" s="8">
        <f>Données!C11+Données!D11</f>
        <v>1324702.21</v>
      </c>
      <c r="D11" s="8">
        <f>+Données!G11+Données!H11+Données!S11</f>
        <v>48254.95</v>
      </c>
      <c r="E11" s="8">
        <f>+Données!E11</f>
        <v>0</v>
      </c>
      <c r="F11" s="8">
        <f>+Données!I11</f>
        <v>0</v>
      </c>
      <c r="G11" s="8">
        <f>+Données!J11</f>
        <v>43829.760000000002</v>
      </c>
      <c r="H11" s="8">
        <f>Données!U11</f>
        <v>-19647.5</v>
      </c>
      <c r="I11" s="213">
        <f>Données!V11</f>
        <v>0</v>
      </c>
      <c r="J11" s="213">
        <f>Données!W11</f>
        <v>0</v>
      </c>
      <c r="K11" s="8">
        <f>+Données!Q11</f>
        <v>16420.2</v>
      </c>
      <c r="L11" s="450">
        <f t="shared" si="1"/>
        <v>1413559.6199999999</v>
      </c>
      <c r="M11" s="8">
        <f>+Données!F11</f>
        <v>0</v>
      </c>
      <c r="N11" s="8">
        <f>+Données!K11</f>
        <v>6049.5</v>
      </c>
      <c r="O11" s="8">
        <f>(Données!L11/Données!Y11)*1</f>
        <v>161365.23076923075</v>
      </c>
      <c r="P11" s="450">
        <f t="shared" si="2"/>
        <v>1580974.3507692306</v>
      </c>
      <c r="Q11" s="238">
        <f>+Données!X11</f>
        <v>71.5</v>
      </c>
      <c r="R11" s="450">
        <f t="shared" si="3"/>
        <v>22111.529381387842</v>
      </c>
    </row>
    <row r="12" spans="1:18" x14ac:dyDescent="0.25">
      <c r="A12" s="7">
        <f>Données!A12</f>
        <v>5407</v>
      </c>
      <c r="B12" s="27" t="str">
        <f>Données!B12</f>
        <v>Leysin</v>
      </c>
      <c r="C12" s="8">
        <f>Données!C12+Données!D12</f>
        <v>5457733.4499999993</v>
      </c>
      <c r="D12" s="8">
        <f>+Données!G12+Données!H12+Données!S12</f>
        <v>97110.69</v>
      </c>
      <c r="E12" s="8">
        <f>+Données!E12</f>
        <v>0</v>
      </c>
      <c r="F12" s="8">
        <f>+Données!I12</f>
        <v>79181.899999999994</v>
      </c>
      <c r="G12" s="8">
        <f>+Données!J12</f>
        <v>524661.31999999995</v>
      </c>
      <c r="H12" s="8">
        <f>Données!U12</f>
        <v>-79299.17</v>
      </c>
      <c r="I12" s="213">
        <f>Données!V12</f>
        <v>0</v>
      </c>
      <c r="J12" s="213">
        <f>Données!W12</f>
        <v>-4314.79</v>
      </c>
      <c r="K12" s="8">
        <f>+Données!Q12</f>
        <v>7665.81</v>
      </c>
      <c r="L12" s="450">
        <f t="shared" si="1"/>
        <v>6082739.21</v>
      </c>
      <c r="M12" s="8">
        <f>+Données!F12</f>
        <v>0</v>
      </c>
      <c r="N12" s="8">
        <f>+Données!K12</f>
        <v>66066.5</v>
      </c>
      <c r="O12" s="8">
        <f>(Données!L12/Données!Y12)*1</f>
        <v>858824.46666666667</v>
      </c>
      <c r="P12" s="450">
        <f t="shared" si="2"/>
        <v>7007630.1766666668</v>
      </c>
      <c r="Q12" s="238">
        <f>+Données!X12</f>
        <v>78</v>
      </c>
      <c r="R12" s="450">
        <f t="shared" si="3"/>
        <v>89841.412521367529</v>
      </c>
    </row>
    <row r="13" spans="1:18" x14ac:dyDescent="0.25">
      <c r="A13" s="7">
        <f>Données!A13</f>
        <v>5408</v>
      </c>
      <c r="B13" s="27" t="str">
        <f>Données!B13</f>
        <v>Noville</v>
      </c>
      <c r="C13" s="8">
        <f>Données!C13+Données!D13</f>
        <v>2495077.4800000004</v>
      </c>
      <c r="D13" s="8">
        <f>+Données!G13+Données!H13+Données!S13</f>
        <v>241106.34999999998</v>
      </c>
      <c r="E13" s="8">
        <f>+Données!E13</f>
        <v>0</v>
      </c>
      <c r="F13" s="8">
        <f>+Données!I13</f>
        <v>0</v>
      </c>
      <c r="G13" s="8">
        <f>+Données!J13</f>
        <v>45375.89</v>
      </c>
      <c r="H13" s="8">
        <f>Données!U13</f>
        <v>-12136.44</v>
      </c>
      <c r="I13" s="213">
        <f>Données!V13</f>
        <v>0</v>
      </c>
      <c r="J13" s="213">
        <f>Données!W13</f>
        <v>-315.11</v>
      </c>
      <c r="K13" s="8">
        <f>+Données!Q13</f>
        <v>10805.47</v>
      </c>
      <c r="L13" s="450">
        <f t="shared" si="1"/>
        <v>2779913.6400000011</v>
      </c>
      <c r="M13" s="8">
        <f>+Données!F13</f>
        <v>0</v>
      </c>
      <c r="N13" s="8">
        <f>+Données!K13</f>
        <v>13990.5</v>
      </c>
      <c r="O13" s="8">
        <f>(Données!L13/Données!Y13)*1</f>
        <v>354099.3666666667</v>
      </c>
      <c r="P13" s="450">
        <f t="shared" si="2"/>
        <v>3148003.5066666678</v>
      </c>
      <c r="Q13" s="238">
        <f>+Données!X13</f>
        <v>75</v>
      </c>
      <c r="R13" s="450">
        <f t="shared" si="3"/>
        <v>41973.380088888902</v>
      </c>
    </row>
    <row r="14" spans="1:18" x14ac:dyDescent="0.25">
      <c r="A14" s="7">
        <f>Données!A14</f>
        <v>5409</v>
      </c>
      <c r="B14" s="27" t="str">
        <f>Données!B14</f>
        <v>Ollon</v>
      </c>
      <c r="C14" s="8">
        <f>Données!C14+Données!D14</f>
        <v>20677183.739999998</v>
      </c>
      <c r="D14" s="8">
        <f>+Données!G14+Données!H14+Données!S14</f>
        <v>732664.81</v>
      </c>
      <c r="E14" s="8">
        <f>+Données!E14</f>
        <v>0</v>
      </c>
      <c r="F14" s="8">
        <f>+Données!I14</f>
        <v>2125016.7000000002</v>
      </c>
      <c r="G14" s="8">
        <f>+Données!J14</f>
        <v>750992.26</v>
      </c>
      <c r="H14" s="8">
        <f>Données!U14</f>
        <v>-188383.66</v>
      </c>
      <c r="I14" s="213">
        <f>Données!V14</f>
        <v>0</v>
      </c>
      <c r="J14" s="213">
        <f>Données!W14</f>
        <v>-34093.519999999997</v>
      </c>
      <c r="K14" s="8">
        <f>+Données!Q14</f>
        <v>154857.75</v>
      </c>
      <c r="L14" s="450">
        <f t="shared" si="1"/>
        <v>24218238.079999998</v>
      </c>
      <c r="M14" s="8">
        <f>+Données!F14</f>
        <v>0</v>
      </c>
      <c r="N14" s="8">
        <f>+Données!K14</f>
        <v>32427.4</v>
      </c>
      <c r="O14" s="8">
        <f>(Données!L14/Données!Y14)*1</f>
        <v>3353138.7307692305</v>
      </c>
      <c r="P14" s="450">
        <f t="shared" si="2"/>
        <v>27603804.210769229</v>
      </c>
      <c r="Q14" s="238">
        <f>+Données!X14</f>
        <v>68</v>
      </c>
      <c r="R14" s="450">
        <f t="shared" si="3"/>
        <v>405938.29721719451</v>
      </c>
    </row>
    <row r="15" spans="1:18" x14ac:dyDescent="0.25">
      <c r="A15" s="7">
        <f>Données!A15</f>
        <v>5410</v>
      </c>
      <c r="B15" s="27" t="str">
        <f>Données!B15</f>
        <v>Ormont-Dessous</v>
      </c>
      <c r="C15" s="8">
        <f>Données!C15+Données!D15</f>
        <v>2516741.98</v>
      </c>
      <c r="D15" s="8">
        <f>+Données!G15+Données!H15+Données!S15</f>
        <v>41228.749999999993</v>
      </c>
      <c r="E15" s="8">
        <f>+Données!E15</f>
        <v>0</v>
      </c>
      <c r="F15" s="8">
        <f>+Données!I15</f>
        <v>0</v>
      </c>
      <c r="G15" s="8">
        <f>+Données!J15</f>
        <v>69775.56</v>
      </c>
      <c r="H15" s="8">
        <f>Données!U15</f>
        <v>-98476.02</v>
      </c>
      <c r="I15" s="213">
        <f>Données!V15</f>
        <v>0</v>
      </c>
      <c r="J15" s="213">
        <f>Données!W15</f>
        <v>-234.34</v>
      </c>
      <c r="K15" s="8">
        <f>+Données!Q15</f>
        <v>19210.84</v>
      </c>
      <c r="L15" s="450">
        <f t="shared" si="1"/>
        <v>2548246.77</v>
      </c>
      <c r="M15" s="8">
        <f>+Données!F15</f>
        <v>0</v>
      </c>
      <c r="N15" s="8">
        <f>+Données!K15</f>
        <v>11208</v>
      </c>
      <c r="O15" s="8">
        <f>(Données!L15/Données!Y15)*1</f>
        <v>398775.66666666669</v>
      </c>
      <c r="P15" s="450">
        <f t="shared" si="2"/>
        <v>2958230.4366666665</v>
      </c>
      <c r="Q15" s="238">
        <f>+Données!X15</f>
        <v>77</v>
      </c>
      <c r="R15" s="450">
        <f t="shared" si="3"/>
        <v>38418.577099567097</v>
      </c>
    </row>
    <row r="16" spans="1:18" x14ac:dyDescent="0.25">
      <c r="A16" s="7">
        <f>Données!A16</f>
        <v>5411</v>
      </c>
      <c r="B16" s="27" t="str">
        <f>Données!B16</f>
        <v>Ormont-Dessus</v>
      </c>
      <c r="C16" s="8">
        <f>Données!C16+Données!D16</f>
        <v>4514308.95</v>
      </c>
      <c r="D16" s="8">
        <f>+Données!G16+Données!H16+Données!S16</f>
        <v>144418.35</v>
      </c>
      <c r="E16" s="8">
        <f>+Données!E16</f>
        <v>0</v>
      </c>
      <c r="F16" s="8">
        <f>+Données!I16</f>
        <v>97632</v>
      </c>
      <c r="G16" s="8">
        <f>+Données!J16</f>
        <v>192715.39</v>
      </c>
      <c r="H16" s="8">
        <f>Données!U16</f>
        <v>-28821.02</v>
      </c>
      <c r="I16" s="213">
        <f>Données!V16</f>
        <v>0</v>
      </c>
      <c r="J16" s="213">
        <f>Données!W16</f>
        <v>-1094.0899999999999</v>
      </c>
      <c r="K16" s="8">
        <f>+Données!Q16</f>
        <v>-9292.84</v>
      </c>
      <c r="L16" s="450">
        <f t="shared" si="1"/>
        <v>4909866.74</v>
      </c>
      <c r="M16" s="8">
        <f>+Données!F16</f>
        <v>0</v>
      </c>
      <c r="N16" s="8">
        <f>+Données!K16</f>
        <v>6193.95</v>
      </c>
      <c r="O16" s="8">
        <f>(Données!L16/Données!Y16)*1</f>
        <v>872210.70000000007</v>
      </c>
      <c r="P16" s="450">
        <f t="shared" si="2"/>
        <v>5788271.3900000006</v>
      </c>
      <c r="Q16" s="238">
        <f>+Données!X16</f>
        <v>76</v>
      </c>
      <c r="R16" s="450">
        <f t="shared" si="3"/>
        <v>76161.465657894747</v>
      </c>
    </row>
    <row r="17" spans="1:18" x14ac:dyDescent="0.25">
      <c r="A17" s="7">
        <f>Données!A17</f>
        <v>5412</v>
      </c>
      <c r="B17" s="27" t="str">
        <f>Données!B17</f>
        <v>Rennaz</v>
      </c>
      <c r="C17" s="8">
        <f>Données!C17+Données!D17</f>
        <v>1486104.04</v>
      </c>
      <c r="D17" s="8">
        <f>+Données!G17+Données!H17+Données!S17</f>
        <v>339474.9</v>
      </c>
      <c r="E17" s="8">
        <f>+Données!E17</f>
        <v>0</v>
      </c>
      <c r="F17" s="8">
        <f>+Données!I17</f>
        <v>37.049999999999301</v>
      </c>
      <c r="G17" s="8">
        <f>+Données!J17</f>
        <v>109928.61</v>
      </c>
      <c r="H17" s="8">
        <f>Données!U17</f>
        <v>-68314.45</v>
      </c>
      <c r="I17" s="213">
        <f>Données!V17</f>
        <v>0</v>
      </c>
      <c r="J17" s="213">
        <f>Données!W17</f>
        <v>-288.02999999999997</v>
      </c>
      <c r="K17" s="8">
        <f>+Données!Q17</f>
        <v>19765.23</v>
      </c>
      <c r="L17" s="450">
        <f t="shared" si="1"/>
        <v>1886707.35</v>
      </c>
      <c r="M17" s="8">
        <f>+Données!F17</f>
        <v>0</v>
      </c>
      <c r="N17" s="8">
        <f>+Données!K17</f>
        <v>49964.95</v>
      </c>
      <c r="O17" s="8">
        <f>(Données!L17/Données!Y17)*1</f>
        <v>287918.09999999998</v>
      </c>
      <c r="P17" s="450">
        <f t="shared" si="2"/>
        <v>2224590.4</v>
      </c>
      <c r="Q17" s="238">
        <f>+Données!X17</f>
        <v>69</v>
      </c>
      <c r="R17" s="450">
        <f t="shared" si="3"/>
        <v>32240.440579710143</v>
      </c>
    </row>
    <row r="18" spans="1:18" x14ac:dyDescent="0.25">
      <c r="A18" s="7">
        <f>Données!A18</f>
        <v>5413</v>
      </c>
      <c r="B18" s="27" t="str">
        <f>Données!B18</f>
        <v>Roche</v>
      </c>
      <c r="C18" s="8">
        <f>Données!C18+Données!D18</f>
        <v>2115413.0499999998</v>
      </c>
      <c r="D18" s="8">
        <f>+Données!G18+Données!H18+Données!S18</f>
        <v>430220.99</v>
      </c>
      <c r="E18" s="8">
        <f>+Données!E18</f>
        <v>0</v>
      </c>
      <c r="F18" s="8">
        <f>+Données!I18</f>
        <v>0</v>
      </c>
      <c r="G18" s="8">
        <f>+Données!J18</f>
        <v>68420.490000000005</v>
      </c>
      <c r="H18" s="8">
        <f>Données!U18</f>
        <v>-92620.88</v>
      </c>
      <c r="I18" s="213">
        <f>Données!V18</f>
        <v>0</v>
      </c>
      <c r="J18" s="213">
        <f>Données!W18</f>
        <v>-751.62</v>
      </c>
      <c r="K18" s="8">
        <f>+Données!Q18</f>
        <v>42942.97</v>
      </c>
      <c r="L18" s="450">
        <f t="shared" si="1"/>
        <v>2563625.0000000005</v>
      </c>
      <c r="M18" s="8">
        <f>+Données!F18</f>
        <v>0</v>
      </c>
      <c r="N18" s="8">
        <f>+Données!K18</f>
        <v>35152.550000000003</v>
      </c>
      <c r="O18" s="8">
        <f>(Données!L18/Données!Y18)*1</f>
        <v>297794.20833333331</v>
      </c>
      <c r="P18" s="450">
        <f t="shared" si="2"/>
        <v>2896571.7583333338</v>
      </c>
      <c r="Q18" s="238">
        <f>+Données!X18</f>
        <v>68</v>
      </c>
      <c r="R18" s="450">
        <f t="shared" si="3"/>
        <v>42596.643504901964</v>
      </c>
    </row>
    <row r="19" spans="1:18" x14ac:dyDescent="0.25">
      <c r="A19" s="7">
        <f>Données!A19</f>
        <v>5414</v>
      </c>
      <c r="B19" s="27" t="str">
        <f>Données!B19</f>
        <v>Villeneuve</v>
      </c>
      <c r="C19" s="8">
        <f>Données!C19+Données!D19</f>
        <v>8438474.3900000006</v>
      </c>
      <c r="D19" s="8">
        <f>+Données!G19+Données!H19+Données!S19</f>
        <v>998620.80999999994</v>
      </c>
      <c r="E19" s="8">
        <f>+Données!E19</f>
        <v>0</v>
      </c>
      <c r="F19" s="8">
        <f>+Données!I19</f>
        <v>72086.37</v>
      </c>
      <c r="G19" s="8">
        <f>+Données!J19</f>
        <v>361921.52</v>
      </c>
      <c r="H19" s="8">
        <f>Données!U19</f>
        <v>-300306.08</v>
      </c>
      <c r="I19" s="213">
        <f>Données!V19</f>
        <v>0</v>
      </c>
      <c r="J19" s="213">
        <f>Données!W19</f>
        <v>-2070.16</v>
      </c>
      <c r="K19" s="8">
        <f>+Données!Q19</f>
        <v>134096.78</v>
      </c>
      <c r="L19" s="450">
        <f t="shared" si="1"/>
        <v>9702823.629999999</v>
      </c>
      <c r="M19" s="8">
        <f>+Données!F19</f>
        <v>0</v>
      </c>
      <c r="N19" s="8">
        <f>+Données!K19</f>
        <v>194451.05</v>
      </c>
      <c r="O19" s="8">
        <f>(Données!L19/Données!Y19)*1</f>
        <v>1299724.3500000001</v>
      </c>
      <c r="P19" s="450">
        <f t="shared" si="2"/>
        <v>11196999.029999999</v>
      </c>
      <c r="Q19" s="238">
        <f>+Données!X19</f>
        <v>67.5</v>
      </c>
      <c r="R19" s="450">
        <f t="shared" si="3"/>
        <v>165881.46711111109</v>
      </c>
    </row>
    <row r="20" spans="1:18" x14ac:dyDescent="0.25">
      <c r="A20" s="7">
        <f>Données!A20</f>
        <v>5415</v>
      </c>
      <c r="B20" s="27" t="str">
        <f>Données!B20</f>
        <v>Yvorne</v>
      </c>
      <c r="C20" s="8">
        <f>Données!C20+Données!D20</f>
        <v>1991651.78</v>
      </c>
      <c r="D20" s="8">
        <f>+Données!G20+Données!H20+Données!S20</f>
        <v>171514.23999999999</v>
      </c>
      <c r="E20" s="8">
        <f>+Données!E20</f>
        <v>0</v>
      </c>
      <c r="F20" s="8">
        <f>+Données!I20</f>
        <v>461.9</v>
      </c>
      <c r="G20" s="8">
        <f>+Données!J20</f>
        <v>39610.120000000003</v>
      </c>
      <c r="H20" s="8">
        <f>Données!U20</f>
        <v>-38678.86</v>
      </c>
      <c r="I20" s="213">
        <f>Données!V20</f>
        <v>0</v>
      </c>
      <c r="J20" s="213">
        <f>Données!W20</f>
        <v>-2359.54</v>
      </c>
      <c r="K20" s="8">
        <f>+Données!Q20</f>
        <v>5102.67</v>
      </c>
      <c r="L20" s="450">
        <f t="shared" si="1"/>
        <v>2167302.31</v>
      </c>
      <c r="M20" s="8">
        <f>+Données!F20</f>
        <v>0</v>
      </c>
      <c r="N20" s="8">
        <f>+Données!K20</f>
        <v>3493.65</v>
      </c>
      <c r="O20" s="8">
        <f>(Données!L20/Données!Y20)*1</f>
        <v>237003.43333333335</v>
      </c>
      <c r="P20" s="450">
        <f t="shared" si="2"/>
        <v>2407799.3933333335</v>
      </c>
      <c r="Q20" s="238">
        <f>+Données!X20</f>
        <v>71.5</v>
      </c>
      <c r="R20" s="450">
        <f t="shared" si="3"/>
        <v>33675.515990675995</v>
      </c>
    </row>
    <row r="21" spans="1:18" x14ac:dyDescent="0.25">
      <c r="A21" s="7">
        <f>Données!A21</f>
        <v>5422</v>
      </c>
      <c r="B21" s="27" t="str">
        <f>Données!B21</f>
        <v>Aubonne</v>
      </c>
      <c r="C21" s="8">
        <f>Données!C21+Données!D21</f>
        <v>12504628.6</v>
      </c>
      <c r="D21" s="8">
        <f>+Données!G21+Données!H21+Données!S21</f>
        <v>6993775.6500000004</v>
      </c>
      <c r="E21" s="8">
        <f>+Données!E21</f>
        <v>0</v>
      </c>
      <c r="F21" s="8">
        <f>+Données!I21</f>
        <v>193473.85</v>
      </c>
      <c r="G21" s="8">
        <f>+Données!J21</f>
        <v>318744.96999999997</v>
      </c>
      <c r="H21" s="8">
        <f>Données!U21</f>
        <v>-166116.07</v>
      </c>
      <c r="I21" s="213">
        <f>Données!V21</f>
        <v>-1249.2</v>
      </c>
      <c r="J21" s="213">
        <f>Données!W21</f>
        <v>-4446.88</v>
      </c>
      <c r="K21" s="8">
        <f>+Données!Q21</f>
        <v>11207.14</v>
      </c>
      <c r="L21" s="450">
        <f t="shared" si="1"/>
        <v>19850018.060000002</v>
      </c>
      <c r="M21" s="8">
        <f>+Données!F21</f>
        <v>0</v>
      </c>
      <c r="N21" s="8">
        <f>+Données!K21</f>
        <v>-164194.9</v>
      </c>
      <c r="O21" s="8">
        <f>(Données!L21/Données!Y21)*1</f>
        <v>1146763.26</v>
      </c>
      <c r="P21" s="450">
        <f t="shared" si="2"/>
        <v>20832586.420000006</v>
      </c>
      <c r="Q21" s="238">
        <f>+Données!X21</f>
        <v>70</v>
      </c>
      <c r="R21" s="450">
        <f t="shared" si="3"/>
        <v>297608.37742857152</v>
      </c>
    </row>
    <row r="22" spans="1:18" x14ac:dyDescent="0.25">
      <c r="A22" s="7">
        <f>Données!A22</f>
        <v>5423</v>
      </c>
      <c r="B22" s="27" t="str">
        <f>Données!B22</f>
        <v>Ballens</v>
      </c>
      <c r="C22" s="8">
        <f>Données!C22+Données!D22</f>
        <v>1143242.23</v>
      </c>
      <c r="D22" s="8">
        <f>+Données!G22+Données!H22+Données!S22</f>
        <v>29967.1</v>
      </c>
      <c r="E22" s="8">
        <f>+Données!E22</f>
        <v>0</v>
      </c>
      <c r="F22" s="8">
        <f>+Données!I22</f>
        <v>0</v>
      </c>
      <c r="G22" s="8">
        <f>+Données!J22</f>
        <v>32880.81</v>
      </c>
      <c r="H22" s="8">
        <f>Données!U22</f>
        <v>-25849.9</v>
      </c>
      <c r="I22" s="213">
        <f>Données!V22</f>
        <v>0</v>
      </c>
      <c r="J22" s="213">
        <f>Données!W22</f>
        <v>-0.02</v>
      </c>
      <c r="K22" s="8">
        <f>+Données!Q22</f>
        <v>16.34</v>
      </c>
      <c r="L22" s="450">
        <f t="shared" si="1"/>
        <v>1180256.5600000003</v>
      </c>
      <c r="M22" s="8">
        <f>+Données!F22</f>
        <v>0</v>
      </c>
      <c r="N22" s="8">
        <f>+Données!K22</f>
        <v>2460.35</v>
      </c>
      <c r="O22" s="8">
        <f>(Données!L22/Données!Y22)*1</f>
        <v>83533.100000000006</v>
      </c>
      <c r="P22" s="450">
        <f t="shared" si="2"/>
        <v>1266250.0100000005</v>
      </c>
      <c r="Q22" s="238">
        <f>+Données!X22</f>
        <v>73</v>
      </c>
      <c r="R22" s="450">
        <f t="shared" si="3"/>
        <v>17345.890547945211</v>
      </c>
    </row>
    <row r="23" spans="1:18" x14ac:dyDescent="0.25">
      <c r="A23" s="7">
        <f>Données!A23</f>
        <v>5424</v>
      </c>
      <c r="B23" s="27" t="str">
        <f>Données!B23</f>
        <v>Berolle</v>
      </c>
      <c r="C23" s="8">
        <f>Données!C23+Données!D23</f>
        <v>675214.17</v>
      </c>
      <c r="D23" s="8">
        <f>+Données!G23+Données!H23+Données!S23</f>
        <v>1944.26</v>
      </c>
      <c r="E23" s="8">
        <f>+Données!E23</f>
        <v>0</v>
      </c>
      <c r="F23" s="8">
        <f>+Données!I23</f>
        <v>38264.25</v>
      </c>
      <c r="G23" s="8">
        <f>+Données!J23</f>
        <v>-1499</v>
      </c>
      <c r="H23" s="8">
        <f>Données!U23</f>
        <v>-111.48</v>
      </c>
      <c r="I23" s="213">
        <f>Données!V23</f>
        <v>0</v>
      </c>
      <c r="J23" s="213">
        <f>Données!W23</f>
        <v>0</v>
      </c>
      <c r="K23" s="8">
        <f>+Données!Q23</f>
        <v>6810</v>
      </c>
      <c r="L23" s="450">
        <f t="shared" si="1"/>
        <v>720622.20000000007</v>
      </c>
      <c r="M23" s="8">
        <f>+Données!F23</f>
        <v>0</v>
      </c>
      <c r="N23" s="8">
        <f>+Données!K23</f>
        <v>766</v>
      </c>
      <c r="O23" s="8">
        <f>(Données!L23/Données!Y23)*1</f>
        <v>53487.5</v>
      </c>
      <c r="P23" s="450">
        <f t="shared" si="2"/>
        <v>774875.70000000007</v>
      </c>
      <c r="Q23" s="238">
        <f>+Données!X23</f>
        <v>75.5</v>
      </c>
      <c r="R23" s="450">
        <f t="shared" si="3"/>
        <v>10263.254304635762</v>
      </c>
    </row>
    <row r="24" spans="1:18" x14ac:dyDescent="0.25">
      <c r="A24" s="7">
        <f>Données!A24</f>
        <v>5425</v>
      </c>
      <c r="B24" s="27" t="str">
        <f>Données!B24</f>
        <v>Bière</v>
      </c>
      <c r="C24" s="8">
        <f>Données!C24+Données!D24</f>
        <v>2432600.54</v>
      </c>
      <c r="D24" s="8">
        <f>+Données!G24+Données!H24+Données!S24</f>
        <v>118884.84999999999</v>
      </c>
      <c r="E24" s="8">
        <f>+Données!E24</f>
        <v>0</v>
      </c>
      <c r="F24" s="8">
        <f>+Données!I24</f>
        <v>0</v>
      </c>
      <c r="G24" s="8">
        <f>+Données!J24</f>
        <v>173871.27</v>
      </c>
      <c r="H24" s="8">
        <f>Données!U24</f>
        <v>-56647.21</v>
      </c>
      <c r="I24" s="213">
        <f>Données!V24</f>
        <v>0</v>
      </c>
      <c r="J24" s="213">
        <f>Données!W24</f>
        <v>-61.34</v>
      </c>
      <c r="K24" s="8">
        <f>+Données!Q24</f>
        <v>6954.73</v>
      </c>
      <c r="L24" s="450">
        <f t="shared" si="1"/>
        <v>2675602.8400000003</v>
      </c>
      <c r="M24" s="8">
        <f>+Données!F24</f>
        <v>0</v>
      </c>
      <c r="N24" s="8">
        <f>+Données!K24</f>
        <v>19403.400000000001</v>
      </c>
      <c r="O24" s="8">
        <f>(Données!L24/Données!Y24)*1</f>
        <v>220102.67241379313</v>
      </c>
      <c r="P24" s="450">
        <f t="shared" si="2"/>
        <v>2915108.9124137932</v>
      </c>
      <c r="Q24" s="238">
        <f>+Données!X24</f>
        <v>69</v>
      </c>
      <c r="R24" s="450">
        <f t="shared" si="3"/>
        <v>42247.955252373817</v>
      </c>
    </row>
    <row r="25" spans="1:18" x14ac:dyDescent="0.25">
      <c r="A25" s="7">
        <f>Données!A25</f>
        <v>5426</v>
      </c>
      <c r="B25" s="27" t="str">
        <f>Données!B25</f>
        <v>Bougy-Villars</v>
      </c>
      <c r="C25" s="8">
        <f>Données!C25+Données!D25</f>
        <v>2602211.0499999998</v>
      </c>
      <c r="D25" s="8">
        <f>+Données!G25+Données!H25+Données!S25</f>
        <v>30185.55</v>
      </c>
      <c r="E25" s="8">
        <f>+Données!E25</f>
        <v>0</v>
      </c>
      <c r="F25" s="8">
        <f>+Données!I25</f>
        <v>1066523.6599999999</v>
      </c>
      <c r="G25" s="8">
        <f>+Données!J25</f>
        <v>35545.279999999999</v>
      </c>
      <c r="H25" s="8">
        <f>Données!U25</f>
        <v>-10082.870000000001</v>
      </c>
      <c r="I25" s="213">
        <f>Données!V25</f>
        <v>0</v>
      </c>
      <c r="J25" s="213">
        <f>Données!W25</f>
        <v>-3803.7</v>
      </c>
      <c r="K25" s="8">
        <f>+Données!Q25</f>
        <v>0</v>
      </c>
      <c r="L25" s="450">
        <f t="shared" si="1"/>
        <v>3720578.9699999993</v>
      </c>
      <c r="M25" s="8">
        <f>+Données!F25</f>
        <v>0</v>
      </c>
      <c r="N25" s="8">
        <f>+Données!K25</f>
        <v>2681.7</v>
      </c>
      <c r="O25" s="8">
        <f>(Données!L25/Données!Y25)*1</f>
        <v>274806.33333333331</v>
      </c>
      <c r="P25" s="450">
        <f t="shared" si="2"/>
        <v>3998067.0033333329</v>
      </c>
      <c r="Q25" s="238">
        <f>+Données!X25</f>
        <v>64.5</v>
      </c>
      <c r="R25" s="450">
        <f t="shared" si="3"/>
        <v>61985.534935400508</v>
      </c>
    </row>
    <row r="26" spans="1:18" x14ac:dyDescent="0.25">
      <c r="A26" s="7">
        <f>Données!A26</f>
        <v>5427</v>
      </c>
      <c r="B26" s="27" t="str">
        <f>Données!B26</f>
        <v>Féchy</v>
      </c>
      <c r="C26" s="8">
        <f>Données!C26+Données!D26</f>
        <v>4395759.3</v>
      </c>
      <c r="D26" s="8">
        <f>+Données!G26+Données!H26+Données!S26</f>
        <v>57518.380000000005</v>
      </c>
      <c r="E26" s="8">
        <f>+Données!E26</f>
        <v>0</v>
      </c>
      <c r="F26" s="8">
        <f>+Données!I26</f>
        <v>744144.35</v>
      </c>
      <c r="G26" s="8">
        <f>+Données!J26</f>
        <v>13997.29</v>
      </c>
      <c r="H26" s="8">
        <f>Données!U26</f>
        <v>-19.190000000000001</v>
      </c>
      <c r="I26" s="213">
        <f>Données!V26</f>
        <v>0</v>
      </c>
      <c r="J26" s="213">
        <f>Données!W26</f>
        <v>-20051.25</v>
      </c>
      <c r="K26" s="8">
        <f>+Données!Q26</f>
        <v>0</v>
      </c>
      <c r="L26" s="450">
        <f t="shared" si="1"/>
        <v>5191348.879999999</v>
      </c>
      <c r="M26" s="8">
        <f>+Données!F26</f>
        <v>0</v>
      </c>
      <c r="N26" s="8">
        <f>+Données!K26</f>
        <v>5658.95</v>
      </c>
      <c r="O26" s="8">
        <f>(Données!L26/Données!Y26)*1</f>
        <v>369250.23076923075</v>
      </c>
      <c r="P26" s="450">
        <f t="shared" si="2"/>
        <v>5566258.0607692301</v>
      </c>
      <c r="Q26" s="238">
        <f>+Données!X26</f>
        <v>64</v>
      </c>
      <c r="R26" s="450">
        <f t="shared" si="3"/>
        <v>86972.782199519221</v>
      </c>
    </row>
    <row r="27" spans="1:18" x14ac:dyDescent="0.25">
      <c r="A27" s="7">
        <f>Données!A27</f>
        <v>5428</v>
      </c>
      <c r="B27" s="27" t="str">
        <f>Données!B27</f>
        <v>Gimel</v>
      </c>
      <c r="C27" s="8">
        <f>Données!C27+Données!D27</f>
        <v>4742176.1099999994</v>
      </c>
      <c r="D27" s="8">
        <f>+Données!G27+Données!H27+Données!S27</f>
        <v>48231.97</v>
      </c>
      <c r="E27" s="8">
        <f>+Données!E27</f>
        <v>0</v>
      </c>
      <c r="F27" s="8">
        <f>+Données!I27</f>
        <v>0</v>
      </c>
      <c r="G27" s="8">
        <f>+Données!J27</f>
        <v>161676.75</v>
      </c>
      <c r="H27" s="8">
        <f>Données!U27</f>
        <v>-113343</v>
      </c>
      <c r="I27" s="213">
        <f>Données!V27</f>
        <v>0</v>
      </c>
      <c r="J27" s="213">
        <f>Données!W27</f>
        <v>-85.84</v>
      </c>
      <c r="K27" s="8">
        <f>+Données!Q27</f>
        <v>26663.84</v>
      </c>
      <c r="L27" s="450">
        <f t="shared" si="1"/>
        <v>4865319.8299999991</v>
      </c>
      <c r="M27" s="8">
        <f>+Données!F27</f>
        <v>0</v>
      </c>
      <c r="N27" s="8">
        <f>+Données!K27</f>
        <v>23087.1</v>
      </c>
      <c r="O27" s="8">
        <f>(Données!L27/Données!Y27)*1</f>
        <v>427733.375</v>
      </c>
      <c r="P27" s="450">
        <f t="shared" si="2"/>
        <v>5316140.3049999988</v>
      </c>
      <c r="Q27" s="238">
        <f>+Données!X27</f>
        <v>74.5</v>
      </c>
      <c r="R27" s="450">
        <f t="shared" si="3"/>
        <v>71357.587986577171</v>
      </c>
    </row>
    <row r="28" spans="1:18" x14ac:dyDescent="0.25">
      <c r="A28" s="7">
        <f>Données!A28</f>
        <v>5429</v>
      </c>
      <c r="B28" s="27" t="str">
        <f>Données!B28</f>
        <v>Longirod</v>
      </c>
      <c r="C28" s="8">
        <f>Données!C28+Données!D28</f>
        <v>1208320.01</v>
      </c>
      <c r="D28" s="8">
        <f>+Données!G28+Données!H28+Données!S28</f>
        <v>41417.340000000004</v>
      </c>
      <c r="E28" s="8">
        <f>+Données!E28</f>
        <v>0</v>
      </c>
      <c r="F28" s="8">
        <f>+Données!I28</f>
        <v>0</v>
      </c>
      <c r="G28" s="8">
        <f>+Données!J28</f>
        <v>-731.21</v>
      </c>
      <c r="H28" s="8">
        <f>Données!U28</f>
        <v>-32963.19</v>
      </c>
      <c r="I28" s="213">
        <f>Données!V28</f>
        <v>0</v>
      </c>
      <c r="J28" s="213">
        <f>Données!W28</f>
        <v>0</v>
      </c>
      <c r="K28" s="8">
        <f>+Données!Q28</f>
        <v>0</v>
      </c>
      <c r="L28" s="450">
        <f t="shared" si="1"/>
        <v>1216042.9500000002</v>
      </c>
      <c r="M28" s="8">
        <f>+Données!F28</f>
        <v>0</v>
      </c>
      <c r="N28" s="8">
        <f>+Données!K28</f>
        <v>752.55</v>
      </c>
      <c r="O28" s="8">
        <f>(Données!L28/Données!Y28)*1</f>
        <v>111739.05</v>
      </c>
      <c r="P28" s="450">
        <f t="shared" si="2"/>
        <v>1328534.5500000003</v>
      </c>
      <c r="Q28" s="238">
        <f>+Données!X28</f>
        <v>77.5</v>
      </c>
      <c r="R28" s="450">
        <f t="shared" si="3"/>
        <v>17142.381290322584</v>
      </c>
    </row>
    <row r="29" spans="1:18" x14ac:dyDescent="0.25">
      <c r="A29" s="7">
        <f>Données!A29</f>
        <v>5430</v>
      </c>
      <c r="B29" s="27" t="str">
        <f>Données!B29</f>
        <v>Marchissy</v>
      </c>
      <c r="C29" s="8">
        <f>Données!C29+Données!D29</f>
        <v>1227453.3</v>
      </c>
      <c r="D29" s="8">
        <f>+Données!G29+Données!H29+Données!S29</f>
        <v>1300.06</v>
      </c>
      <c r="E29" s="8">
        <f>+Données!E29</f>
        <v>0</v>
      </c>
      <c r="F29" s="8">
        <f>+Données!I29</f>
        <v>0</v>
      </c>
      <c r="G29" s="8">
        <f>+Données!J29</f>
        <v>7017.17</v>
      </c>
      <c r="H29" s="8">
        <f>Données!U29</f>
        <v>-2398.1999999999998</v>
      </c>
      <c r="I29" s="213">
        <f>Données!V29</f>
        <v>0</v>
      </c>
      <c r="J29" s="213">
        <f>Données!W29</f>
        <v>-91.38</v>
      </c>
      <c r="K29" s="8">
        <f>+Données!Q29</f>
        <v>0</v>
      </c>
      <c r="L29" s="450">
        <f t="shared" si="1"/>
        <v>1233280.9500000002</v>
      </c>
      <c r="M29" s="8">
        <f>+Données!F29</f>
        <v>0</v>
      </c>
      <c r="N29" s="8">
        <f>+Données!K29</f>
        <v>-1384.5</v>
      </c>
      <c r="O29" s="8">
        <f>(Données!L29/Données!Y29)*1</f>
        <v>95036.5</v>
      </c>
      <c r="P29" s="450">
        <f t="shared" si="2"/>
        <v>1326932.9500000002</v>
      </c>
      <c r="Q29" s="238">
        <f>+Données!X29</f>
        <v>77.5</v>
      </c>
      <c r="R29" s="450">
        <f t="shared" si="3"/>
        <v>17121.715483870968</v>
      </c>
    </row>
    <row r="30" spans="1:18" x14ac:dyDescent="0.25">
      <c r="A30" s="7">
        <f>Données!A30</f>
        <v>5431</v>
      </c>
      <c r="B30" s="27" t="str">
        <f>Données!B30</f>
        <v>Mollens</v>
      </c>
      <c r="C30" s="8">
        <f>Données!C30+Données!D30</f>
        <v>611024.87</v>
      </c>
      <c r="D30" s="8">
        <f>+Données!G30+Données!H30+Données!S30</f>
        <v>-133.48000000000002</v>
      </c>
      <c r="E30" s="8">
        <f>+Données!E30</f>
        <v>0</v>
      </c>
      <c r="F30" s="8">
        <f>+Données!I30</f>
        <v>0</v>
      </c>
      <c r="G30" s="8">
        <f>+Données!J30</f>
        <v>38582.04</v>
      </c>
      <c r="H30" s="8">
        <f>Données!U30</f>
        <v>-762.06</v>
      </c>
      <c r="I30" s="213">
        <f>Données!V30</f>
        <v>0</v>
      </c>
      <c r="J30" s="213">
        <f>Données!W30</f>
        <v>-2835.6</v>
      </c>
      <c r="K30" s="8">
        <f>+Données!Q30</f>
        <v>0</v>
      </c>
      <c r="L30" s="450">
        <f t="shared" si="1"/>
        <v>645875.77</v>
      </c>
      <c r="M30" s="8">
        <f>+Données!F30</f>
        <v>0</v>
      </c>
      <c r="N30" s="8">
        <f>+Données!K30</f>
        <v>799.5</v>
      </c>
      <c r="O30" s="8">
        <f>(Données!L30/Données!Y30)*1</f>
        <v>54478.400000000001</v>
      </c>
      <c r="P30" s="450">
        <f t="shared" si="2"/>
        <v>701153.67</v>
      </c>
      <c r="Q30" s="238">
        <f>+Données!X30</f>
        <v>74</v>
      </c>
      <c r="R30" s="450">
        <f t="shared" si="3"/>
        <v>9475.049594594595</v>
      </c>
    </row>
    <row r="31" spans="1:18" x14ac:dyDescent="0.25">
      <c r="A31" s="7">
        <f>Données!A31</f>
        <v>5434</v>
      </c>
      <c r="B31" s="27" t="str">
        <f>Données!B31</f>
        <v>Saint-George</v>
      </c>
      <c r="C31" s="8">
        <f>Données!C31+Données!D31</f>
        <v>2580536.2599999998</v>
      </c>
      <c r="D31" s="8">
        <f>+Données!G31+Données!H31+Données!S31</f>
        <v>2463.1600000000003</v>
      </c>
      <c r="E31" s="8">
        <f>+Données!E31</f>
        <v>0</v>
      </c>
      <c r="F31" s="8">
        <f>+Données!I31</f>
        <v>0</v>
      </c>
      <c r="G31" s="8">
        <f>+Données!J31</f>
        <v>36211.4</v>
      </c>
      <c r="H31" s="8">
        <f>Données!U31</f>
        <v>-10627.56</v>
      </c>
      <c r="I31" s="213">
        <f>Données!V31</f>
        <v>0</v>
      </c>
      <c r="J31" s="213">
        <f>Données!W31</f>
        <v>-3042.95</v>
      </c>
      <c r="K31" s="8">
        <f>+Données!Q31</f>
        <v>862.13</v>
      </c>
      <c r="L31" s="450">
        <f t="shared" si="1"/>
        <v>2606402.4399999995</v>
      </c>
      <c r="M31" s="8">
        <f>+Données!F31</f>
        <v>0</v>
      </c>
      <c r="N31" s="8">
        <f>+Données!K31</f>
        <v>4647.2</v>
      </c>
      <c r="O31" s="8">
        <f>(Données!L31/Données!Y31)*1</f>
        <v>246055.04166666666</v>
      </c>
      <c r="P31" s="450">
        <f t="shared" si="2"/>
        <v>2857104.6816666662</v>
      </c>
      <c r="Q31" s="238">
        <f>+Données!X31</f>
        <v>69.5</v>
      </c>
      <c r="R31" s="450">
        <f t="shared" si="3"/>
        <v>41109.419880095913</v>
      </c>
    </row>
    <row r="32" spans="1:18" x14ac:dyDescent="0.25">
      <c r="A32" s="7">
        <f>Données!A32</f>
        <v>5435</v>
      </c>
      <c r="B32" s="27" t="str">
        <f>Données!B32</f>
        <v>Saint-Livres</v>
      </c>
      <c r="C32" s="8">
        <f>Données!C32+Données!D32</f>
        <v>1594572.26</v>
      </c>
      <c r="D32" s="8">
        <f>+Données!G32+Données!H32+Données!S32</f>
        <v>19810.96</v>
      </c>
      <c r="E32" s="8">
        <f>+Données!E32</f>
        <v>0</v>
      </c>
      <c r="F32" s="8">
        <f>+Données!I32</f>
        <v>0</v>
      </c>
      <c r="G32" s="8">
        <f>+Données!J32</f>
        <v>15499.66</v>
      </c>
      <c r="H32" s="8">
        <f>Données!U32</f>
        <v>-7116.05</v>
      </c>
      <c r="I32" s="213">
        <f>Données!V32</f>
        <v>0</v>
      </c>
      <c r="J32" s="213">
        <f>Données!W32</f>
        <v>-114.89</v>
      </c>
      <c r="K32" s="8">
        <f>+Données!Q32</f>
        <v>309.2</v>
      </c>
      <c r="L32" s="450">
        <f t="shared" si="1"/>
        <v>1622961.14</v>
      </c>
      <c r="M32" s="8">
        <f>+Données!F32</f>
        <v>0</v>
      </c>
      <c r="N32" s="8">
        <f>+Données!K32</f>
        <v>0</v>
      </c>
      <c r="O32" s="8">
        <f>(Données!L32/Données!Y32)*1</f>
        <v>133937</v>
      </c>
      <c r="P32" s="450">
        <f t="shared" si="2"/>
        <v>1756898.14</v>
      </c>
      <c r="Q32" s="238">
        <f>+Données!X32</f>
        <v>69</v>
      </c>
      <c r="R32" s="450">
        <f t="shared" si="3"/>
        <v>25462.29188405797</v>
      </c>
    </row>
    <row r="33" spans="1:18" x14ac:dyDescent="0.25">
      <c r="A33" s="7">
        <f>Données!A33</f>
        <v>5436</v>
      </c>
      <c r="B33" s="27" t="str">
        <f>Données!B33</f>
        <v>Saint-Oyens</v>
      </c>
      <c r="C33" s="8">
        <f>Données!C33+Données!D33</f>
        <v>1228151.8599999999</v>
      </c>
      <c r="D33" s="8">
        <f>+Données!G33+Données!H33+Données!S33</f>
        <v>6879.74</v>
      </c>
      <c r="E33" s="8">
        <f>+Données!E33</f>
        <v>0</v>
      </c>
      <c r="F33" s="8">
        <f>+Données!I33</f>
        <v>0</v>
      </c>
      <c r="G33" s="8">
        <f>+Données!J33</f>
        <v>-7518.66</v>
      </c>
      <c r="H33" s="8">
        <f>Données!U33</f>
        <v>-21037.62</v>
      </c>
      <c r="I33" s="213">
        <f>Données!V33</f>
        <v>0</v>
      </c>
      <c r="J33" s="213">
        <f>Données!W33</f>
        <v>-1090.45</v>
      </c>
      <c r="K33" s="8">
        <f>+Données!Q33</f>
        <v>0</v>
      </c>
      <c r="L33" s="450">
        <f t="shared" si="1"/>
        <v>1205384.8699999999</v>
      </c>
      <c r="M33" s="8">
        <f>+Données!F33</f>
        <v>0</v>
      </c>
      <c r="N33" s="8">
        <f>+Données!K33</f>
        <v>0</v>
      </c>
      <c r="O33" s="8">
        <f>(Données!L33/Données!Y33)*1</f>
        <v>92219.5</v>
      </c>
      <c r="P33" s="450">
        <f t="shared" si="2"/>
        <v>1297604.3699999999</v>
      </c>
      <c r="Q33" s="238">
        <f>+Données!X33</f>
        <v>79</v>
      </c>
      <c r="R33" s="450">
        <f t="shared" si="3"/>
        <v>16425.371772151899</v>
      </c>
    </row>
    <row r="34" spans="1:18" x14ac:dyDescent="0.25">
      <c r="A34" s="7">
        <f>Données!A34</f>
        <v>5437</v>
      </c>
      <c r="B34" s="27" t="str">
        <f>Données!B34</f>
        <v>Saubraz</v>
      </c>
      <c r="C34" s="8">
        <f>Données!C34+Données!D34</f>
        <v>932036.41999999993</v>
      </c>
      <c r="D34" s="8">
        <f>+Données!G34+Données!H34+Données!S34</f>
        <v>-2746.4599999999996</v>
      </c>
      <c r="E34" s="8">
        <f>+Données!E34</f>
        <v>0</v>
      </c>
      <c r="F34" s="8">
        <f>+Données!I34</f>
        <v>0</v>
      </c>
      <c r="G34" s="8">
        <f>+Données!J34</f>
        <v>14839.82</v>
      </c>
      <c r="H34" s="8">
        <f>Données!U34</f>
        <v>-57716.35</v>
      </c>
      <c r="I34" s="213">
        <f>Données!V34</f>
        <v>0</v>
      </c>
      <c r="J34" s="213">
        <f>Données!W34</f>
        <v>0</v>
      </c>
      <c r="K34" s="8">
        <f>+Données!Q34</f>
        <v>4123.3</v>
      </c>
      <c r="L34" s="450">
        <f t="shared" si="1"/>
        <v>890536.73</v>
      </c>
      <c r="M34" s="8">
        <f>+Données!F34</f>
        <v>0</v>
      </c>
      <c r="N34" s="8">
        <f>+Données!K34</f>
        <v>3141.85</v>
      </c>
      <c r="O34" s="8">
        <f>(Données!L34/Données!Y34)*1</f>
        <v>76554.8</v>
      </c>
      <c r="P34" s="450">
        <f t="shared" si="2"/>
        <v>970233.38</v>
      </c>
      <c r="Q34" s="238">
        <f>+Données!X34</f>
        <v>80</v>
      </c>
      <c r="R34" s="450">
        <f t="shared" si="3"/>
        <v>12127.91725</v>
      </c>
    </row>
    <row r="35" spans="1:18" x14ac:dyDescent="0.25">
      <c r="A35" s="7">
        <f>Données!A35</f>
        <v>5451</v>
      </c>
      <c r="B35" s="27" t="str">
        <f>Données!B35</f>
        <v>Avenches</v>
      </c>
      <c r="C35" s="8">
        <f>Données!C35+Données!D35</f>
        <v>5698265.7699999996</v>
      </c>
      <c r="D35" s="8">
        <f>+Données!G35+Données!H35+Données!S35</f>
        <v>2453624.8499999996</v>
      </c>
      <c r="E35" s="8">
        <f>+Données!E35</f>
        <v>0</v>
      </c>
      <c r="F35" s="8">
        <f>+Données!I35</f>
        <v>0</v>
      </c>
      <c r="G35" s="8">
        <f>+Données!J35</f>
        <v>429329.45</v>
      </c>
      <c r="H35" s="8">
        <f>Données!U35</f>
        <v>-361384.15</v>
      </c>
      <c r="I35" s="213">
        <f>Données!V35</f>
        <v>0</v>
      </c>
      <c r="J35" s="213">
        <f>Données!W35</f>
        <v>-562.54</v>
      </c>
      <c r="K35" s="8">
        <f>+Données!Q35</f>
        <v>136481.04999999999</v>
      </c>
      <c r="L35" s="450">
        <f t="shared" si="1"/>
        <v>8355754.4299999978</v>
      </c>
      <c r="M35" s="8">
        <f>+Données!F35</f>
        <v>0</v>
      </c>
      <c r="N35" s="8">
        <f>+Données!K35</f>
        <v>122620.35</v>
      </c>
      <c r="O35" s="8">
        <f>(Données!L35/Données!Y35)*1</f>
        <v>1006727.4666666667</v>
      </c>
      <c r="P35" s="450">
        <f t="shared" si="2"/>
        <v>9485102.2466666643</v>
      </c>
      <c r="Q35" s="238">
        <f>+Données!X35</f>
        <v>66.5</v>
      </c>
      <c r="R35" s="450">
        <f t="shared" si="3"/>
        <v>142633.11649122802</v>
      </c>
    </row>
    <row r="36" spans="1:18" x14ac:dyDescent="0.25">
      <c r="A36" s="7">
        <f>Données!A36</f>
        <v>5456</v>
      </c>
      <c r="B36" s="27" t="str">
        <f>Données!B36</f>
        <v>Cudrefin</v>
      </c>
      <c r="C36" s="8">
        <f>Données!C36+Données!D36</f>
        <v>3326344.2800000003</v>
      </c>
      <c r="D36" s="8">
        <f>+Données!G36+Données!H36+Données!S36</f>
        <v>70666.12999999999</v>
      </c>
      <c r="E36" s="8">
        <f>+Données!E36</f>
        <v>0</v>
      </c>
      <c r="F36" s="8">
        <f>+Données!I36</f>
        <v>0</v>
      </c>
      <c r="G36" s="8">
        <f>+Données!J36</f>
        <v>28027.279999999999</v>
      </c>
      <c r="H36" s="8">
        <f>Données!U36</f>
        <v>-13342.6</v>
      </c>
      <c r="I36" s="213">
        <f>Données!V36</f>
        <v>0</v>
      </c>
      <c r="J36" s="213">
        <f>Données!W36</f>
        <v>-138.75</v>
      </c>
      <c r="K36" s="8">
        <f>+Données!Q36</f>
        <v>-11425.02</v>
      </c>
      <c r="L36" s="450">
        <f t="shared" si="1"/>
        <v>3400131.32</v>
      </c>
      <c r="M36" s="8">
        <f>+Données!F36</f>
        <v>0</v>
      </c>
      <c r="N36" s="8">
        <f>+Données!K36</f>
        <v>11289.55</v>
      </c>
      <c r="O36" s="8">
        <f>(Données!L36/Données!Y36)*1</f>
        <v>368141.89999999997</v>
      </c>
      <c r="P36" s="450">
        <f t="shared" si="2"/>
        <v>3779562.7699999996</v>
      </c>
      <c r="Q36" s="238">
        <f>+Données!X36</f>
        <v>59</v>
      </c>
      <c r="R36" s="450">
        <f t="shared" si="3"/>
        <v>64060.385932203382</v>
      </c>
    </row>
    <row r="37" spans="1:18" x14ac:dyDescent="0.25">
      <c r="A37" s="7">
        <f>Données!A37</f>
        <v>5458</v>
      </c>
      <c r="B37" s="27" t="str">
        <f>Données!B37</f>
        <v>Faoug</v>
      </c>
      <c r="C37" s="8">
        <f>Données!C37+Données!D37</f>
        <v>1860561.93</v>
      </c>
      <c r="D37" s="8">
        <f>+Données!G37+Données!H37+Données!S37</f>
        <v>25362.75</v>
      </c>
      <c r="E37" s="8">
        <f>+Données!E37</f>
        <v>0</v>
      </c>
      <c r="F37" s="8">
        <f>+Données!I37</f>
        <v>0</v>
      </c>
      <c r="G37" s="8">
        <f>+Données!J37</f>
        <v>55674.5</v>
      </c>
      <c r="H37" s="8">
        <f>Données!U37</f>
        <v>-26814.48</v>
      </c>
      <c r="I37" s="213">
        <f>Données!V37</f>
        <v>0</v>
      </c>
      <c r="J37" s="213">
        <f>Données!W37</f>
        <v>-236.55</v>
      </c>
      <c r="K37" s="8">
        <f>+Données!Q37</f>
        <v>0</v>
      </c>
      <c r="L37" s="450">
        <f t="shared" si="1"/>
        <v>1914548.15</v>
      </c>
      <c r="M37" s="8">
        <f>+Données!F37</f>
        <v>0</v>
      </c>
      <c r="N37" s="8">
        <f>+Données!K37</f>
        <v>13000.75</v>
      </c>
      <c r="O37" s="8">
        <f>(Données!L37/Données!Y37)*1</f>
        <v>193460.93333333335</v>
      </c>
      <c r="P37" s="450">
        <f t="shared" si="2"/>
        <v>2121009.833333333</v>
      </c>
      <c r="Q37" s="238">
        <f>+Données!X37</f>
        <v>65</v>
      </c>
      <c r="R37" s="450">
        <f t="shared" si="3"/>
        <v>32630.920512820507</v>
      </c>
    </row>
    <row r="38" spans="1:18" x14ac:dyDescent="0.25">
      <c r="A38" s="7">
        <f>Données!A38</f>
        <v>5464</v>
      </c>
      <c r="B38" s="27" t="str">
        <f>Données!B38</f>
        <v>Vully-les-Lacs</v>
      </c>
      <c r="C38" s="8">
        <f>Données!C38+Données!D38</f>
        <v>6868343.5800000001</v>
      </c>
      <c r="D38" s="8">
        <f>+Données!G38+Données!H38+Données!S38</f>
        <v>97804.209999999992</v>
      </c>
      <c r="E38" s="8">
        <f>+Données!E38</f>
        <v>0</v>
      </c>
      <c r="F38" s="8">
        <f>+Données!I38</f>
        <v>66178.7</v>
      </c>
      <c r="G38" s="8">
        <f>+Données!J38</f>
        <v>156752.70000000001</v>
      </c>
      <c r="H38" s="8">
        <f>Données!U38</f>
        <v>-78050.41</v>
      </c>
      <c r="I38" s="213">
        <f>Données!V38</f>
        <v>0</v>
      </c>
      <c r="J38" s="213">
        <f>Données!W38</f>
        <v>-898.05</v>
      </c>
      <c r="K38" s="8">
        <f>+Données!Q38</f>
        <v>34715.74</v>
      </c>
      <c r="L38" s="450">
        <f t="shared" si="1"/>
        <v>7144846.4700000007</v>
      </c>
      <c r="M38" s="8">
        <f>+Données!F38</f>
        <v>0</v>
      </c>
      <c r="N38" s="8">
        <f>+Données!K38</f>
        <v>10687.4</v>
      </c>
      <c r="O38" s="8">
        <f>(Données!L38/Données!Y38)*1</f>
        <v>746007.1</v>
      </c>
      <c r="P38" s="450">
        <f t="shared" si="2"/>
        <v>7901540.9700000007</v>
      </c>
      <c r="Q38" s="238">
        <f>+Données!X38</f>
        <v>67</v>
      </c>
      <c r="R38" s="450">
        <f t="shared" si="3"/>
        <v>117933.44731343284</v>
      </c>
    </row>
    <row r="39" spans="1:18" x14ac:dyDescent="0.25">
      <c r="A39" s="7">
        <f>Données!A39</f>
        <v>5471</v>
      </c>
      <c r="B39" s="27" t="str">
        <f>Données!B39</f>
        <v>Bettens</v>
      </c>
      <c r="C39" s="8">
        <f>Données!C39+Données!D39</f>
        <v>1403380.04</v>
      </c>
      <c r="D39" s="8">
        <f>+Données!G39+Données!H39+Données!S39</f>
        <v>24449.05</v>
      </c>
      <c r="E39" s="8">
        <f>+Données!E39</f>
        <v>0</v>
      </c>
      <c r="F39" s="8">
        <f>+Données!I39</f>
        <v>0</v>
      </c>
      <c r="G39" s="8">
        <f>+Données!J39</f>
        <v>23462.41</v>
      </c>
      <c r="H39" s="8">
        <f>Données!U39</f>
        <v>-5274.52</v>
      </c>
      <c r="I39" s="213">
        <f>Données!V39</f>
        <v>0</v>
      </c>
      <c r="J39" s="213">
        <f>Données!W39</f>
        <v>-192.96</v>
      </c>
      <c r="K39" s="8">
        <f>+Données!Q39</f>
        <v>1223.46</v>
      </c>
      <c r="L39" s="450">
        <f t="shared" si="1"/>
        <v>1447047.48</v>
      </c>
      <c r="M39" s="8">
        <f>+Données!F39</f>
        <v>0</v>
      </c>
      <c r="N39" s="8">
        <f>+Données!K39</f>
        <v>4233.25</v>
      </c>
      <c r="O39" s="8">
        <f>(Données!L39/Données!Y39)*1</f>
        <v>137179.38888888888</v>
      </c>
      <c r="P39" s="450">
        <f t="shared" si="2"/>
        <v>1588460.118888889</v>
      </c>
      <c r="Q39" s="238">
        <f>+Données!X39</f>
        <v>70</v>
      </c>
      <c r="R39" s="450">
        <f t="shared" si="3"/>
        <v>22692.287412698413</v>
      </c>
    </row>
    <row r="40" spans="1:18" x14ac:dyDescent="0.25">
      <c r="A40" s="7">
        <f>Données!A40</f>
        <v>5472</v>
      </c>
      <c r="B40" s="27" t="str">
        <f>Données!B40</f>
        <v>Bournens</v>
      </c>
      <c r="C40" s="8">
        <f>Données!C40+Données!D40</f>
        <v>1250993.31</v>
      </c>
      <c r="D40" s="8">
        <f>+Données!G40+Données!H40+Données!S40</f>
        <v>1833.2</v>
      </c>
      <c r="E40" s="8">
        <f>+Données!E40</f>
        <v>0</v>
      </c>
      <c r="F40" s="8">
        <f>+Données!I40</f>
        <v>0</v>
      </c>
      <c r="G40" s="8">
        <f>+Données!J40</f>
        <v>-2898.71</v>
      </c>
      <c r="H40" s="8">
        <f>Données!U40</f>
        <v>-7354</v>
      </c>
      <c r="I40" s="213">
        <f>Données!V40</f>
        <v>0</v>
      </c>
      <c r="J40" s="213">
        <f>Données!W40</f>
        <v>-713.76</v>
      </c>
      <c r="K40" s="8">
        <f>+Données!Q40</f>
        <v>0</v>
      </c>
      <c r="L40" s="450">
        <f t="shared" si="1"/>
        <v>1241860.04</v>
      </c>
      <c r="M40" s="8">
        <f>+Données!F40</f>
        <v>0</v>
      </c>
      <c r="N40" s="8">
        <f>+Données!K40</f>
        <v>516.5</v>
      </c>
      <c r="O40" s="8">
        <f>(Données!L40/Données!Y40)*1</f>
        <v>115912.35</v>
      </c>
      <c r="P40" s="450">
        <f t="shared" si="2"/>
        <v>1358288.8900000001</v>
      </c>
      <c r="Q40" s="238">
        <f>+Données!X40</f>
        <v>68</v>
      </c>
      <c r="R40" s="450">
        <f t="shared" si="3"/>
        <v>19974.836617647059</v>
      </c>
    </row>
    <row r="41" spans="1:18" x14ac:dyDescent="0.25">
      <c r="A41" s="7">
        <f>Données!A41</f>
        <v>5473</v>
      </c>
      <c r="B41" s="27" t="str">
        <f>Données!B41</f>
        <v>Boussens</v>
      </c>
      <c r="C41" s="8">
        <f>Données!C41+Données!D41</f>
        <v>2516219.46</v>
      </c>
      <c r="D41" s="8">
        <f>+Données!G41+Données!H41+Données!S41</f>
        <v>41339.579999999994</v>
      </c>
      <c r="E41" s="8">
        <f>+Données!E41</f>
        <v>0</v>
      </c>
      <c r="F41" s="8">
        <f>+Données!I41</f>
        <v>0</v>
      </c>
      <c r="G41" s="8">
        <f>+Données!J41</f>
        <v>19304.5</v>
      </c>
      <c r="H41" s="8">
        <f>Données!U41</f>
        <v>-7258.88</v>
      </c>
      <c r="I41" s="213">
        <f>Données!V41</f>
        <v>0</v>
      </c>
      <c r="J41" s="213">
        <f>Données!W41</f>
        <v>-316.5</v>
      </c>
      <c r="K41" s="8">
        <f>+Données!Q41</f>
        <v>1344.55</v>
      </c>
      <c r="L41" s="450">
        <f t="shared" si="1"/>
        <v>2570632.71</v>
      </c>
      <c r="M41" s="8">
        <f>+Données!F41</f>
        <v>0</v>
      </c>
      <c r="N41" s="8">
        <f>+Données!K41</f>
        <v>6131.35</v>
      </c>
      <c r="O41" s="8">
        <f>(Données!L41/Données!Y41)*1</f>
        <v>196363</v>
      </c>
      <c r="P41" s="450">
        <f t="shared" si="2"/>
        <v>2773127.06</v>
      </c>
      <c r="Q41" s="238">
        <f>+Données!X41</f>
        <v>66</v>
      </c>
      <c r="R41" s="450">
        <f t="shared" si="3"/>
        <v>42017.076666666668</v>
      </c>
    </row>
    <row r="42" spans="1:18" x14ac:dyDescent="0.25">
      <c r="A42" s="7">
        <f>Données!A42</f>
        <v>5474</v>
      </c>
      <c r="B42" s="27" t="str">
        <f>Données!B42</f>
        <v>La Chaux (Cossonay)</v>
      </c>
      <c r="C42" s="8">
        <f>Données!C42+Données!D42</f>
        <v>998785.14</v>
      </c>
      <c r="D42" s="8">
        <f>+Données!G42+Données!H42+Données!S42</f>
        <v>13740.49</v>
      </c>
      <c r="E42" s="8">
        <f>+Données!E42</f>
        <v>0</v>
      </c>
      <c r="F42" s="8">
        <f>+Données!I42</f>
        <v>-37654</v>
      </c>
      <c r="G42" s="8">
        <f>+Données!J42</f>
        <v>5133.25</v>
      </c>
      <c r="H42" s="8">
        <f>Données!U42</f>
        <v>-750.54</v>
      </c>
      <c r="I42" s="213">
        <f>Données!V42</f>
        <v>0</v>
      </c>
      <c r="J42" s="213">
        <f>Données!W42</f>
        <v>-304.55</v>
      </c>
      <c r="K42" s="8">
        <f>+Données!Q42</f>
        <v>0</v>
      </c>
      <c r="L42" s="450">
        <f t="shared" si="1"/>
        <v>978949.78999999992</v>
      </c>
      <c r="M42" s="8">
        <f>+Données!F42</f>
        <v>0</v>
      </c>
      <c r="N42" s="8">
        <f>+Données!K42</f>
        <v>-725.5</v>
      </c>
      <c r="O42" s="8">
        <f>(Données!L42/Données!Y42)*1</f>
        <v>75326.958333333343</v>
      </c>
      <c r="P42" s="450">
        <f t="shared" si="2"/>
        <v>1053551.2483333333</v>
      </c>
      <c r="Q42" s="238">
        <f>+Données!X42</f>
        <v>76</v>
      </c>
      <c r="R42" s="450">
        <f t="shared" si="3"/>
        <v>13862.516425438596</v>
      </c>
    </row>
    <row r="43" spans="1:18" x14ac:dyDescent="0.25">
      <c r="A43" s="7">
        <f>Données!A43</f>
        <v>5475</v>
      </c>
      <c r="B43" s="27" t="str">
        <f>Données!B43</f>
        <v>Chavannes-le-Veyron</v>
      </c>
      <c r="C43" s="8">
        <f>Données!C43+Données!D43</f>
        <v>282390</v>
      </c>
      <c r="D43" s="8">
        <f>+Données!G43+Données!H43+Données!S43</f>
        <v>5251.7599999999993</v>
      </c>
      <c r="E43" s="8">
        <f>+Données!E43</f>
        <v>0</v>
      </c>
      <c r="F43" s="8">
        <f>+Données!I43</f>
        <v>0</v>
      </c>
      <c r="G43" s="8">
        <f>+Données!J43</f>
        <v>8839.4500000000007</v>
      </c>
      <c r="H43" s="8">
        <f>Données!U43</f>
        <v>208.89</v>
      </c>
      <c r="I43" s="213">
        <f>Données!V43</f>
        <v>0</v>
      </c>
      <c r="J43" s="213">
        <f>Données!W43</f>
        <v>0</v>
      </c>
      <c r="K43" s="8">
        <f>+Données!Q43</f>
        <v>-25.04</v>
      </c>
      <c r="L43" s="450">
        <f t="shared" si="1"/>
        <v>296665.06000000006</v>
      </c>
      <c r="M43" s="8">
        <f>+Données!F43</f>
        <v>0</v>
      </c>
      <c r="N43" s="8">
        <f>+Données!K43</f>
        <v>0</v>
      </c>
      <c r="O43" s="8">
        <f>(Données!L43/Données!Y43)*1</f>
        <v>25625.3</v>
      </c>
      <c r="P43" s="450">
        <f t="shared" si="2"/>
        <v>322290.36000000004</v>
      </c>
      <c r="Q43" s="238">
        <f>+Données!X43</f>
        <v>75</v>
      </c>
      <c r="R43" s="450">
        <f t="shared" si="3"/>
        <v>4297.2048000000004</v>
      </c>
    </row>
    <row r="44" spans="1:18" x14ac:dyDescent="0.25">
      <c r="A44" s="7">
        <f>Données!A44</f>
        <v>5476</v>
      </c>
      <c r="B44" s="27" t="str">
        <f>Données!B44</f>
        <v>Chevilly</v>
      </c>
      <c r="C44" s="8">
        <f>Données!C44+Données!D44</f>
        <v>922085.03</v>
      </c>
      <c r="D44" s="8">
        <f>+Données!G44+Données!H44+Données!S44</f>
        <v>437.27</v>
      </c>
      <c r="E44" s="8">
        <f>+Données!E44</f>
        <v>0</v>
      </c>
      <c r="F44" s="8">
        <f>+Données!I44</f>
        <v>0</v>
      </c>
      <c r="G44" s="8">
        <f>+Données!J44</f>
        <v>4675.37</v>
      </c>
      <c r="H44" s="8">
        <f>Données!U44</f>
        <v>-6447.63</v>
      </c>
      <c r="I44" s="213">
        <f>Données!V44</f>
        <v>0</v>
      </c>
      <c r="J44" s="213">
        <f>Données!W44</f>
        <v>0</v>
      </c>
      <c r="K44" s="8">
        <f>+Données!Q44</f>
        <v>0</v>
      </c>
      <c r="L44" s="450">
        <f t="shared" si="1"/>
        <v>920750.04</v>
      </c>
      <c r="M44" s="8">
        <f>+Données!F44</f>
        <v>0</v>
      </c>
      <c r="N44" s="8">
        <f>+Données!K44</f>
        <v>0</v>
      </c>
      <c r="O44" s="8">
        <f>(Données!L44/Données!Y44)*1</f>
        <v>62237.8</v>
      </c>
      <c r="P44" s="450">
        <f t="shared" si="2"/>
        <v>982987.84000000008</v>
      </c>
      <c r="Q44" s="238">
        <f>+Données!X44</f>
        <v>72.5</v>
      </c>
      <c r="R44" s="450">
        <f t="shared" si="3"/>
        <v>13558.452965517243</v>
      </c>
    </row>
    <row r="45" spans="1:18" x14ac:dyDescent="0.25">
      <c r="A45" s="7">
        <f>Données!A45</f>
        <v>5477</v>
      </c>
      <c r="B45" s="27" t="str">
        <f>Données!B45</f>
        <v>Cossonay</v>
      </c>
      <c r="C45" s="8">
        <f>Données!C45+Données!D45</f>
        <v>8902983.75</v>
      </c>
      <c r="D45" s="8">
        <f>+Données!G45+Données!H45+Données!S45</f>
        <v>489289.7</v>
      </c>
      <c r="E45" s="8">
        <f>+Données!E45</f>
        <v>0</v>
      </c>
      <c r="F45" s="8">
        <f>+Données!I45</f>
        <v>0</v>
      </c>
      <c r="G45" s="8">
        <f>+Données!J45</f>
        <v>177524.42</v>
      </c>
      <c r="H45" s="8">
        <f>Données!U45</f>
        <v>-78338.600000000006</v>
      </c>
      <c r="I45" s="213">
        <f>Données!V45</f>
        <v>0</v>
      </c>
      <c r="J45" s="213">
        <f>Données!W45</f>
        <v>-986.22</v>
      </c>
      <c r="K45" s="8">
        <f>+Données!Q45</f>
        <v>7693.11</v>
      </c>
      <c r="L45" s="450">
        <f t="shared" si="1"/>
        <v>9498166.1599999983</v>
      </c>
      <c r="M45" s="8">
        <f>+Données!F45</f>
        <v>0</v>
      </c>
      <c r="N45" s="8">
        <f>+Données!K45</f>
        <v>48032.55</v>
      </c>
      <c r="O45" s="8">
        <f>(Données!L45/Données!Y45)*1</f>
        <v>755157.25</v>
      </c>
      <c r="P45" s="450">
        <f t="shared" si="2"/>
        <v>10301355.959999999</v>
      </c>
      <c r="Q45" s="238">
        <f>+Données!X45</f>
        <v>68</v>
      </c>
      <c r="R45" s="450">
        <f t="shared" si="3"/>
        <v>151490.5288235294</v>
      </c>
    </row>
    <row r="46" spans="1:18" x14ac:dyDescent="0.25">
      <c r="A46" s="7">
        <f>Données!A46</f>
        <v>5479</v>
      </c>
      <c r="B46" s="27" t="str">
        <f>Données!B46</f>
        <v>Cuarnens</v>
      </c>
      <c r="C46" s="8">
        <f>Données!C46+Données!D46</f>
        <v>988864.46</v>
      </c>
      <c r="D46" s="8">
        <f>+Données!G46+Données!H46+Données!S46</f>
        <v>29602.06</v>
      </c>
      <c r="E46" s="8">
        <f>+Données!E46</f>
        <v>0</v>
      </c>
      <c r="F46" s="8">
        <f>+Données!I46</f>
        <v>0</v>
      </c>
      <c r="G46" s="8">
        <f>+Données!J46</f>
        <v>20361.759999999998</v>
      </c>
      <c r="H46" s="8">
        <f>Données!U46</f>
        <v>-34030.400000000001</v>
      </c>
      <c r="I46" s="213">
        <f>Données!V46</f>
        <v>0</v>
      </c>
      <c r="J46" s="213">
        <f>Données!W46</f>
        <v>-484.05</v>
      </c>
      <c r="K46" s="8">
        <f>+Données!Q46</f>
        <v>1193.68</v>
      </c>
      <c r="L46" s="450">
        <f t="shared" si="1"/>
        <v>1005507.51</v>
      </c>
      <c r="M46" s="8">
        <f>+Données!F46</f>
        <v>0</v>
      </c>
      <c r="N46" s="8">
        <f>+Données!K46</f>
        <v>1640.55</v>
      </c>
      <c r="O46" s="8">
        <f>(Données!L46/Données!Y46)*1</f>
        <v>96364.95</v>
      </c>
      <c r="P46" s="450">
        <f t="shared" si="2"/>
        <v>1103513.01</v>
      </c>
      <c r="Q46" s="238">
        <f>+Données!X46</f>
        <v>77</v>
      </c>
      <c r="R46" s="450">
        <f t="shared" si="3"/>
        <v>14331.337792207793</v>
      </c>
    </row>
    <row r="47" spans="1:18" x14ac:dyDescent="0.25">
      <c r="A47" s="7">
        <f>Données!A47</f>
        <v>5480</v>
      </c>
      <c r="B47" s="27" t="str">
        <f>Données!B47</f>
        <v>Daillens</v>
      </c>
      <c r="C47" s="8">
        <f>Données!C47+Données!D47</f>
        <v>2475084.34</v>
      </c>
      <c r="D47" s="8">
        <f>+Données!G47+Données!H47+Données!S47</f>
        <v>-14518.5</v>
      </c>
      <c r="E47" s="8">
        <f>+Données!E47</f>
        <v>0</v>
      </c>
      <c r="F47" s="8">
        <f>+Données!I47</f>
        <v>0</v>
      </c>
      <c r="G47" s="8">
        <f>+Données!J47</f>
        <v>42307.86</v>
      </c>
      <c r="H47" s="8">
        <f>Données!U47</f>
        <v>-37786.35</v>
      </c>
      <c r="I47" s="213">
        <f>Données!V47</f>
        <v>0</v>
      </c>
      <c r="J47" s="213">
        <f>Données!W47</f>
        <v>-803.63</v>
      </c>
      <c r="K47" s="8">
        <f>+Données!Q47</f>
        <v>10741.02</v>
      </c>
      <c r="L47" s="450">
        <f t="shared" si="1"/>
        <v>2475024.7399999998</v>
      </c>
      <c r="M47" s="8">
        <f>+Données!F47</f>
        <v>0</v>
      </c>
      <c r="N47" s="8">
        <f>+Données!K47</f>
        <v>13103.7</v>
      </c>
      <c r="O47" s="8">
        <f>(Données!L47/Données!Y47)*1</f>
        <v>331409.08333333337</v>
      </c>
      <c r="P47" s="450">
        <f t="shared" si="2"/>
        <v>2819537.5233333334</v>
      </c>
      <c r="Q47" s="238">
        <f>+Données!X47</f>
        <v>66</v>
      </c>
      <c r="R47" s="450">
        <f t="shared" si="3"/>
        <v>42720.265505050505</v>
      </c>
    </row>
    <row r="48" spans="1:18" x14ac:dyDescent="0.25">
      <c r="A48" s="7">
        <f>Données!A48</f>
        <v>5481</v>
      </c>
      <c r="B48" s="27" t="str">
        <f>Données!B48</f>
        <v>Dizy</v>
      </c>
      <c r="C48" s="8">
        <f>Données!C48+Données!D48</f>
        <v>527323.42000000004</v>
      </c>
      <c r="D48" s="8">
        <f>+Données!G48+Données!H48+Données!S48</f>
        <v>68203.69</v>
      </c>
      <c r="E48" s="8">
        <f>+Données!E48</f>
        <v>0</v>
      </c>
      <c r="F48" s="8">
        <f>+Données!I48</f>
        <v>0</v>
      </c>
      <c r="G48" s="8">
        <f>+Données!J48</f>
        <v>3040.76</v>
      </c>
      <c r="H48" s="8">
        <f>Données!U48</f>
        <v>-1595.93</v>
      </c>
      <c r="I48" s="213">
        <f>Données!V48</f>
        <v>0</v>
      </c>
      <c r="J48" s="213">
        <f>Données!W48</f>
        <v>0</v>
      </c>
      <c r="K48" s="8">
        <f>+Données!Q48</f>
        <v>5315.58</v>
      </c>
      <c r="L48" s="450">
        <f t="shared" si="1"/>
        <v>602287.52</v>
      </c>
      <c r="M48" s="8">
        <f>+Données!F48</f>
        <v>0</v>
      </c>
      <c r="N48" s="8">
        <f>+Données!K48</f>
        <v>0</v>
      </c>
      <c r="O48" s="8">
        <f>(Données!L48/Données!Y48)*1</f>
        <v>39166.15</v>
      </c>
      <c r="P48" s="450">
        <f t="shared" si="2"/>
        <v>641453.67000000004</v>
      </c>
      <c r="Q48" s="238">
        <f>+Données!X48</f>
        <v>75</v>
      </c>
      <c r="R48" s="450">
        <f t="shared" si="3"/>
        <v>8552.7156000000014</v>
      </c>
    </row>
    <row r="49" spans="1:18" x14ac:dyDescent="0.25">
      <c r="A49" s="7">
        <f>Données!A49</f>
        <v>5482</v>
      </c>
      <c r="B49" s="27" t="str">
        <f>Données!B49</f>
        <v>Eclépens</v>
      </c>
      <c r="C49" s="8">
        <f>Données!C49+Données!D49</f>
        <v>1529910.81</v>
      </c>
      <c r="D49" s="8">
        <f>+Données!G49+Données!H49+Données!S49</f>
        <v>171774.85</v>
      </c>
      <c r="E49" s="8">
        <f>+Données!E49</f>
        <v>0</v>
      </c>
      <c r="F49" s="8">
        <f>+Données!I49</f>
        <v>0</v>
      </c>
      <c r="G49" s="8">
        <f>+Données!J49</f>
        <v>77595.570000000007</v>
      </c>
      <c r="H49" s="8">
        <f>Données!U49</f>
        <v>-24600.62</v>
      </c>
      <c r="I49" s="213">
        <f>Données!V49</f>
        <v>0</v>
      </c>
      <c r="J49" s="213">
        <f>Données!W49</f>
        <v>-982.8</v>
      </c>
      <c r="K49" s="8">
        <f>+Données!Q49</f>
        <v>5995.82</v>
      </c>
      <c r="L49" s="450">
        <f t="shared" si="1"/>
        <v>1759693.6300000001</v>
      </c>
      <c r="M49" s="8">
        <f>+Données!F49</f>
        <v>0</v>
      </c>
      <c r="N49" s="8">
        <f>+Données!K49</f>
        <v>20132.7</v>
      </c>
      <c r="O49" s="8">
        <f>(Données!L49/Données!Y49)*1</f>
        <v>442642.7</v>
      </c>
      <c r="P49" s="450">
        <f t="shared" si="2"/>
        <v>2222469.0300000003</v>
      </c>
      <c r="Q49" s="238">
        <f>+Données!X49</f>
        <v>46</v>
      </c>
      <c r="R49" s="450">
        <f t="shared" si="3"/>
        <v>48314.544130434791</v>
      </c>
    </row>
    <row r="50" spans="1:18" x14ac:dyDescent="0.25">
      <c r="A50" s="7">
        <f>Données!A50</f>
        <v>5483</v>
      </c>
      <c r="B50" s="27" t="str">
        <f>Données!B50</f>
        <v>Ferreyres</v>
      </c>
      <c r="C50" s="8">
        <f>Données!C50+Données!D50</f>
        <v>714611.29</v>
      </c>
      <c r="D50" s="8">
        <f>+Données!G50+Données!H50+Données!S50</f>
        <v>8753.869999999999</v>
      </c>
      <c r="E50" s="8">
        <f>+Données!E50</f>
        <v>0</v>
      </c>
      <c r="F50" s="8">
        <f>+Données!I50</f>
        <v>0</v>
      </c>
      <c r="G50" s="8">
        <f>+Données!J50</f>
        <v>2104.39</v>
      </c>
      <c r="H50" s="8">
        <f>Données!U50</f>
        <v>-3086.18</v>
      </c>
      <c r="I50" s="213">
        <f>Données!V50</f>
        <v>0</v>
      </c>
      <c r="J50" s="213">
        <f>Données!W50</f>
        <v>-1013.74</v>
      </c>
      <c r="K50" s="8">
        <f>+Données!Q50</f>
        <v>0</v>
      </c>
      <c r="L50" s="450">
        <f t="shared" si="1"/>
        <v>721369.63</v>
      </c>
      <c r="M50" s="8">
        <f>+Données!F50</f>
        <v>0</v>
      </c>
      <c r="N50" s="8">
        <f>+Données!K50</f>
        <v>175.5</v>
      </c>
      <c r="O50" s="8">
        <f>(Données!L50/Données!Y50)*1</f>
        <v>60060.4</v>
      </c>
      <c r="P50" s="450">
        <f t="shared" si="2"/>
        <v>781605.53</v>
      </c>
      <c r="Q50" s="238">
        <f>+Données!X50</f>
        <v>76</v>
      </c>
      <c r="R50" s="450">
        <f t="shared" si="3"/>
        <v>10284.283289473684</v>
      </c>
    </row>
    <row r="51" spans="1:18" x14ac:dyDescent="0.25">
      <c r="A51" s="7">
        <f>Données!A51</f>
        <v>5484</v>
      </c>
      <c r="B51" s="27" t="str">
        <f>Données!B51</f>
        <v>Gollion</v>
      </c>
      <c r="C51" s="8">
        <f>Données!C51+Données!D51</f>
        <v>2156897.1799999997</v>
      </c>
      <c r="D51" s="8">
        <f>+Données!G51+Données!H51+Données!S51</f>
        <v>53545.64</v>
      </c>
      <c r="E51" s="8">
        <f>+Données!E51</f>
        <v>0</v>
      </c>
      <c r="F51" s="8">
        <f>+Données!I51</f>
        <v>0</v>
      </c>
      <c r="G51" s="8">
        <f>+Données!J51</f>
        <v>19714.080000000002</v>
      </c>
      <c r="H51" s="8">
        <f>Données!U51</f>
        <v>-21376.39</v>
      </c>
      <c r="I51" s="213">
        <f>Données!V51</f>
        <v>0</v>
      </c>
      <c r="J51" s="213">
        <f>Données!W51</f>
        <v>-112.8</v>
      </c>
      <c r="K51" s="8">
        <f>+Données!Q51</f>
        <v>766.99</v>
      </c>
      <c r="L51" s="450">
        <f t="shared" si="1"/>
        <v>2209434.7000000002</v>
      </c>
      <c r="M51" s="8">
        <f>+Données!F51</f>
        <v>0</v>
      </c>
      <c r="N51" s="8">
        <f>+Données!K51</f>
        <v>6304.65</v>
      </c>
      <c r="O51" s="8">
        <f>(Données!L51/Données!Y51)*1</f>
        <v>196784.3</v>
      </c>
      <c r="P51" s="450">
        <f t="shared" si="2"/>
        <v>2412523.65</v>
      </c>
      <c r="Q51" s="238">
        <f>+Données!X51</f>
        <v>74</v>
      </c>
      <c r="R51" s="450">
        <f t="shared" si="3"/>
        <v>32601.670945945945</v>
      </c>
    </row>
    <row r="52" spans="1:18" x14ac:dyDescent="0.25">
      <c r="A52" s="7">
        <f>Données!A52</f>
        <v>5485</v>
      </c>
      <c r="B52" s="27" t="str">
        <f>Données!B52</f>
        <v>Grancy</v>
      </c>
      <c r="C52" s="8">
        <f>Données!C52+Données!D52</f>
        <v>1202643.47</v>
      </c>
      <c r="D52" s="8">
        <f>+Données!G52+Données!H52+Données!S52</f>
        <v>29671.15</v>
      </c>
      <c r="E52" s="8">
        <f>+Données!E52</f>
        <v>0</v>
      </c>
      <c r="F52" s="8">
        <f>+Données!I52</f>
        <v>0</v>
      </c>
      <c r="G52" s="8">
        <f>+Données!J52</f>
        <v>7958.97</v>
      </c>
      <c r="H52" s="8">
        <f>Données!U52</f>
        <v>-4270.97</v>
      </c>
      <c r="I52" s="213">
        <f>Données!V52</f>
        <v>0</v>
      </c>
      <c r="J52" s="213">
        <f>Données!W52</f>
        <v>-200.13</v>
      </c>
      <c r="K52" s="8">
        <f>+Données!Q52</f>
        <v>150.24</v>
      </c>
      <c r="L52" s="450">
        <f t="shared" si="1"/>
        <v>1235952.73</v>
      </c>
      <c r="M52" s="8">
        <f>+Données!F52</f>
        <v>0</v>
      </c>
      <c r="N52" s="8">
        <f>+Données!K52</f>
        <v>74.8</v>
      </c>
      <c r="O52" s="8">
        <f>(Données!L52/Données!Y52)*1</f>
        <v>91269.1</v>
      </c>
      <c r="P52" s="450">
        <f t="shared" si="2"/>
        <v>1327296.6300000001</v>
      </c>
      <c r="Q52" s="238">
        <f>+Données!X52</f>
        <v>70</v>
      </c>
      <c r="R52" s="450">
        <f t="shared" si="3"/>
        <v>18961.380428571429</v>
      </c>
    </row>
    <row r="53" spans="1:18" x14ac:dyDescent="0.25">
      <c r="A53" s="7">
        <f>Données!A53</f>
        <v>5486</v>
      </c>
      <c r="B53" s="27" t="str">
        <f>Données!B53</f>
        <v>L'Isle</v>
      </c>
      <c r="C53" s="8">
        <f>Données!C53+Données!D53</f>
        <v>2304364.89</v>
      </c>
      <c r="D53" s="8">
        <f>+Données!G53+Données!H53+Données!S53</f>
        <v>70668.67</v>
      </c>
      <c r="E53" s="8">
        <f>+Données!E53</f>
        <v>0</v>
      </c>
      <c r="F53" s="8">
        <f>+Données!I53</f>
        <v>0</v>
      </c>
      <c r="G53" s="8">
        <f>+Données!J53</f>
        <v>33904.49</v>
      </c>
      <c r="H53" s="8">
        <f>Données!U53</f>
        <v>-18000.98</v>
      </c>
      <c r="I53" s="213">
        <f>Données!V53</f>
        <v>0</v>
      </c>
      <c r="J53" s="213">
        <f>Données!W53</f>
        <v>0</v>
      </c>
      <c r="K53" s="8">
        <f>+Données!Q53</f>
        <v>424.79</v>
      </c>
      <c r="L53" s="450">
        <f t="shared" si="1"/>
        <v>2391361.8600000003</v>
      </c>
      <c r="M53" s="8">
        <f>+Données!F53</f>
        <v>0</v>
      </c>
      <c r="N53" s="8">
        <f>+Données!K53</f>
        <v>11661.2</v>
      </c>
      <c r="O53" s="8">
        <f>(Données!L53/Données!Y53)*1</f>
        <v>203693.1</v>
      </c>
      <c r="P53" s="450">
        <f t="shared" si="2"/>
        <v>2606716.1600000006</v>
      </c>
      <c r="Q53" s="238">
        <f>+Données!X53</f>
        <v>75</v>
      </c>
      <c r="R53" s="450">
        <f t="shared" si="3"/>
        <v>34756.215466666676</v>
      </c>
    </row>
    <row r="54" spans="1:18" x14ac:dyDescent="0.25">
      <c r="A54" s="7">
        <f>Données!A54</f>
        <v>5487</v>
      </c>
      <c r="B54" s="27" t="str">
        <f>Données!B54</f>
        <v>Lussery-Villars</v>
      </c>
      <c r="C54" s="8">
        <f>Données!C54+Données!D54</f>
        <v>813957.71</v>
      </c>
      <c r="D54" s="8">
        <f>+Données!G54+Données!H54+Données!S54</f>
        <v>3916.13</v>
      </c>
      <c r="E54" s="8">
        <f>+Données!E54</f>
        <v>0</v>
      </c>
      <c r="F54" s="8">
        <f>+Données!I54</f>
        <v>0</v>
      </c>
      <c r="G54" s="8">
        <f>+Données!J54</f>
        <v>3474.05</v>
      </c>
      <c r="H54" s="8">
        <f>Données!U54</f>
        <v>-15614.44</v>
      </c>
      <c r="I54" s="213">
        <f>Données!V54</f>
        <v>0</v>
      </c>
      <c r="J54" s="213">
        <f>Données!W54</f>
        <v>0</v>
      </c>
      <c r="K54" s="8">
        <f>+Données!Q54</f>
        <v>13814.44</v>
      </c>
      <c r="L54" s="450">
        <f t="shared" si="1"/>
        <v>819547.89</v>
      </c>
      <c r="M54" s="8">
        <f>+Données!F54</f>
        <v>0</v>
      </c>
      <c r="N54" s="8">
        <f>+Données!K54</f>
        <v>993.25</v>
      </c>
      <c r="O54" s="8">
        <f>(Données!L54/Données!Y54)*1</f>
        <v>82655.350000000006</v>
      </c>
      <c r="P54" s="450">
        <f t="shared" si="2"/>
        <v>903196.49</v>
      </c>
      <c r="Q54" s="238">
        <f>+Données!X54</f>
        <v>75</v>
      </c>
      <c r="R54" s="450">
        <f t="shared" si="3"/>
        <v>12042.619866666666</v>
      </c>
    </row>
    <row r="55" spans="1:18" x14ac:dyDescent="0.25">
      <c r="A55" s="7">
        <f>Données!A55</f>
        <v>5488</v>
      </c>
      <c r="B55" s="27" t="str">
        <f>Données!B55</f>
        <v>Mauraz</v>
      </c>
      <c r="C55" s="8">
        <f>Données!C55+Données!D55</f>
        <v>157010.99000000002</v>
      </c>
      <c r="D55" s="8">
        <f>+Données!G55+Données!H55+Données!S55</f>
        <v>109.51</v>
      </c>
      <c r="E55" s="8">
        <f>+Données!E55</f>
        <v>0</v>
      </c>
      <c r="F55" s="8">
        <f>+Données!I55</f>
        <v>0</v>
      </c>
      <c r="G55" s="8">
        <f>+Données!J55</f>
        <v>458</v>
      </c>
      <c r="H55" s="8">
        <f>Données!U55</f>
        <v>-2431.8200000000002</v>
      </c>
      <c r="I55" s="213">
        <f>Données!V55</f>
        <v>0</v>
      </c>
      <c r="J55" s="213">
        <f>Données!W55</f>
        <v>0</v>
      </c>
      <c r="K55" s="8">
        <f>+Données!Q55</f>
        <v>0</v>
      </c>
      <c r="L55" s="450">
        <f t="shared" si="1"/>
        <v>155146.68000000002</v>
      </c>
      <c r="M55" s="8">
        <f>+Données!F55</f>
        <v>0</v>
      </c>
      <c r="N55" s="8">
        <f>+Données!K55</f>
        <v>0</v>
      </c>
      <c r="O55" s="8">
        <f>(Données!L55/Données!Y55)*1</f>
        <v>8987</v>
      </c>
      <c r="P55" s="450">
        <f t="shared" si="2"/>
        <v>164133.68000000002</v>
      </c>
      <c r="Q55" s="238">
        <f>+Données!X55</f>
        <v>77</v>
      </c>
      <c r="R55" s="450">
        <f t="shared" si="3"/>
        <v>2131.6062337662343</v>
      </c>
    </row>
    <row r="56" spans="1:18" x14ac:dyDescent="0.25">
      <c r="A56" s="7">
        <f>Données!A56</f>
        <v>5489</v>
      </c>
      <c r="B56" s="27" t="str">
        <f>Données!B56</f>
        <v>Mex</v>
      </c>
      <c r="C56" s="8">
        <f>Données!C56+Données!D56</f>
        <v>2716222.13</v>
      </c>
      <c r="D56" s="8">
        <f>+Données!G56+Données!H56+Données!S56</f>
        <v>548878.57999999996</v>
      </c>
      <c r="E56" s="8">
        <f>+Données!E56</f>
        <v>0</v>
      </c>
      <c r="F56" s="8">
        <f>+Données!I56</f>
        <v>0</v>
      </c>
      <c r="G56" s="8">
        <f>+Données!J56</f>
        <v>55715.49</v>
      </c>
      <c r="H56" s="8">
        <f>Données!U56</f>
        <v>-15246.03</v>
      </c>
      <c r="I56" s="213">
        <f>Données!V56</f>
        <v>0</v>
      </c>
      <c r="J56" s="213">
        <f>Données!W56</f>
        <v>-3666.91</v>
      </c>
      <c r="K56" s="8">
        <f>+Données!Q56</f>
        <v>1794.24</v>
      </c>
      <c r="L56" s="450">
        <f t="shared" si="1"/>
        <v>3303697.5000000005</v>
      </c>
      <c r="M56" s="8">
        <f>+Données!F56</f>
        <v>0</v>
      </c>
      <c r="N56" s="8">
        <f>+Données!K56</f>
        <v>6151.5</v>
      </c>
      <c r="O56" s="8">
        <f>(Données!L56/Données!Y56)*1</f>
        <v>304202.90000000002</v>
      </c>
      <c r="P56" s="450">
        <f t="shared" si="2"/>
        <v>3614051.9000000004</v>
      </c>
      <c r="Q56" s="238">
        <f>+Données!X56</f>
        <v>59.5</v>
      </c>
      <c r="R56" s="450">
        <f t="shared" si="3"/>
        <v>60740.368067226897</v>
      </c>
    </row>
    <row r="57" spans="1:18" x14ac:dyDescent="0.25">
      <c r="A57" s="7">
        <f>Données!A57</f>
        <v>5490</v>
      </c>
      <c r="B57" s="27" t="str">
        <f>Données!B57</f>
        <v>Moiry</v>
      </c>
      <c r="C57" s="8">
        <f>Données!C57+Données!D57</f>
        <v>610042.6100000001</v>
      </c>
      <c r="D57" s="8">
        <f>+Données!G57+Données!H57+Données!S57</f>
        <v>1159.0700000000002</v>
      </c>
      <c r="E57" s="8">
        <f>+Données!E57</f>
        <v>0</v>
      </c>
      <c r="F57" s="8">
        <f>+Données!I57</f>
        <v>0</v>
      </c>
      <c r="G57" s="8">
        <f>+Données!J57</f>
        <v>1091.75</v>
      </c>
      <c r="H57" s="8">
        <f>Données!U57</f>
        <v>-8440.4</v>
      </c>
      <c r="I57" s="213">
        <f>Données!V57</f>
        <v>0</v>
      </c>
      <c r="J57" s="213">
        <f>Données!W57</f>
        <v>-315.7</v>
      </c>
      <c r="K57" s="8">
        <f>+Données!Q57</f>
        <v>0</v>
      </c>
      <c r="L57" s="450">
        <f t="shared" si="1"/>
        <v>603537.33000000007</v>
      </c>
      <c r="M57" s="8">
        <f>+Données!F57</f>
        <v>0</v>
      </c>
      <c r="N57" s="8">
        <f>+Données!K57</f>
        <v>0</v>
      </c>
      <c r="O57" s="8">
        <f>(Données!L57/Données!Y57)*1</f>
        <v>47956</v>
      </c>
      <c r="P57" s="450">
        <f t="shared" si="2"/>
        <v>651493.33000000007</v>
      </c>
      <c r="Q57" s="238">
        <f>+Données!X57</f>
        <v>77</v>
      </c>
      <c r="R57" s="450">
        <f t="shared" si="3"/>
        <v>8460.9523376623383</v>
      </c>
    </row>
    <row r="58" spans="1:18" x14ac:dyDescent="0.25">
      <c r="A58" s="7">
        <f>Données!A58</f>
        <v>5491</v>
      </c>
      <c r="B58" s="27" t="str">
        <f>Données!B58</f>
        <v>Mont-la-Ville</v>
      </c>
      <c r="C58" s="8">
        <f>Données!C58+Données!D58</f>
        <v>937563.74</v>
      </c>
      <c r="D58" s="8">
        <f>+Données!G58+Données!H58+Données!S58</f>
        <v>33135.370000000003</v>
      </c>
      <c r="E58" s="8">
        <f>+Données!E58</f>
        <v>0</v>
      </c>
      <c r="F58" s="8">
        <f>+Données!I58</f>
        <v>0</v>
      </c>
      <c r="G58" s="8">
        <f>+Données!J58</f>
        <v>5828.18</v>
      </c>
      <c r="H58" s="8">
        <f>Données!U58</f>
        <v>-20652.240000000002</v>
      </c>
      <c r="I58" s="213">
        <f>Données!V58</f>
        <v>0</v>
      </c>
      <c r="J58" s="213">
        <f>Données!W58</f>
        <v>-24.5</v>
      </c>
      <c r="K58" s="8">
        <f>+Données!Q58</f>
        <v>13.91</v>
      </c>
      <c r="L58" s="450">
        <f t="shared" si="1"/>
        <v>955864.46000000008</v>
      </c>
      <c r="M58" s="8">
        <f>+Données!F58</f>
        <v>2780</v>
      </c>
      <c r="N58" s="8">
        <f>+Données!K58</f>
        <v>425</v>
      </c>
      <c r="O58" s="8">
        <f>(Données!L58/Données!Y58)*1</f>
        <v>92939.05</v>
      </c>
      <c r="P58" s="450">
        <f t="shared" si="2"/>
        <v>1052008.51</v>
      </c>
      <c r="Q58" s="238">
        <f>+Données!X58</f>
        <v>76</v>
      </c>
      <c r="R58" s="450">
        <f t="shared" si="3"/>
        <v>13842.217236842105</v>
      </c>
    </row>
    <row r="59" spans="1:18" x14ac:dyDescent="0.25">
      <c r="A59" s="7">
        <f>Données!A59</f>
        <v>5492</v>
      </c>
      <c r="B59" s="27" t="str">
        <f>Données!B59</f>
        <v>Montricher</v>
      </c>
      <c r="C59" s="8">
        <f>Données!C59+Données!D59</f>
        <v>9269140.2199999988</v>
      </c>
      <c r="D59" s="8">
        <f>+Données!G59+Données!H59+Données!S59</f>
        <v>84172.62</v>
      </c>
      <c r="E59" s="8">
        <f>+Données!E59</f>
        <v>0</v>
      </c>
      <c r="F59" s="8">
        <f>+Données!I59</f>
        <v>0</v>
      </c>
      <c r="G59" s="8">
        <f>+Données!J59</f>
        <v>-7366.98</v>
      </c>
      <c r="H59" s="8">
        <f>Données!U59</f>
        <v>-20814.23</v>
      </c>
      <c r="I59" s="213">
        <f>Données!V59</f>
        <v>0</v>
      </c>
      <c r="J59" s="213">
        <f>Données!W59</f>
        <v>-3540.85</v>
      </c>
      <c r="K59" s="8">
        <f>+Données!Q59</f>
        <v>18028.43</v>
      </c>
      <c r="L59" s="450">
        <f t="shared" si="1"/>
        <v>9339619.2099999972</v>
      </c>
      <c r="M59" s="8">
        <f>+Données!F59</f>
        <v>0</v>
      </c>
      <c r="N59" s="8">
        <f>+Données!K59</f>
        <v>4857.45</v>
      </c>
      <c r="O59" s="8">
        <f>(Données!L59/Données!Y59)*1</f>
        <v>249608.50000000003</v>
      </c>
      <c r="P59" s="450">
        <f t="shared" si="2"/>
        <v>9594085.1599999964</v>
      </c>
      <c r="Q59" s="238">
        <f>+Données!X59</f>
        <v>64</v>
      </c>
      <c r="R59" s="450">
        <f t="shared" si="3"/>
        <v>149907.58062499994</v>
      </c>
    </row>
    <row r="60" spans="1:18" x14ac:dyDescent="0.25">
      <c r="A60" s="7">
        <f>Données!A60</f>
        <v>5493</v>
      </c>
      <c r="B60" s="27" t="str">
        <f>Données!B60</f>
        <v>Orny</v>
      </c>
      <c r="C60" s="8">
        <f>Données!C60+Données!D60</f>
        <v>965668.79</v>
      </c>
      <c r="D60" s="8">
        <f>+Données!G60+Données!H60+Données!S60</f>
        <v>10650.41</v>
      </c>
      <c r="E60" s="8">
        <f>+Données!E60</f>
        <v>0</v>
      </c>
      <c r="F60" s="8">
        <f>+Données!I60</f>
        <v>0</v>
      </c>
      <c r="G60" s="8">
        <f>+Données!J60</f>
        <v>17420.61</v>
      </c>
      <c r="H60" s="8">
        <f>Données!U60</f>
        <v>-8679.82</v>
      </c>
      <c r="I60" s="213">
        <f>Données!V60</f>
        <v>0</v>
      </c>
      <c r="J60" s="213">
        <f>Données!W60</f>
        <v>-156.4</v>
      </c>
      <c r="K60" s="8">
        <f>+Données!Q60</f>
        <v>0</v>
      </c>
      <c r="L60" s="450">
        <f t="shared" si="1"/>
        <v>984903.59000000008</v>
      </c>
      <c r="M60" s="8">
        <f>+Données!F60</f>
        <v>0</v>
      </c>
      <c r="N60" s="8">
        <f>+Données!K60</f>
        <v>3534.35</v>
      </c>
      <c r="O60" s="8">
        <f>(Données!L60/Données!Y60)*1</f>
        <v>79977.692307692312</v>
      </c>
      <c r="P60" s="450">
        <f t="shared" si="2"/>
        <v>1068415.6323076924</v>
      </c>
      <c r="Q60" s="238">
        <f>+Données!X60</f>
        <v>73</v>
      </c>
      <c r="R60" s="450">
        <f t="shared" si="3"/>
        <v>14635.830579557431</v>
      </c>
    </row>
    <row r="61" spans="1:18" x14ac:dyDescent="0.25">
      <c r="A61" s="7">
        <f>Données!A61</f>
        <v>5495</v>
      </c>
      <c r="B61" s="27" t="str">
        <f>Données!B61</f>
        <v>Penthalaz</v>
      </c>
      <c r="C61" s="8">
        <f>Données!C61+Données!D61</f>
        <v>6620017.9699999997</v>
      </c>
      <c r="D61" s="8">
        <f>+Données!G61+Données!H61+Données!S61</f>
        <v>274586.49000000005</v>
      </c>
      <c r="E61" s="8">
        <f>+Données!E61</f>
        <v>0</v>
      </c>
      <c r="F61" s="8">
        <f>+Données!I61</f>
        <v>76799.7</v>
      </c>
      <c r="G61" s="8">
        <f>+Données!J61</f>
        <v>211972.27</v>
      </c>
      <c r="H61" s="8">
        <f>Données!U61</f>
        <v>-171049.56</v>
      </c>
      <c r="I61" s="213">
        <f>Données!V61</f>
        <v>0</v>
      </c>
      <c r="J61" s="213">
        <f>Données!W61</f>
        <v>-685.49</v>
      </c>
      <c r="K61" s="8">
        <f>+Données!Q61</f>
        <v>23393.9</v>
      </c>
      <c r="L61" s="450">
        <f t="shared" si="1"/>
        <v>7035035.2800000003</v>
      </c>
      <c r="M61" s="8">
        <f>+Données!F61</f>
        <v>0</v>
      </c>
      <c r="N61" s="8">
        <f>+Données!K61</f>
        <v>77785.600000000006</v>
      </c>
      <c r="O61" s="8">
        <f>(Données!L61/Données!Y61)*1</f>
        <v>513365.45</v>
      </c>
      <c r="P61" s="450">
        <f t="shared" si="2"/>
        <v>7626186.3300000001</v>
      </c>
      <c r="Q61" s="238">
        <f>+Données!X61</f>
        <v>74</v>
      </c>
      <c r="R61" s="450">
        <f t="shared" si="3"/>
        <v>103056.57202702702</v>
      </c>
    </row>
    <row r="62" spans="1:18" x14ac:dyDescent="0.25">
      <c r="A62" s="7">
        <f>Données!A62</f>
        <v>5496</v>
      </c>
      <c r="B62" s="27" t="str">
        <f>Données!B62</f>
        <v>Penthaz</v>
      </c>
      <c r="C62" s="8">
        <f>Données!C62+Données!D62</f>
        <v>3697867.35</v>
      </c>
      <c r="D62" s="8">
        <f>+Données!G62+Données!H62+Données!S62</f>
        <v>173085.34</v>
      </c>
      <c r="E62" s="8">
        <f>+Données!E62</f>
        <v>0</v>
      </c>
      <c r="F62" s="8">
        <f>+Données!I62</f>
        <v>0</v>
      </c>
      <c r="G62" s="8">
        <f>+Données!J62</f>
        <v>89283.92</v>
      </c>
      <c r="H62" s="8">
        <f>Données!U62</f>
        <v>-79946.880000000005</v>
      </c>
      <c r="I62" s="213">
        <f>Données!V62</f>
        <v>0</v>
      </c>
      <c r="J62" s="213">
        <f>Données!W62</f>
        <v>-156.5</v>
      </c>
      <c r="K62" s="8">
        <f>+Données!Q62</f>
        <v>10397.52</v>
      </c>
      <c r="L62" s="450">
        <f t="shared" si="1"/>
        <v>3890530.75</v>
      </c>
      <c r="M62" s="8">
        <f>+Données!F62</f>
        <v>0</v>
      </c>
      <c r="N62" s="8">
        <f>+Données!K62</f>
        <v>25492.5</v>
      </c>
      <c r="O62" s="8">
        <f>(Données!L62/Données!Y62)*1</f>
        <v>368757.3</v>
      </c>
      <c r="P62" s="450">
        <f t="shared" si="2"/>
        <v>4284780.55</v>
      </c>
      <c r="Q62" s="238">
        <f>+Données!X62</f>
        <v>69.5</v>
      </c>
      <c r="R62" s="450">
        <f t="shared" si="3"/>
        <v>61651.518705035967</v>
      </c>
    </row>
    <row r="63" spans="1:18" x14ac:dyDescent="0.25">
      <c r="A63" s="7">
        <f>Données!A63</f>
        <v>5497</v>
      </c>
      <c r="B63" s="27" t="str">
        <f>Données!B63</f>
        <v>Pompaples</v>
      </c>
      <c r="C63" s="8">
        <f>Données!C63+Données!D63</f>
        <v>1298948.26</v>
      </c>
      <c r="D63" s="8">
        <f>+Données!G63+Données!H63+Données!S63</f>
        <v>22776.22</v>
      </c>
      <c r="E63" s="8">
        <f>+Données!E63</f>
        <v>0</v>
      </c>
      <c r="F63" s="8">
        <f>+Données!I63</f>
        <v>0</v>
      </c>
      <c r="G63" s="8">
        <f>+Données!J63</f>
        <v>69090.25</v>
      </c>
      <c r="H63" s="8">
        <f>Données!U63</f>
        <v>-27509.43</v>
      </c>
      <c r="I63" s="213">
        <f>Données!V63</f>
        <v>0</v>
      </c>
      <c r="J63" s="213">
        <f>Données!W63</f>
        <v>-150.80000000000001</v>
      </c>
      <c r="K63" s="8">
        <f>+Données!Q63</f>
        <v>8434.52</v>
      </c>
      <c r="L63" s="450">
        <f t="shared" si="1"/>
        <v>1371589.02</v>
      </c>
      <c r="M63" s="8">
        <f>+Données!F63</f>
        <v>0</v>
      </c>
      <c r="N63" s="8">
        <f>+Données!K63</f>
        <v>4013.6</v>
      </c>
      <c r="O63" s="8">
        <f>(Données!L63/Données!Y63)*1</f>
        <v>139086.20000000001</v>
      </c>
      <c r="P63" s="450">
        <f t="shared" si="2"/>
        <v>1514688.82</v>
      </c>
      <c r="Q63" s="238">
        <f>+Données!X63</f>
        <v>66</v>
      </c>
      <c r="R63" s="450">
        <f t="shared" si="3"/>
        <v>22949.830606060608</v>
      </c>
    </row>
    <row r="64" spans="1:18" x14ac:dyDescent="0.25">
      <c r="A64" s="7">
        <f>Données!A64</f>
        <v>5498</v>
      </c>
      <c r="B64" s="27" t="str">
        <f>Données!B64</f>
        <v>La Sarraz</v>
      </c>
      <c r="C64" s="8">
        <f>Données!C64+Données!D64</f>
        <v>4289797.03</v>
      </c>
      <c r="D64" s="8">
        <f>+Données!G64+Données!H64+Données!S64</f>
        <v>117525.7</v>
      </c>
      <c r="E64" s="8">
        <f>+Données!E64</f>
        <v>0</v>
      </c>
      <c r="F64" s="8">
        <f>+Données!I64</f>
        <v>0</v>
      </c>
      <c r="G64" s="8">
        <f>+Données!J64</f>
        <v>109228.63</v>
      </c>
      <c r="H64" s="8">
        <f>Données!U64</f>
        <v>-110216.03</v>
      </c>
      <c r="I64" s="213">
        <f>Données!V64</f>
        <v>0</v>
      </c>
      <c r="J64" s="213">
        <f>Données!W64</f>
        <v>-112.81</v>
      </c>
      <c r="K64" s="8">
        <f>+Données!Q64</f>
        <v>17261.95</v>
      </c>
      <c r="L64" s="450">
        <f t="shared" si="1"/>
        <v>4423484.4700000007</v>
      </c>
      <c r="M64" s="8">
        <f>+Données!F64</f>
        <v>0</v>
      </c>
      <c r="N64" s="8">
        <f>+Données!K64</f>
        <v>25711.1</v>
      </c>
      <c r="O64" s="8">
        <f>(Données!L64/Données!Y64)*1</f>
        <v>417885.7</v>
      </c>
      <c r="P64" s="450">
        <f t="shared" si="2"/>
        <v>4867081.2700000005</v>
      </c>
      <c r="Q64" s="238">
        <f>+Données!X64</f>
        <v>66</v>
      </c>
      <c r="R64" s="450">
        <f t="shared" si="3"/>
        <v>73743.655606060609</v>
      </c>
    </row>
    <row r="65" spans="1:18" x14ac:dyDescent="0.25">
      <c r="A65" s="7">
        <f>Données!A65</f>
        <v>5499</v>
      </c>
      <c r="B65" s="27" t="str">
        <f>Données!B65</f>
        <v>Senarclens</v>
      </c>
      <c r="C65" s="8">
        <f>Données!C65+Données!D65</f>
        <v>1266074.73</v>
      </c>
      <c r="D65" s="8">
        <f>+Données!G65+Données!H65+Données!S65</f>
        <v>19256.939999999999</v>
      </c>
      <c r="E65" s="8">
        <f>+Données!E65</f>
        <v>0</v>
      </c>
      <c r="F65" s="8">
        <f>+Données!I65</f>
        <v>0</v>
      </c>
      <c r="G65" s="8">
        <f>+Données!J65</f>
        <v>29664.6</v>
      </c>
      <c r="H65" s="8">
        <f>Données!U65</f>
        <v>-14108.24</v>
      </c>
      <c r="I65" s="213">
        <f>Données!V65</f>
        <v>0</v>
      </c>
      <c r="J65" s="213">
        <f>Données!W65</f>
        <v>-683.05</v>
      </c>
      <c r="K65" s="8">
        <f>+Données!Q65</f>
        <v>49.13</v>
      </c>
      <c r="L65" s="450">
        <f t="shared" si="1"/>
        <v>1300254.1099999999</v>
      </c>
      <c r="M65" s="8">
        <f>+Données!F65</f>
        <v>0</v>
      </c>
      <c r="N65" s="8">
        <f>+Données!K65</f>
        <v>0</v>
      </c>
      <c r="O65" s="8">
        <f>(Données!L65/Données!Y65)*1</f>
        <v>103386.45</v>
      </c>
      <c r="P65" s="450">
        <f t="shared" si="2"/>
        <v>1403640.5599999998</v>
      </c>
      <c r="Q65" s="238">
        <f>+Données!X65</f>
        <v>68.5</v>
      </c>
      <c r="R65" s="450">
        <f t="shared" si="3"/>
        <v>20491.103065693427</v>
      </c>
    </row>
    <row r="66" spans="1:18" x14ac:dyDescent="0.25">
      <c r="A66" s="7">
        <f>Données!A66</f>
        <v>5501</v>
      </c>
      <c r="B66" s="27" t="str">
        <f>Données!B66</f>
        <v>Sullens</v>
      </c>
      <c r="C66" s="8">
        <f>Données!C66+Données!D66</f>
        <v>3059734.09</v>
      </c>
      <c r="D66" s="8">
        <f>+Données!G66+Données!H66+Données!S66</f>
        <v>133951.51</v>
      </c>
      <c r="E66" s="8">
        <f>+Données!E66</f>
        <v>0</v>
      </c>
      <c r="F66" s="8">
        <f>+Données!I66</f>
        <v>0</v>
      </c>
      <c r="G66" s="8">
        <f>+Données!J66</f>
        <v>30549.64</v>
      </c>
      <c r="H66" s="8">
        <f>Données!U66</f>
        <v>-30117.39</v>
      </c>
      <c r="I66" s="213">
        <f>Données!V66</f>
        <v>0</v>
      </c>
      <c r="J66" s="213">
        <f>Données!W66</f>
        <v>-1560.15</v>
      </c>
      <c r="K66" s="8">
        <f>+Données!Q66</f>
        <v>722.98</v>
      </c>
      <c r="L66" s="450">
        <f t="shared" si="1"/>
        <v>3193280.6799999997</v>
      </c>
      <c r="M66" s="8">
        <f>+Données!F66</f>
        <v>0</v>
      </c>
      <c r="N66" s="8">
        <f>+Données!K66</f>
        <v>0</v>
      </c>
      <c r="O66" s="8">
        <f>(Données!L66/Données!Y66)*1</f>
        <v>252522.4</v>
      </c>
      <c r="P66" s="450">
        <f t="shared" si="2"/>
        <v>3445803.0799999996</v>
      </c>
      <c r="Q66" s="238">
        <f>+Données!X66</f>
        <v>64</v>
      </c>
      <c r="R66" s="450">
        <f t="shared" si="3"/>
        <v>53840.673124999994</v>
      </c>
    </row>
    <row r="67" spans="1:18" x14ac:dyDescent="0.25">
      <c r="A67" s="7">
        <f>Données!A67</f>
        <v>5503</v>
      </c>
      <c r="B67" s="27" t="str">
        <f>Données!B67</f>
        <v>Vufflens-la-Ville</v>
      </c>
      <c r="C67" s="8">
        <f>Données!C67+Données!D67</f>
        <v>3923148.12</v>
      </c>
      <c r="D67" s="8">
        <f>+Données!G67+Données!H67+Données!S67</f>
        <v>535223.3600000001</v>
      </c>
      <c r="E67" s="8">
        <f>+Données!E67</f>
        <v>0</v>
      </c>
      <c r="F67" s="8">
        <f>+Données!I67</f>
        <v>0</v>
      </c>
      <c r="G67" s="8">
        <f>+Données!J67</f>
        <v>66955.03</v>
      </c>
      <c r="H67" s="8">
        <f>Données!U67</f>
        <v>-36616.33</v>
      </c>
      <c r="I67" s="213">
        <f>Données!V67</f>
        <v>0</v>
      </c>
      <c r="J67" s="213">
        <f>Données!W67</f>
        <v>-481.25</v>
      </c>
      <c r="K67" s="8">
        <f>+Données!Q67</f>
        <v>1904.54</v>
      </c>
      <c r="L67" s="450">
        <f t="shared" si="1"/>
        <v>4490133.4700000007</v>
      </c>
      <c r="M67" s="8">
        <f>+Données!F67</f>
        <v>0</v>
      </c>
      <c r="N67" s="8">
        <f>+Données!K67</f>
        <v>60646.85</v>
      </c>
      <c r="O67" s="8">
        <f>(Données!L67/Données!Y67)*1</f>
        <v>489138.16666666674</v>
      </c>
      <c r="P67" s="450">
        <f t="shared" si="2"/>
        <v>5039918.4866666673</v>
      </c>
      <c r="Q67" s="238">
        <f>+Données!X67</f>
        <v>67</v>
      </c>
      <c r="R67" s="450">
        <f t="shared" si="3"/>
        <v>75222.663980099518</v>
      </c>
    </row>
    <row r="68" spans="1:18" x14ac:dyDescent="0.25">
      <c r="A68" s="7">
        <f>Données!A68</f>
        <v>5511</v>
      </c>
      <c r="B68" s="27" t="str">
        <f>Données!B68</f>
        <v>Assens</v>
      </c>
      <c r="C68" s="8">
        <f>Données!C68+Données!D68</f>
        <v>4077358.44</v>
      </c>
      <c r="D68" s="8">
        <f>+Données!G68+Données!H68+Données!S68</f>
        <v>585377.7300000001</v>
      </c>
      <c r="E68" s="8">
        <f>+Données!E68</f>
        <v>0</v>
      </c>
      <c r="F68" s="8">
        <f>+Données!I68</f>
        <v>0</v>
      </c>
      <c r="G68" s="8">
        <f>+Données!J68</f>
        <v>41847</v>
      </c>
      <c r="H68" s="8">
        <f>Données!U68</f>
        <v>-31403.13</v>
      </c>
      <c r="I68" s="213">
        <f>Données!V68</f>
        <v>0</v>
      </c>
      <c r="J68" s="213">
        <f>Données!W68</f>
        <v>-966.06</v>
      </c>
      <c r="K68" s="8">
        <f>+Données!Q68</f>
        <v>13607.29</v>
      </c>
      <c r="L68" s="450">
        <f t="shared" si="1"/>
        <v>4685821.2700000005</v>
      </c>
      <c r="M68" s="8">
        <f>+Données!F68</f>
        <v>0</v>
      </c>
      <c r="N68" s="8">
        <f>+Données!K68</f>
        <v>22019.8</v>
      </c>
      <c r="O68" s="8">
        <f>(Données!L68/Données!Y68)*1</f>
        <v>390663.45</v>
      </c>
      <c r="P68" s="450">
        <f t="shared" si="2"/>
        <v>5098504.5200000005</v>
      </c>
      <c r="Q68" s="238">
        <f>+Données!X68</f>
        <v>70</v>
      </c>
      <c r="R68" s="450">
        <f t="shared" si="3"/>
        <v>72835.778857142868</v>
      </c>
    </row>
    <row r="69" spans="1:18" x14ac:dyDescent="0.25">
      <c r="A69" s="7">
        <f>Données!A69</f>
        <v>5512</v>
      </c>
      <c r="B69" s="27" t="str">
        <f>Données!B69</f>
        <v>Bercher</v>
      </c>
      <c r="C69" s="8">
        <f>Données!C69+Données!D69</f>
        <v>2841055.04</v>
      </c>
      <c r="D69" s="8">
        <f>+Données!G69+Données!H69+Données!S69</f>
        <v>75724.149999999994</v>
      </c>
      <c r="E69" s="8">
        <f>+Données!E69</f>
        <v>0</v>
      </c>
      <c r="F69" s="8">
        <f>+Données!I69</f>
        <v>0</v>
      </c>
      <c r="G69" s="8">
        <f>+Données!J69</f>
        <v>63273.13</v>
      </c>
      <c r="H69" s="8">
        <f>Données!U69</f>
        <v>-26263.360000000001</v>
      </c>
      <c r="I69" s="213">
        <f>Données!V69</f>
        <v>0</v>
      </c>
      <c r="J69" s="213">
        <f>Données!W69</f>
        <v>-340.15</v>
      </c>
      <c r="K69" s="8">
        <f>+Données!Q69</f>
        <v>20830.82</v>
      </c>
      <c r="L69" s="450">
        <f t="shared" si="1"/>
        <v>2974279.63</v>
      </c>
      <c r="M69" s="8">
        <f>+Données!F69</f>
        <v>0</v>
      </c>
      <c r="N69" s="8">
        <f>+Données!K69</f>
        <v>7327.9</v>
      </c>
      <c r="O69" s="8">
        <f>(Données!L69/Données!Y69)*1</f>
        <v>273092</v>
      </c>
      <c r="P69" s="450">
        <f t="shared" si="2"/>
        <v>3254699.53</v>
      </c>
      <c r="Q69" s="238">
        <f>+Données!X69</f>
        <v>79</v>
      </c>
      <c r="R69" s="450">
        <f t="shared" si="3"/>
        <v>41198.7282278481</v>
      </c>
    </row>
    <row r="70" spans="1:18" x14ac:dyDescent="0.25">
      <c r="A70" s="7">
        <f>Données!A70</f>
        <v>5514</v>
      </c>
      <c r="B70" s="27" t="str">
        <f>Données!B70</f>
        <v>Bottens</v>
      </c>
      <c r="C70" s="8">
        <f>Données!C70+Données!D70</f>
        <v>2972158.01</v>
      </c>
      <c r="D70" s="8">
        <f>+Données!G70+Données!H70+Données!S70</f>
        <v>55406.06</v>
      </c>
      <c r="E70" s="8">
        <f>+Données!E70</f>
        <v>0</v>
      </c>
      <c r="F70" s="8">
        <f>+Données!I70</f>
        <v>39675.800000000003</v>
      </c>
      <c r="G70" s="8">
        <f>+Données!J70</f>
        <v>50641.21</v>
      </c>
      <c r="H70" s="8">
        <f>Données!U70</f>
        <v>-99760.77</v>
      </c>
      <c r="I70" s="213">
        <f>Données!V70</f>
        <v>0</v>
      </c>
      <c r="J70" s="213">
        <f>Données!W70</f>
        <v>-2592.8000000000002</v>
      </c>
      <c r="K70" s="8">
        <f>+Données!Q70</f>
        <v>44751.07</v>
      </c>
      <c r="L70" s="450">
        <f t="shared" si="1"/>
        <v>3060278.5799999996</v>
      </c>
      <c r="M70" s="8">
        <f>+Données!F70</f>
        <v>0</v>
      </c>
      <c r="N70" s="8">
        <f>+Données!K70</f>
        <v>10408</v>
      </c>
      <c r="O70" s="8">
        <f>(Données!L70/Données!Y70)*1</f>
        <v>243450.5</v>
      </c>
      <c r="P70" s="450">
        <f t="shared" si="2"/>
        <v>3314137.0799999996</v>
      </c>
      <c r="Q70" s="238">
        <f>+Données!X70</f>
        <v>72.5</v>
      </c>
      <c r="R70" s="450">
        <f t="shared" si="3"/>
        <v>45712.235586206894</v>
      </c>
    </row>
    <row r="71" spans="1:18" x14ac:dyDescent="0.25">
      <c r="A71" s="7">
        <f>Données!A71</f>
        <v>5515</v>
      </c>
      <c r="B71" s="27" t="str">
        <f>Données!B71</f>
        <v>Bretigny-sur-Morrens</v>
      </c>
      <c r="C71" s="8">
        <f>Données!C71+Données!D71</f>
        <v>2023448.76</v>
      </c>
      <c r="D71" s="8">
        <f>+Données!G71+Données!H71+Données!S71</f>
        <v>47722.02</v>
      </c>
      <c r="E71" s="8">
        <f>+Données!E71</f>
        <v>0</v>
      </c>
      <c r="F71" s="8">
        <f>+Données!I71</f>
        <v>0</v>
      </c>
      <c r="G71" s="8">
        <f>+Données!J71</f>
        <v>48242.97</v>
      </c>
      <c r="H71" s="8">
        <f>Données!U71</f>
        <v>-45438.68</v>
      </c>
      <c r="I71" s="213">
        <f>Données!V71</f>
        <v>0</v>
      </c>
      <c r="J71" s="213">
        <f>Données!W71</f>
        <v>-375.25</v>
      </c>
      <c r="K71" s="8">
        <f>+Données!Q71</f>
        <v>714.06</v>
      </c>
      <c r="L71" s="450">
        <f t="shared" ref="L71:L134" si="4">SUM(C71:K71)</f>
        <v>2074313.8800000001</v>
      </c>
      <c r="M71" s="8">
        <f>+Données!F71</f>
        <v>0</v>
      </c>
      <c r="N71" s="8">
        <f>+Données!K71</f>
        <v>18378.05</v>
      </c>
      <c r="O71" s="8">
        <f>(Données!L71/Données!Y71)*1</f>
        <v>191561.15</v>
      </c>
      <c r="P71" s="450">
        <f t="shared" ref="P71:P134" si="5">SUM(L71:O71)</f>
        <v>2284253.08</v>
      </c>
      <c r="Q71" s="238">
        <f>+Données!X71</f>
        <v>78</v>
      </c>
      <c r="R71" s="450">
        <f t="shared" ref="R71:R134" si="6">P71/Q71</f>
        <v>29285.295897435899</v>
      </c>
    </row>
    <row r="72" spans="1:18" x14ac:dyDescent="0.25">
      <c r="A72" s="7">
        <f>Données!A72</f>
        <v>5516</v>
      </c>
      <c r="B72" s="27" t="str">
        <f>Données!B72</f>
        <v>Cugy</v>
      </c>
      <c r="C72" s="8">
        <f>Données!C72+Données!D72</f>
        <v>7358080.5499999998</v>
      </c>
      <c r="D72" s="8">
        <f>+Données!G72+Données!H72+Données!S72</f>
        <v>385694.46</v>
      </c>
      <c r="E72" s="8">
        <f>+Données!E72</f>
        <v>0</v>
      </c>
      <c r="F72" s="8">
        <f>+Données!I72</f>
        <v>41701.050000000003</v>
      </c>
      <c r="G72" s="8">
        <f>+Données!J72</f>
        <v>92087.85</v>
      </c>
      <c r="H72" s="8">
        <f>Données!U72</f>
        <v>-248047.03</v>
      </c>
      <c r="I72" s="213">
        <f>Données!V72</f>
        <v>0</v>
      </c>
      <c r="J72" s="213">
        <f>Données!W72</f>
        <v>-3141.95</v>
      </c>
      <c r="K72" s="8">
        <f>+Données!Q72</f>
        <v>107200.72</v>
      </c>
      <c r="L72" s="450">
        <f t="shared" si="4"/>
        <v>7733575.6499999985</v>
      </c>
      <c r="M72" s="8">
        <f>+Données!F72</f>
        <v>0</v>
      </c>
      <c r="N72" s="8">
        <f>+Données!K72</f>
        <v>42955.5</v>
      </c>
      <c r="O72" s="8">
        <f>(Données!L72/Données!Y72)*1</f>
        <v>605527.66666666663</v>
      </c>
      <c r="P72" s="450">
        <f t="shared" si="5"/>
        <v>8382058.8166666655</v>
      </c>
      <c r="Q72" s="238">
        <f>+Données!X72</f>
        <v>76</v>
      </c>
      <c r="R72" s="450">
        <f t="shared" si="6"/>
        <v>110290.24758771928</v>
      </c>
    </row>
    <row r="73" spans="1:18" x14ac:dyDescent="0.25">
      <c r="A73" s="7">
        <f>Données!A73</f>
        <v>5518</v>
      </c>
      <c r="B73" s="27" t="str">
        <f>Données!B73</f>
        <v>Echallens</v>
      </c>
      <c r="C73" s="8">
        <f>Données!C73+Données!D73</f>
        <v>11792482.640000001</v>
      </c>
      <c r="D73" s="8">
        <f>+Données!G73+Données!H73+Données!S73</f>
        <v>918571.91</v>
      </c>
      <c r="E73" s="8">
        <f>+Données!E73</f>
        <v>0</v>
      </c>
      <c r="F73" s="8">
        <f>+Données!I73</f>
        <v>0</v>
      </c>
      <c r="G73" s="8">
        <f>+Données!J73</f>
        <v>209139.8</v>
      </c>
      <c r="H73" s="8">
        <f>Données!U73</f>
        <v>-197320.75</v>
      </c>
      <c r="I73" s="213">
        <f>Données!V73</f>
        <v>0</v>
      </c>
      <c r="J73" s="213">
        <f>Données!W73</f>
        <v>-704.84</v>
      </c>
      <c r="K73" s="8">
        <f>+Données!Q73</f>
        <v>75108.47</v>
      </c>
      <c r="L73" s="450">
        <f t="shared" si="4"/>
        <v>12797277.230000002</v>
      </c>
      <c r="M73" s="8">
        <f>+Données!F73</f>
        <v>0</v>
      </c>
      <c r="N73" s="8">
        <f>+Données!K73</f>
        <v>107328.85</v>
      </c>
      <c r="O73" s="8">
        <f>(Données!L73/Données!Y73)*1</f>
        <v>1108359.7</v>
      </c>
      <c r="P73" s="450">
        <f t="shared" si="5"/>
        <v>14012965.780000001</v>
      </c>
      <c r="Q73" s="238">
        <f>+Données!X73</f>
        <v>72.5</v>
      </c>
      <c r="R73" s="450">
        <f t="shared" si="6"/>
        <v>193282.28662068967</v>
      </c>
    </row>
    <row r="74" spans="1:18" x14ac:dyDescent="0.25">
      <c r="A74" s="7">
        <f>Données!A74</f>
        <v>5520</v>
      </c>
      <c r="B74" s="27" t="str">
        <f>Données!B74</f>
        <v>Essertines-sur-Yverdon</v>
      </c>
      <c r="C74" s="8">
        <f>Données!C74+Données!D74</f>
        <v>2082202.1</v>
      </c>
      <c r="D74" s="8">
        <f>+Données!G74+Données!H74+Données!S74</f>
        <v>40018.210000000006</v>
      </c>
      <c r="E74" s="8">
        <f>+Données!E74</f>
        <v>0</v>
      </c>
      <c r="F74" s="8">
        <f>+Données!I74</f>
        <v>0</v>
      </c>
      <c r="G74" s="8">
        <f>+Données!J74</f>
        <v>17394.52</v>
      </c>
      <c r="H74" s="8">
        <f>Données!U74</f>
        <v>-23804.41</v>
      </c>
      <c r="I74" s="213">
        <f>Données!V74</f>
        <v>0</v>
      </c>
      <c r="J74" s="213">
        <f>Données!W74</f>
        <v>-394.06</v>
      </c>
      <c r="K74" s="8">
        <f>+Données!Q74</f>
        <v>4515.1499999999996</v>
      </c>
      <c r="L74" s="450">
        <f t="shared" si="4"/>
        <v>2119931.5099999998</v>
      </c>
      <c r="M74" s="8">
        <f>+Données!F74</f>
        <v>0</v>
      </c>
      <c r="N74" s="8">
        <f>+Données!K74</f>
        <v>5711.65</v>
      </c>
      <c r="O74" s="8">
        <f>(Données!L74/Données!Y74)*1</f>
        <v>199587.5</v>
      </c>
      <c r="P74" s="450">
        <f t="shared" si="5"/>
        <v>2325230.6599999997</v>
      </c>
      <c r="Q74" s="238">
        <f>+Données!X74</f>
        <v>74</v>
      </c>
      <c r="R74" s="450">
        <f t="shared" si="6"/>
        <v>31422.035945945943</v>
      </c>
    </row>
    <row r="75" spans="1:18" x14ac:dyDescent="0.25">
      <c r="A75" s="7">
        <f>Données!A75</f>
        <v>5521</v>
      </c>
      <c r="B75" s="27" t="str">
        <f>Données!B75</f>
        <v>Etagnières</v>
      </c>
      <c r="C75" s="8">
        <f>Données!C75+Données!D75</f>
        <v>2859899.6900000004</v>
      </c>
      <c r="D75" s="8">
        <f>+Données!G75+Données!H75+Données!S75</f>
        <v>251828.39</v>
      </c>
      <c r="E75" s="8">
        <f>+Données!E75</f>
        <v>0</v>
      </c>
      <c r="F75" s="8">
        <f>+Données!I75</f>
        <v>0</v>
      </c>
      <c r="G75" s="8">
        <f>+Données!J75</f>
        <v>75719.17</v>
      </c>
      <c r="H75" s="8">
        <f>Données!U75</f>
        <v>-46449.57</v>
      </c>
      <c r="I75" s="213">
        <f>Données!V75</f>
        <v>0</v>
      </c>
      <c r="J75" s="213">
        <f>Données!W75</f>
        <v>-208.92</v>
      </c>
      <c r="K75" s="8">
        <f>+Données!Q75</f>
        <v>5667.65</v>
      </c>
      <c r="L75" s="450">
        <f t="shared" si="4"/>
        <v>3146456.4100000006</v>
      </c>
      <c r="M75" s="8">
        <f>+Données!F75</f>
        <v>0</v>
      </c>
      <c r="N75" s="8">
        <f>+Données!K75</f>
        <v>23854.75</v>
      </c>
      <c r="O75" s="8">
        <f>(Données!L75/Données!Y75)*1</f>
        <v>274534.45</v>
      </c>
      <c r="P75" s="450">
        <f t="shared" si="5"/>
        <v>3444845.6100000008</v>
      </c>
      <c r="Q75" s="238">
        <f>+Données!X75</f>
        <v>73</v>
      </c>
      <c r="R75" s="450">
        <f t="shared" si="6"/>
        <v>47189.665890410972</v>
      </c>
    </row>
    <row r="76" spans="1:18" x14ac:dyDescent="0.25">
      <c r="A76" s="7">
        <f>Données!A76</f>
        <v>5522</v>
      </c>
      <c r="B76" s="27" t="str">
        <f>Données!B76</f>
        <v>Fey</v>
      </c>
      <c r="C76" s="8">
        <f>Données!C76+Données!D76</f>
        <v>1580860.6600000001</v>
      </c>
      <c r="D76" s="8">
        <f>+Données!G76+Données!H76+Données!S76</f>
        <v>75426.66</v>
      </c>
      <c r="E76" s="8">
        <f>+Données!E76</f>
        <v>0</v>
      </c>
      <c r="F76" s="8">
        <f>+Données!I76</f>
        <v>0</v>
      </c>
      <c r="G76" s="8">
        <f>+Données!J76</f>
        <v>12468.42</v>
      </c>
      <c r="H76" s="8">
        <f>Données!U76</f>
        <v>-14772.78</v>
      </c>
      <c r="I76" s="213">
        <f>Données!V76</f>
        <v>0</v>
      </c>
      <c r="J76" s="213">
        <f>Données!W76</f>
        <v>-26.72</v>
      </c>
      <c r="K76" s="8">
        <f>+Données!Q76</f>
        <v>10907.69</v>
      </c>
      <c r="L76" s="450">
        <f t="shared" si="4"/>
        <v>1664863.93</v>
      </c>
      <c r="M76" s="8">
        <f>+Données!F76</f>
        <v>0</v>
      </c>
      <c r="N76" s="8">
        <f>+Données!K76</f>
        <v>3563</v>
      </c>
      <c r="O76" s="8">
        <f>(Données!L76/Données!Y76)*1</f>
        <v>144507.85</v>
      </c>
      <c r="P76" s="450">
        <f t="shared" si="5"/>
        <v>1812934.78</v>
      </c>
      <c r="Q76" s="238">
        <f>+Données!X76</f>
        <v>75</v>
      </c>
      <c r="R76" s="450">
        <f t="shared" si="6"/>
        <v>24172.463733333334</v>
      </c>
    </row>
    <row r="77" spans="1:18" x14ac:dyDescent="0.25">
      <c r="A77" s="7">
        <f>Données!A77</f>
        <v>5523</v>
      </c>
      <c r="B77" s="27" t="str">
        <f>Données!B77</f>
        <v>Froideville</v>
      </c>
      <c r="C77" s="8">
        <f>Données!C77+Données!D77</f>
        <v>5944612.71</v>
      </c>
      <c r="D77" s="8">
        <f>+Données!G77+Données!H77+Données!S77</f>
        <v>70795.959999999992</v>
      </c>
      <c r="E77" s="8">
        <f>+Données!E77</f>
        <v>0</v>
      </c>
      <c r="F77" s="8">
        <f>+Données!I77</f>
        <v>0</v>
      </c>
      <c r="G77" s="8">
        <f>+Données!J77</f>
        <v>77048.429999999993</v>
      </c>
      <c r="H77" s="8">
        <f>Données!U77</f>
        <v>-38787.370000000003</v>
      </c>
      <c r="I77" s="213">
        <f>Données!V77</f>
        <v>0</v>
      </c>
      <c r="J77" s="213">
        <f>Données!W77</f>
        <v>-1448.75</v>
      </c>
      <c r="K77" s="8">
        <f>+Données!Q77</f>
        <v>3026.14</v>
      </c>
      <c r="L77" s="450">
        <f t="shared" si="4"/>
        <v>6055247.1199999992</v>
      </c>
      <c r="M77" s="8">
        <f>+Données!F77</f>
        <v>15000</v>
      </c>
      <c r="N77" s="8">
        <f>+Données!K77</f>
        <v>39595</v>
      </c>
      <c r="O77" s="8">
        <f>(Données!L77/Données!Y77)*1</f>
        <v>530812</v>
      </c>
      <c r="P77" s="450">
        <f t="shared" si="5"/>
        <v>6640654.1199999992</v>
      </c>
      <c r="Q77" s="238">
        <f>+Données!X77</f>
        <v>72</v>
      </c>
      <c r="R77" s="450">
        <f t="shared" si="6"/>
        <v>92231.307222222211</v>
      </c>
    </row>
    <row r="78" spans="1:18" x14ac:dyDescent="0.25">
      <c r="A78" s="7">
        <f>Données!A78</f>
        <v>5527</v>
      </c>
      <c r="B78" s="27" t="str">
        <f>Données!B78</f>
        <v>Morrens</v>
      </c>
      <c r="C78" s="8">
        <f>Données!C78+Données!D78</f>
        <v>2709767.31</v>
      </c>
      <c r="D78" s="8">
        <f>+Données!G78+Données!H78+Données!S78</f>
        <v>27376.43</v>
      </c>
      <c r="E78" s="8">
        <f>+Données!E78</f>
        <v>0</v>
      </c>
      <c r="F78" s="8">
        <f>+Données!I78</f>
        <v>0</v>
      </c>
      <c r="G78" s="8">
        <f>+Données!J78</f>
        <v>53493.440000000002</v>
      </c>
      <c r="H78" s="8">
        <f>Données!U78</f>
        <v>-34331.26</v>
      </c>
      <c r="I78" s="213">
        <f>Données!V78</f>
        <v>0</v>
      </c>
      <c r="J78" s="213">
        <f>Données!W78</f>
        <v>-5900.05</v>
      </c>
      <c r="K78" s="8">
        <f>+Données!Q78</f>
        <v>7115.65</v>
      </c>
      <c r="L78" s="450">
        <f t="shared" si="4"/>
        <v>2757521.5200000005</v>
      </c>
      <c r="M78" s="8">
        <f>+Données!F78</f>
        <v>0</v>
      </c>
      <c r="N78" s="8">
        <f>+Données!K78</f>
        <v>9648.75</v>
      </c>
      <c r="O78" s="8">
        <f>(Données!L78/Données!Y78)*1</f>
        <v>246295.15</v>
      </c>
      <c r="P78" s="450">
        <f t="shared" si="5"/>
        <v>3013465.4200000004</v>
      </c>
      <c r="Q78" s="238">
        <f>+Données!X78</f>
        <v>74</v>
      </c>
      <c r="R78" s="450">
        <f t="shared" si="6"/>
        <v>40722.505675675682</v>
      </c>
    </row>
    <row r="79" spans="1:18" x14ac:dyDescent="0.25">
      <c r="A79" s="7">
        <f>Données!A79</f>
        <v>5529</v>
      </c>
      <c r="B79" s="27" t="str">
        <f>Données!B79</f>
        <v>Oulens-sous-Echallens</v>
      </c>
      <c r="C79" s="8">
        <f>Données!C79+Données!D79</f>
        <v>1432450.9</v>
      </c>
      <c r="D79" s="8">
        <f>+Données!G79+Données!H79+Données!S79</f>
        <v>30204.85</v>
      </c>
      <c r="E79" s="8">
        <f>+Données!E79</f>
        <v>0</v>
      </c>
      <c r="F79" s="8">
        <f>+Données!I79</f>
        <v>0</v>
      </c>
      <c r="G79" s="8">
        <f>+Données!J79</f>
        <v>11450.56</v>
      </c>
      <c r="H79" s="8">
        <f>Données!U79</f>
        <v>-2805.51</v>
      </c>
      <c r="I79" s="213">
        <f>Données!V79</f>
        <v>0</v>
      </c>
      <c r="J79" s="213">
        <f>Données!W79</f>
        <v>-25.7</v>
      </c>
      <c r="K79" s="8">
        <f>+Données!Q79</f>
        <v>100</v>
      </c>
      <c r="L79" s="450">
        <f t="shared" si="4"/>
        <v>1471375.1</v>
      </c>
      <c r="M79" s="8">
        <f>+Données!F79</f>
        <v>0</v>
      </c>
      <c r="N79" s="8">
        <f>+Données!K79</f>
        <v>3086.05</v>
      </c>
      <c r="O79" s="8">
        <f>(Données!L79/Données!Y79)*1</f>
        <v>135606.79999999999</v>
      </c>
      <c r="P79" s="450">
        <f t="shared" si="5"/>
        <v>1610067.9500000002</v>
      </c>
      <c r="Q79" s="238">
        <f>+Données!X79</f>
        <v>71</v>
      </c>
      <c r="R79" s="450">
        <f t="shared" si="6"/>
        <v>22677.013380281693</v>
      </c>
    </row>
    <row r="80" spans="1:18" x14ac:dyDescent="0.25">
      <c r="A80" s="7">
        <f>Données!A80</f>
        <v>5530</v>
      </c>
      <c r="B80" s="27" t="str">
        <f>Données!B80</f>
        <v>Pailly</v>
      </c>
      <c r="C80" s="8">
        <f>Données!C80+Données!D80</f>
        <v>1377603.21</v>
      </c>
      <c r="D80" s="8">
        <f>+Données!G80+Données!H80+Données!S80</f>
        <v>57307.64</v>
      </c>
      <c r="E80" s="8">
        <f>+Données!E80</f>
        <v>0</v>
      </c>
      <c r="F80" s="8">
        <f>+Données!I80</f>
        <v>0</v>
      </c>
      <c r="G80" s="8">
        <f>+Données!J80</f>
        <v>1792.91</v>
      </c>
      <c r="H80" s="8">
        <f>Données!U80</f>
        <v>-3318.71</v>
      </c>
      <c r="I80" s="213">
        <f>Données!V80</f>
        <v>0</v>
      </c>
      <c r="J80" s="213">
        <f>Données!W80</f>
        <v>0</v>
      </c>
      <c r="K80" s="8">
        <f>+Données!Q80</f>
        <v>0</v>
      </c>
      <c r="L80" s="450">
        <f t="shared" si="4"/>
        <v>1433385.0499999998</v>
      </c>
      <c r="M80" s="8">
        <f>+Données!F80</f>
        <v>0</v>
      </c>
      <c r="N80" s="8">
        <f>+Données!K80</f>
        <v>1252.5</v>
      </c>
      <c r="O80" s="8">
        <f>(Données!L80/Données!Y80)*1</f>
        <v>93887.666666666672</v>
      </c>
      <c r="P80" s="450">
        <f t="shared" si="5"/>
        <v>1528525.2166666666</v>
      </c>
      <c r="Q80" s="238">
        <f>+Données!X80</f>
        <v>76</v>
      </c>
      <c r="R80" s="450">
        <f t="shared" si="6"/>
        <v>20112.17390350877</v>
      </c>
    </row>
    <row r="81" spans="1:18" x14ac:dyDescent="0.25">
      <c r="A81" s="7">
        <f>Données!A81</f>
        <v>5531</v>
      </c>
      <c r="B81" s="27" t="str">
        <f>Données!B81</f>
        <v>Penthéréaz</v>
      </c>
      <c r="C81" s="8">
        <f>Données!C81+Données!D81</f>
        <v>1178782.73</v>
      </c>
      <c r="D81" s="8">
        <f>+Données!G81+Données!H81+Données!S81</f>
        <v>3759.3999999999996</v>
      </c>
      <c r="E81" s="8">
        <f>+Données!E81</f>
        <v>0</v>
      </c>
      <c r="F81" s="8">
        <f>+Données!I81</f>
        <v>0</v>
      </c>
      <c r="G81" s="8">
        <f>+Données!J81</f>
        <v>14886.14</v>
      </c>
      <c r="H81" s="8">
        <f>Données!U81</f>
        <v>-1976.61</v>
      </c>
      <c r="I81" s="213">
        <f>Données!V81</f>
        <v>0</v>
      </c>
      <c r="J81" s="213">
        <f>Données!W81</f>
        <v>-183.65</v>
      </c>
      <c r="K81" s="8">
        <f>+Données!Q81</f>
        <v>0</v>
      </c>
      <c r="L81" s="450">
        <f t="shared" si="4"/>
        <v>1195268.0099999998</v>
      </c>
      <c r="M81" s="8">
        <f>+Données!F81</f>
        <v>0</v>
      </c>
      <c r="N81" s="8">
        <f>+Données!K81</f>
        <v>1425.3</v>
      </c>
      <c r="O81" s="8">
        <f>(Données!L81/Données!Y81)*1</f>
        <v>83455.350000000006</v>
      </c>
      <c r="P81" s="450">
        <f t="shared" si="5"/>
        <v>1280148.6599999999</v>
      </c>
      <c r="Q81" s="238">
        <f>+Données!X81</f>
        <v>74</v>
      </c>
      <c r="R81" s="450">
        <f t="shared" si="6"/>
        <v>17299.306216216217</v>
      </c>
    </row>
    <row r="82" spans="1:18" x14ac:dyDescent="0.25">
      <c r="A82" s="7">
        <f>Données!A82</f>
        <v>5533</v>
      </c>
      <c r="B82" s="27" t="str">
        <f>Données!B82</f>
        <v>Poliez-Pittet</v>
      </c>
      <c r="C82" s="8">
        <f>Données!C82+Données!D82</f>
        <v>1808046.0800000001</v>
      </c>
      <c r="D82" s="8">
        <f>+Données!G82+Données!H82+Données!S82</f>
        <v>88771.34</v>
      </c>
      <c r="E82" s="8">
        <f>+Données!E82</f>
        <v>0</v>
      </c>
      <c r="F82" s="8">
        <f>+Données!I82</f>
        <v>0</v>
      </c>
      <c r="G82" s="8">
        <f>+Données!J82</f>
        <v>24904.59</v>
      </c>
      <c r="H82" s="8">
        <f>Données!U82</f>
        <v>-85085.61</v>
      </c>
      <c r="I82" s="213">
        <f>Données!V82</f>
        <v>0</v>
      </c>
      <c r="J82" s="213">
        <f>Données!W82</f>
        <v>-93.1</v>
      </c>
      <c r="K82" s="8">
        <f>+Données!Q82</f>
        <v>38416.769999999997</v>
      </c>
      <c r="L82" s="450">
        <f t="shared" si="4"/>
        <v>1874960.07</v>
      </c>
      <c r="M82" s="8">
        <f>+Données!F82</f>
        <v>0</v>
      </c>
      <c r="N82" s="8">
        <f>+Données!K82</f>
        <v>9628.25</v>
      </c>
      <c r="O82" s="8">
        <f>(Données!L82/Données!Y82)*1</f>
        <v>160315.5</v>
      </c>
      <c r="P82" s="450">
        <f t="shared" si="5"/>
        <v>2044903.82</v>
      </c>
      <c r="Q82" s="238">
        <f>+Données!X82</f>
        <v>73</v>
      </c>
      <c r="R82" s="450">
        <f t="shared" si="6"/>
        <v>28012.381095890411</v>
      </c>
    </row>
    <row r="83" spans="1:18" x14ac:dyDescent="0.25">
      <c r="A83" s="7">
        <f>Données!A83</f>
        <v>5534</v>
      </c>
      <c r="B83" s="27" t="str">
        <f>Données!B83</f>
        <v>Rueyres</v>
      </c>
      <c r="C83" s="8">
        <f>Données!C83+Données!D83</f>
        <v>763131.87</v>
      </c>
      <c r="D83" s="8">
        <f>+Données!G83+Données!H83+Données!S83</f>
        <v>227160.47999999998</v>
      </c>
      <c r="E83" s="8">
        <f>+Données!E83</f>
        <v>0</v>
      </c>
      <c r="F83" s="8">
        <f>+Données!I83</f>
        <v>0</v>
      </c>
      <c r="G83" s="8">
        <f>+Données!J83</f>
        <v>24204.35</v>
      </c>
      <c r="H83" s="8">
        <f>Données!U83</f>
        <v>820.92</v>
      </c>
      <c r="I83" s="213">
        <f>Données!V83</f>
        <v>0</v>
      </c>
      <c r="J83" s="213">
        <f>Données!W83</f>
        <v>0</v>
      </c>
      <c r="K83" s="8">
        <f>+Données!Q83</f>
        <v>-2384.88</v>
      </c>
      <c r="L83" s="450">
        <f t="shared" si="4"/>
        <v>1012932.74</v>
      </c>
      <c r="M83" s="8">
        <f>+Données!F83</f>
        <v>0</v>
      </c>
      <c r="N83" s="8">
        <f>+Données!K83</f>
        <v>907</v>
      </c>
      <c r="O83" s="8">
        <f>(Données!L83/Données!Y83)*1</f>
        <v>84230.291666666672</v>
      </c>
      <c r="P83" s="450">
        <f t="shared" si="5"/>
        <v>1098070.0316666667</v>
      </c>
      <c r="Q83" s="238">
        <f>+Données!X83</f>
        <v>73</v>
      </c>
      <c r="R83" s="450">
        <f t="shared" si="6"/>
        <v>15042.055228310503</v>
      </c>
    </row>
    <row r="84" spans="1:18" x14ac:dyDescent="0.25">
      <c r="A84" s="7">
        <f>Données!A84</f>
        <v>5535</v>
      </c>
      <c r="B84" s="27" t="str">
        <f>Données!B84</f>
        <v>Saint-Barthélemy</v>
      </c>
      <c r="C84" s="8">
        <f>Données!C84+Données!D84</f>
        <v>1728917.43</v>
      </c>
      <c r="D84" s="8">
        <f>+Données!G84+Données!H84+Données!S84</f>
        <v>27207.5</v>
      </c>
      <c r="E84" s="8">
        <f>+Données!E84</f>
        <v>0</v>
      </c>
      <c r="F84" s="8">
        <f>+Données!I84</f>
        <v>0</v>
      </c>
      <c r="G84" s="8">
        <f>+Données!J84</f>
        <v>7556.39</v>
      </c>
      <c r="H84" s="8">
        <f>Données!U84</f>
        <v>-8955.66</v>
      </c>
      <c r="I84" s="213">
        <f>Données!V84</f>
        <v>0</v>
      </c>
      <c r="J84" s="213">
        <f>Données!W84</f>
        <v>-5.99</v>
      </c>
      <c r="K84" s="8">
        <f>+Données!Q84</f>
        <v>6847.91</v>
      </c>
      <c r="L84" s="450">
        <f t="shared" si="4"/>
        <v>1761567.5799999998</v>
      </c>
      <c r="M84" s="8">
        <f>+Données!F84</f>
        <v>0</v>
      </c>
      <c r="N84" s="8">
        <f>+Données!K84</f>
        <v>1245.8</v>
      </c>
      <c r="O84" s="8">
        <f>(Données!L84/Données!Y84)*1</f>
        <v>148857.4</v>
      </c>
      <c r="P84" s="450">
        <f t="shared" si="5"/>
        <v>1911670.7799999998</v>
      </c>
      <c r="Q84" s="238">
        <f>+Données!X84</f>
        <v>75</v>
      </c>
      <c r="R84" s="450">
        <f t="shared" si="6"/>
        <v>25488.94373333333</v>
      </c>
    </row>
    <row r="85" spans="1:18" x14ac:dyDescent="0.25">
      <c r="A85" s="7">
        <f>Données!A85</f>
        <v>5537</v>
      </c>
      <c r="B85" s="27" t="str">
        <f>Données!B85</f>
        <v>Villars-le-Terroir</v>
      </c>
      <c r="C85" s="8">
        <f>Données!C85+Données!D85</f>
        <v>2666647.39</v>
      </c>
      <c r="D85" s="8">
        <f>+Données!G85+Données!H85+Données!S85</f>
        <v>66820.240000000005</v>
      </c>
      <c r="E85" s="8">
        <f>+Données!E85</f>
        <v>0</v>
      </c>
      <c r="F85" s="8">
        <f>+Données!I85</f>
        <v>0</v>
      </c>
      <c r="G85" s="8">
        <f>+Données!J85</f>
        <v>29419.040000000001</v>
      </c>
      <c r="H85" s="8">
        <f>Données!U85</f>
        <v>-67078.789999999994</v>
      </c>
      <c r="I85" s="213">
        <f>Données!V85</f>
        <v>0</v>
      </c>
      <c r="J85" s="213">
        <f>Données!W85</f>
        <v>-1955.37</v>
      </c>
      <c r="K85" s="8">
        <f>+Données!Q85</f>
        <v>8713.3700000000008</v>
      </c>
      <c r="L85" s="450">
        <f t="shared" si="4"/>
        <v>2702565.8800000004</v>
      </c>
      <c r="M85" s="8">
        <f>+Données!F85</f>
        <v>7530</v>
      </c>
      <c r="N85" s="8">
        <f>+Données!K85</f>
        <v>6680.75</v>
      </c>
      <c r="O85" s="8">
        <f>(Données!L85/Données!Y85)*1</f>
        <v>259696.7</v>
      </c>
      <c r="P85" s="450">
        <f t="shared" si="5"/>
        <v>2976473.3300000005</v>
      </c>
      <c r="Q85" s="238">
        <f>+Données!X85</f>
        <v>76</v>
      </c>
      <c r="R85" s="450">
        <f t="shared" si="6"/>
        <v>39164.122763157902</v>
      </c>
    </row>
    <row r="86" spans="1:18" x14ac:dyDescent="0.25">
      <c r="A86" s="7">
        <f>Données!A86</f>
        <v>5539</v>
      </c>
      <c r="B86" s="27" t="str">
        <f>Données!B86</f>
        <v>Vuarrens</v>
      </c>
      <c r="C86" s="8">
        <f>Données!C86+Données!D86</f>
        <v>2289519.65</v>
      </c>
      <c r="D86" s="8">
        <f>+Données!G86+Données!H86+Données!S86</f>
        <v>14757.070000000002</v>
      </c>
      <c r="E86" s="8">
        <f>+Données!E86</f>
        <v>0</v>
      </c>
      <c r="F86" s="8">
        <f>+Données!I86</f>
        <v>0</v>
      </c>
      <c r="G86" s="8">
        <f>+Données!J86</f>
        <v>35091.480000000003</v>
      </c>
      <c r="H86" s="8">
        <f>Données!U86</f>
        <v>-15484.63</v>
      </c>
      <c r="I86" s="213">
        <f>Données!V86</f>
        <v>0</v>
      </c>
      <c r="J86" s="213">
        <f>Données!W86</f>
        <v>-48.1</v>
      </c>
      <c r="K86" s="8">
        <f>+Données!Q86</f>
        <v>0</v>
      </c>
      <c r="L86" s="450">
        <f t="shared" si="4"/>
        <v>2323835.4699999997</v>
      </c>
      <c r="M86" s="8">
        <f>+Données!F86</f>
        <v>0</v>
      </c>
      <c r="N86" s="8">
        <f>+Données!K86</f>
        <v>6393.7</v>
      </c>
      <c r="O86" s="8">
        <f>(Données!L86/Données!Y86)*1</f>
        <v>201291.5625</v>
      </c>
      <c r="P86" s="450">
        <f t="shared" si="5"/>
        <v>2531520.7324999999</v>
      </c>
      <c r="Q86" s="238">
        <f>+Données!X86</f>
        <v>73.5</v>
      </c>
      <c r="R86" s="450">
        <f t="shared" si="6"/>
        <v>34442.458945578233</v>
      </c>
    </row>
    <row r="87" spans="1:18" x14ac:dyDescent="0.25">
      <c r="A87" s="7">
        <f>Données!A87</f>
        <v>5540</v>
      </c>
      <c r="B87" s="27" t="str">
        <f>Données!B87</f>
        <v>Montilliez</v>
      </c>
      <c r="C87" s="8">
        <f>Données!C87+Données!D87</f>
        <v>4337331.07</v>
      </c>
      <c r="D87" s="8">
        <f>+Données!G87+Données!H87+Données!S87</f>
        <v>175308.66</v>
      </c>
      <c r="E87" s="8">
        <f>+Données!E87</f>
        <v>0</v>
      </c>
      <c r="F87" s="8">
        <f>+Données!I87</f>
        <v>0</v>
      </c>
      <c r="G87" s="8">
        <f>+Données!J87</f>
        <v>33186.449999999997</v>
      </c>
      <c r="H87" s="8">
        <f>Données!U87</f>
        <v>-38954.339999999997</v>
      </c>
      <c r="I87" s="213">
        <f>Données!V87</f>
        <v>0</v>
      </c>
      <c r="J87" s="213">
        <f>Données!W87</f>
        <v>-63.83</v>
      </c>
      <c r="K87" s="8">
        <f>+Données!Q87</f>
        <v>12910.21</v>
      </c>
      <c r="L87" s="450">
        <f t="shared" si="4"/>
        <v>4519718.2200000007</v>
      </c>
      <c r="M87" s="8">
        <f>+Données!F87</f>
        <v>0</v>
      </c>
      <c r="N87" s="8">
        <f>+Données!K87</f>
        <v>13100.5</v>
      </c>
      <c r="O87" s="8">
        <f>(Données!L87/Données!Y87)*1</f>
        <v>358355.1875</v>
      </c>
      <c r="P87" s="450">
        <f t="shared" si="5"/>
        <v>4891173.9075000007</v>
      </c>
      <c r="Q87" s="238">
        <f>+Données!X87</f>
        <v>72.5</v>
      </c>
      <c r="R87" s="450">
        <f t="shared" si="6"/>
        <v>67464.467689655183</v>
      </c>
    </row>
    <row r="88" spans="1:18" x14ac:dyDescent="0.25">
      <c r="A88" s="7">
        <f>Données!A88</f>
        <v>5541</v>
      </c>
      <c r="B88" s="27" t="str">
        <f>Données!B88</f>
        <v>Goumoëns</v>
      </c>
      <c r="C88" s="8">
        <f>Données!C88+Données!D88</f>
        <v>2863609.83</v>
      </c>
      <c r="D88" s="8">
        <f>+Données!G88+Données!H88+Données!S88</f>
        <v>35915.910000000003</v>
      </c>
      <c r="E88" s="8">
        <f>+Données!E88</f>
        <v>0</v>
      </c>
      <c r="F88" s="8">
        <f>+Données!I88</f>
        <v>0</v>
      </c>
      <c r="G88" s="8">
        <f>+Données!J88</f>
        <v>28662</v>
      </c>
      <c r="H88" s="8">
        <f>Données!U88</f>
        <v>-10617.18</v>
      </c>
      <c r="I88" s="213">
        <f>Données!V88</f>
        <v>-1966</v>
      </c>
      <c r="J88" s="213">
        <f>Données!W88</f>
        <v>-183.2</v>
      </c>
      <c r="K88" s="8">
        <f>+Données!Q88</f>
        <v>5175.74</v>
      </c>
      <c r="L88" s="450">
        <f t="shared" si="4"/>
        <v>2920597.1</v>
      </c>
      <c r="M88" s="8">
        <f>+Données!F88</f>
        <v>0</v>
      </c>
      <c r="N88" s="8">
        <f>+Données!K88</f>
        <v>2455</v>
      </c>
      <c r="O88" s="8">
        <f>(Données!L88/Données!Y88)*1</f>
        <v>227276.85</v>
      </c>
      <c r="P88" s="450">
        <f t="shared" si="5"/>
        <v>3150328.95</v>
      </c>
      <c r="Q88" s="238">
        <f>+Données!X88</f>
        <v>75.5</v>
      </c>
      <c r="R88" s="450">
        <f t="shared" si="6"/>
        <v>41726.211258278148</v>
      </c>
    </row>
    <row r="89" spans="1:18" x14ac:dyDescent="0.25">
      <c r="A89" s="7">
        <f>Données!A89</f>
        <v>5551</v>
      </c>
      <c r="B89" s="27" t="str">
        <f>Données!B89</f>
        <v>Bonvillars</v>
      </c>
      <c r="C89" s="8">
        <f>Données!C89+Données!D89</f>
        <v>865379.05999999994</v>
      </c>
      <c r="D89" s="8">
        <f>+Données!G89+Données!H89+Données!S89</f>
        <v>43165.549999999996</v>
      </c>
      <c r="E89" s="8">
        <f>+Données!E89</f>
        <v>0</v>
      </c>
      <c r="F89" s="8">
        <f>+Données!I89</f>
        <v>0</v>
      </c>
      <c r="G89" s="8">
        <f>+Données!J89</f>
        <v>2503.13</v>
      </c>
      <c r="H89" s="8">
        <f>Données!U89</f>
        <v>-335.25</v>
      </c>
      <c r="I89" s="213">
        <f>Données!V89</f>
        <v>0</v>
      </c>
      <c r="J89" s="213">
        <f>Données!W89</f>
        <v>-198.3</v>
      </c>
      <c r="K89" s="8">
        <f>+Données!Q89</f>
        <v>0</v>
      </c>
      <c r="L89" s="450">
        <f t="shared" si="4"/>
        <v>910514.19</v>
      </c>
      <c r="M89" s="8">
        <f>+Données!F89</f>
        <v>0</v>
      </c>
      <c r="N89" s="8">
        <f>+Données!K89</f>
        <v>12146.7</v>
      </c>
      <c r="O89" s="8">
        <f>(Données!L89/Données!Y89)*1</f>
        <v>117540.4</v>
      </c>
      <c r="P89" s="450">
        <f t="shared" si="5"/>
        <v>1040201.2899999999</v>
      </c>
      <c r="Q89" s="238">
        <f>+Données!X89</f>
        <v>56</v>
      </c>
      <c r="R89" s="450">
        <f t="shared" si="6"/>
        <v>18575.023035714283</v>
      </c>
    </row>
    <row r="90" spans="1:18" x14ac:dyDescent="0.25">
      <c r="A90" s="7">
        <f>Données!A90</f>
        <v>5552</v>
      </c>
      <c r="B90" s="27" t="str">
        <f>Données!B90</f>
        <v>Bullet</v>
      </c>
      <c r="C90" s="8">
        <f>Données!C90+Données!D90</f>
        <v>1170529.3999999999</v>
      </c>
      <c r="D90" s="8">
        <f>+Données!G90+Données!H90+Données!S90</f>
        <v>43341.440000000002</v>
      </c>
      <c r="E90" s="8">
        <f>+Données!E90</f>
        <v>0</v>
      </c>
      <c r="F90" s="8">
        <f>+Données!I90</f>
        <v>0</v>
      </c>
      <c r="G90" s="8">
        <f>+Données!J90</f>
        <v>14739.84</v>
      </c>
      <c r="H90" s="8">
        <f>Données!U90</f>
        <v>-15021.28</v>
      </c>
      <c r="I90" s="213">
        <f>Données!V90</f>
        <v>0</v>
      </c>
      <c r="J90" s="213">
        <f>Données!W90</f>
        <v>-2.29</v>
      </c>
      <c r="K90" s="8">
        <f>+Données!Q90</f>
        <v>9961.92</v>
      </c>
      <c r="L90" s="450">
        <f t="shared" si="4"/>
        <v>1223549.0299999998</v>
      </c>
      <c r="M90" s="8">
        <f>+Données!F90</f>
        <v>0</v>
      </c>
      <c r="N90" s="8">
        <f>+Données!K90</f>
        <v>3777.6</v>
      </c>
      <c r="O90" s="8">
        <f>(Données!L90/Données!Y90)*1</f>
        <v>133958.45000000001</v>
      </c>
      <c r="P90" s="450">
        <f t="shared" si="5"/>
        <v>1361285.0799999998</v>
      </c>
      <c r="Q90" s="238">
        <f>+Données!X90</f>
        <v>71.5</v>
      </c>
      <c r="R90" s="450">
        <f t="shared" si="6"/>
        <v>19038.952167832165</v>
      </c>
    </row>
    <row r="91" spans="1:18" x14ac:dyDescent="0.25">
      <c r="A91" s="7">
        <f>Données!A91</f>
        <v>5553</v>
      </c>
      <c r="B91" s="27" t="str">
        <f>Données!B91</f>
        <v>Champagne</v>
      </c>
      <c r="C91" s="8">
        <f>Données!C91+Données!D91</f>
        <v>1963151.0799999998</v>
      </c>
      <c r="D91" s="8">
        <f>+Données!G91+Données!H91+Données!S91</f>
        <v>225800.66999999998</v>
      </c>
      <c r="E91" s="8">
        <f>+Données!E91</f>
        <v>0</v>
      </c>
      <c r="F91" s="8">
        <f>+Données!I91</f>
        <v>0</v>
      </c>
      <c r="G91" s="8">
        <f>+Données!J91</f>
        <v>66654.95</v>
      </c>
      <c r="H91" s="8">
        <f>Données!U91</f>
        <v>-26753.1</v>
      </c>
      <c r="I91" s="213">
        <f>Données!V91</f>
        <v>0</v>
      </c>
      <c r="J91" s="213">
        <f>Données!W91</f>
        <v>-1972.26</v>
      </c>
      <c r="K91" s="8">
        <f>+Données!Q91</f>
        <v>253.76</v>
      </c>
      <c r="L91" s="450">
        <f t="shared" si="4"/>
        <v>2227135.1</v>
      </c>
      <c r="M91" s="8">
        <f>+Données!F91</f>
        <v>0</v>
      </c>
      <c r="N91" s="8">
        <f>+Données!K91</f>
        <v>26028.55</v>
      </c>
      <c r="O91" s="8">
        <f>(Données!L91/Données!Y91)*1</f>
        <v>233983.15</v>
      </c>
      <c r="P91" s="450">
        <f t="shared" si="5"/>
        <v>2487146.7999999998</v>
      </c>
      <c r="Q91" s="238">
        <f>+Données!X91</f>
        <v>65</v>
      </c>
      <c r="R91" s="450">
        <f t="shared" si="6"/>
        <v>38263.796923076923</v>
      </c>
    </row>
    <row r="92" spans="1:18" x14ac:dyDescent="0.25">
      <c r="A92" s="7">
        <f>Données!A92</f>
        <v>5554</v>
      </c>
      <c r="B92" s="27" t="str">
        <f>Données!B92</f>
        <v>Concise</v>
      </c>
      <c r="C92" s="8">
        <f>Données!C92+Données!D92</f>
        <v>2336820.21</v>
      </c>
      <c r="D92" s="8">
        <f>+Données!G92+Données!H92+Données!S92</f>
        <v>24214.950000000004</v>
      </c>
      <c r="E92" s="8">
        <f>+Données!E92</f>
        <v>0</v>
      </c>
      <c r="F92" s="8">
        <f>+Données!I92</f>
        <v>0</v>
      </c>
      <c r="G92" s="8">
        <f>+Données!J92</f>
        <v>5118.55</v>
      </c>
      <c r="H92" s="8">
        <f>Données!U92</f>
        <v>-18521.689999999999</v>
      </c>
      <c r="I92" s="213">
        <f>Données!V92</f>
        <v>0</v>
      </c>
      <c r="J92" s="213">
        <f>Données!W92</f>
        <v>-584.26</v>
      </c>
      <c r="K92" s="8">
        <f>+Données!Q92</f>
        <v>1324.54</v>
      </c>
      <c r="L92" s="450">
        <f t="shared" si="4"/>
        <v>2348372.3000000003</v>
      </c>
      <c r="M92" s="8">
        <f>+Données!F92</f>
        <v>0</v>
      </c>
      <c r="N92" s="8">
        <f>+Données!K92</f>
        <v>3396.8</v>
      </c>
      <c r="O92" s="8">
        <f>(Données!L92/Données!Y92)*1</f>
        <v>191268.35</v>
      </c>
      <c r="P92" s="450">
        <f t="shared" si="5"/>
        <v>2543037.4500000002</v>
      </c>
      <c r="Q92" s="238">
        <f>+Données!X92</f>
        <v>75</v>
      </c>
      <c r="R92" s="450">
        <f t="shared" si="6"/>
        <v>33907.166000000005</v>
      </c>
    </row>
    <row r="93" spans="1:18" x14ac:dyDescent="0.25">
      <c r="A93" s="7">
        <f>Données!A93</f>
        <v>5555</v>
      </c>
      <c r="B93" s="27" t="str">
        <f>Données!B93</f>
        <v>Corcelles-près-Concise</v>
      </c>
      <c r="C93" s="8">
        <f>Données!C93+Données!D93</f>
        <v>811390.99</v>
      </c>
      <c r="D93" s="8">
        <f>+Données!G93+Données!H93+Données!S93</f>
        <v>5903.3</v>
      </c>
      <c r="E93" s="8">
        <f>+Données!E93</f>
        <v>0</v>
      </c>
      <c r="F93" s="8">
        <f>+Données!I93</f>
        <v>0</v>
      </c>
      <c r="G93" s="8">
        <f>+Données!J93</f>
        <v>15443.52</v>
      </c>
      <c r="H93" s="8">
        <f>Données!U93</f>
        <v>-24656.83</v>
      </c>
      <c r="I93" s="213">
        <f>Données!V93</f>
        <v>0</v>
      </c>
      <c r="J93" s="213">
        <f>Données!W93</f>
        <v>0</v>
      </c>
      <c r="K93" s="8">
        <f>+Données!Q93</f>
        <v>17407.080000000002</v>
      </c>
      <c r="L93" s="450">
        <f t="shared" si="4"/>
        <v>825488.06</v>
      </c>
      <c r="M93" s="8">
        <f>+Données!F93</f>
        <v>0</v>
      </c>
      <c r="N93" s="8">
        <f>+Données!K93</f>
        <v>2228.6999999999998</v>
      </c>
      <c r="O93" s="8">
        <f>(Données!L93/Données!Y93)*1</f>
        <v>98622.15</v>
      </c>
      <c r="P93" s="450">
        <f t="shared" si="5"/>
        <v>926338.91</v>
      </c>
      <c r="Q93" s="238">
        <f>+Données!X93</f>
        <v>69</v>
      </c>
      <c r="R93" s="450">
        <f t="shared" si="6"/>
        <v>13425.201594202899</v>
      </c>
    </row>
    <row r="94" spans="1:18" x14ac:dyDescent="0.25">
      <c r="A94" s="7">
        <f>Données!A94</f>
        <v>5556</v>
      </c>
      <c r="B94" s="27" t="str">
        <f>Données!B94</f>
        <v>Fiez</v>
      </c>
      <c r="C94" s="8">
        <f>Données!C94+Données!D94</f>
        <v>829343.67</v>
      </c>
      <c r="D94" s="8">
        <f>+Données!G94+Données!H94+Données!S94</f>
        <v>5510.21</v>
      </c>
      <c r="E94" s="8">
        <f>+Données!E94</f>
        <v>0</v>
      </c>
      <c r="F94" s="8">
        <f>+Données!I94</f>
        <v>0</v>
      </c>
      <c r="G94" s="8">
        <f>+Données!J94</f>
        <v>6416.69</v>
      </c>
      <c r="H94" s="8">
        <f>Données!U94</f>
        <v>-1560.67</v>
      </c>
      <c r="I94" s="213">
        <f>Données!V94</f>
        <v>0</v>
      </c>
      <c r="J94" s="213">
        <f>Données!W94</f>
        <v>0</v>
      </c>
      <c r="K94" s="8">
        <f>+Données!Q94</f>
        <v>0</v>
      </c>
      <c r="L94" s="450">
        <f t="shared" si="4"/>
        <v>839709.89999999991</v>
      </c>
      <c r="M94" s="8">
        <f>+Données!F94</f>
        <v>2510</v>
      </c>
      <c r="N94" s="8">
        <f>+Données!K94</f>
        <v>1271.6500000000001</v>
      </c>
      <c r="O94" s="8">
        <f>(Données!L94/Données!Y94)*1</f>
        <v>74501.133333333331</v>
      </c>
      <c r="P94" s="450">
        <f t="shared" si="5"/>
        <v>917992.68333333323</v>
      </c>
      <c r="Q94" s="238">
        <f>+Données!X94</f>
        <v>69</v>
      </c>
      <c r="R94" s="450">
        <f t="shared" si="6"/>
        <v>13304.241787439612</v>
      </c>
    </row>
    <row r="95" spans="1:18" x14ac:dyDescent="0.25">
      <c r="A95" s="7">
        <f>Données!A95</f>
        <v>5557</v>
      </c>
      <c r="B95" s="27" t="str">
        <f>Données!B95</f>
        <v>Fontaines-sur-Grandson</v>
      </c>
      <c r="C95" s="8">
        <f>Données!C95+Données!D95</f>
        <v>306226.88</v>
      </c>
      <c r="D95" s="8">
        <f>+Données!G95+Données!H95+Données!S95</f>
        <v>6014.58</v>
      </c>
      <c r="E95" s="8">
        <f>+Données!E95</f>
        <v>0</v>
      </c>
      <c r="F95" s="8">
        <f>+Données!I95</f>
        <v>0</v>
      </c>
      <c r="G95" s="8">
        <f>+Données!J95</f>
        <v>1290.47</v>
      </c>
      <c r="H95" s="8">
        <f>Données!U95</f>
        <v>-728.09</v>
      </c>
      <c r="I95" s="213">
        <f>Données!V95</f>
        <v>0</v>
      </c>
      <c r="J95" s="213">
        <f>Données!W95</f>
        <v>0</v>
      </c>
      <c r="K95" s="8">
        <f>+Données!Q95</f>
        <v>0</v>
      </c>
      <c r="L95" s="450">
        <f t="shared" si="4"/>
        <v>312803.83999999997</v>
      </c>
      <c r="M95" s="8">
        <f>+Données!F95</f>
        <v>1060</v>
      </c>
      <c r="N95" s="8">
        <f>+Données!K95</f>
        <v>993.45</v>
      </c>
      <c r="O95" s="8">
        <f>(Données!L95/Données!Y95)*1</f>
        <v>36956.699999999997</v>
      </c>
      <c r="P95" s="450">
        <f t="shared" si="5"/>
        <v>351813.99</v>
      </c>
      <c r="Q95" s="238">
        <f>+Données!X95</f>
        <v>69</v>
      </c>
      <c r="R95" s="450">
        <f t="shared" si="6"/>
        <v>5098.7534782608691</v>
      </c>
    </row>
    <row r="96" spans="1:18" x14ac:dyDescent="0.25">
      <c r="A96" s="7">
        <f>Données!A96</f>
        <v>5559</v>
      </c>
      <c r="B96" s="27" t="str">
        <f>Données!B96</f>
        <v>Giez</v>
      </c>
      <c r="C96" s="8">
        <f>Données!C96+Données!D96</f>
        <v>1196084.3700000001</v>
      </c>
      <c r="D96" s="8">
        <f>+Données!G96+Données!H96+Données!S96</f>
        <v>121159.67999999999</v>
      </c>
      <c r="E96" s="8">
        <f>+Données!E96</f>
        <v>0</v>
      </c>
      <c r="F96" s="8">
        <f>+Données!I96</f>
        <v>0</v>
      </c>
      <c r="G96" s="8">
        <f>+Données!J96</f>
        <v>1236.3800000000001</v>
      </c>
      <c r="H96" s="8">
        <f>Données!U96</f>
        <v>-25975.56</v>
      </c>
      <c r="I96" s="213">
        <f>Données!V96</f>
        <v>0</v>
      </c>
      <c r="J96" s="213">
        <f>Données!W96</f>
        <v>-1066.95</v>
      </c>
      <c r="K96" s="8">
        <f>+Données!Q96</f>
        <v>0</v>
      </c>
      <c r="L96" s="450">
        <f t="shared" si="4"/>
        <v>1291437.92</v>
      </c>
      <c r="M96" s="8">
        <f>+Données!F96</f>
        <v>0</v>
      </c>
      <c r="N96" s="8">
        <f>+Données!K96</f>
        <v>3482</v>
      </c>
      <c r="O96" s="8">
        <f>(Données!L96/Données!Y96)*1</f>
        <v>91808.1</v>
      </c>
      <c r="P96" s="450">
        <f t="shared" si="5"/>
        <v>1386728.02</v>
      </c>
      <c r="Q96" s="238">
        <f>+Données!X96</f>
        <v>66</v>
      </c>
      <c r="R96" s="450">
        <f t="shared" si="6"/>
        <v>21011.030606060605</v>
      </c>
    </row>
    <row r="97" spans="1:18" x14ac:dyDescent="0.25">
      <c r="A97" s="7">
        <f>Données!A97</f>
        <v>5560</v>
      </c>
      <c r="B97" s="27" t="str">
        <f>Données!B97</f>
        <v>Grandevent</v>
      </c>
      <c r="C97" s="8">
        <f>Données!C97+Données!D97</f>
        <v>573017.54</v>
      </c>
      <c r="D97" s="8">
        <f>+Données!G97+Données!H97+Données!S97</f>
        <v>3819.16</v>
      </c>
      <c r="E97" s="8">
        <f>+Données!E97</f>
        <v>0</v>
      </c>
      <c r="F97" s="8">
        <f>+Données!I97</f>
        <v>0</v>
      </c>
      <c r="G97" s="8">
        <f>+Données!J97</f>
        <v>15847.25</v>
      </c>
      <c r="H97" s="8">
        <f>Données!U97</f>
        <v>-636.38</v>
      </c>
      <c r="I97" s="213">
        <f>Données!V97</f>
        <v>0</v>
      </c>
      <c r="J97" s="213">
        <f>Données!W97</f>
        <v>0</v>
      </c>
      <c r="K97" s="8">
        <f>+Données!Q97</f>
        <v>1592.27</v>
      </c>
      <c r="L97" s="450">
        <f t="shared" si="4"/>
        <v>593639.84000000008</v>
      </c>
      <c r="M97" s="8">
        <f>+Données!F97</f>
        <v>0</v>
      </c>
      <c r="N97" s="8">
        <f>+Données!K97</f>
        <v>848</v>
      </c>
      <c r="O97" s="8">
        <f>(Données!L97/Données!Y97)*1</f>
        <v>44238.45</v>
      </c>
      <c r="P97" s="450">
        <f t="shared" si="5"/>
        <v>638726.29</v>
      </c>
      <c r="Q97" s="238">
        <f>+Données!X97</f>
        <v>71</v>
      </c>
      <c r="R97" s="450">
        <f t="shared" si="6"/>
        <v>8996.1449295774655</v>
      </c>
    </row>
    <row r="98" spans="1:18" x14ac:dyDescent="0.25">
      <c r="A98" s="7">
        <f>Données!A98</f>
        <v>5561</v>
      </c>
      <c r="B98" s="27" t="str">
        <f>Données!B98</f>
        <v>Grandson</v>
      </c>
      <c r="C98" s="8">
        <f>Données!C98+Données!D98</f>
        <v>8172837.4399999995</v>
      </c>
      <c r="D98" s="8">
        <f>+Données!G98+Données!H98+Données!S98</f>
        <v>257128.30000000002</v>
      </c>
      <c r="E98" s="8">
        <f>+Données!E98</f>
        <v>0</v>
      </c>
      <c r="F98" s="8">
        <f>+Données!I98</f>
        <v>0</v>
      </c>
      <c r="G98" s="8">
        <f>+Données!J98</f>
        <v>117291.84</v>
      </c>
      <c r="H98" s="8">
        <f>Données!U98</f>
        <v>-139695.73000000001</v>
      </c>
      <c r="I98" s="213">
        <f>Données!V98</f>
        <v>0</v>
      </c>
      <c r="J98" s="213">
        <f>Données!W98</f>
        <v>-794.64</v>
      </c>
      <c r="K98" s="8">
        <f>+Données!Q98</f>
        <v>22316.87</v>
      </c>
      <c r="L98" s="450">
        <f t="shared" si="4"/>
        <v>8429084.0799999982</v>
      </c>
      <c r="M98" s="8">
        <f>+Données!F98</f>
        <v>0</v>
      </c>
      <c r="N98" s="8">
        <f>+Données!K98</f>
        <v>51810.55</v>
      </c>
      <c r="O98" s="8">
        <f>(Données!L98/Données!Y98)*1</f>
        <v>653055.30000000005</v>
      </c>
      <c r="P98" s="450">
        <f t="shared" si="5"/>
        <v>9133949.9299999997</v>
      </c>
      <c r="Q98" s="238">
        <f>+Données!X98</f>
        <v>69</v>
      </c>
      <c r="R98" s="450">
        <f t="shared" si="6"/>
        <v>132376.08594202899</v>
      </c>
    </row>
    <row r="99" spans="1:18" x14ac:dyDescent="0.25">
      <c r="A99" s="7">
        <f>Données!A99</f>
        <v>5562</v>
      </c>
      <c r="B99" s="27" t="str">
        <f>Données!B99</f>
        <v>Mauborget</v>
      </c>
      <c r="C99" s="8">
        <f>Données!C99+Données!D99</f>
        <v>278690.65000000002</v>
      </c>
      <c r="D99" s="8">
        <f>+Données!G99+Données!H99+Données!S99</f>
        <v>3357.42</v>
      </c>
      <c r="E99" s="8">
        <f>+Données!E99</f>
        <v>0</v>
      </c>
      <c r="F99" s="8">
        <f>+Données!I99</f>
        <v>0</v>
      </c>
      <c r="G99" s="8">
        <f>+Données!J99</f>
        <v>12079.41</v>
      </c>
      <c r="H99" s="8">
        <f>Données!U99</f>
        <v>-7794</v>
      </c>
      <c r="I99" s="213">
        <f>Données!V99</f>
        <v>0</v>
      </c>
      <c r="J99" s="213">
        <f>Données!W99</f>
        <v>-1.45</v>
      </c>
      <c r="K99" s="8">
        <f>+Données!Q99</f>
        <v>3907.3</v>
      </c>
      <c r="L99" s="450">
        <f t="shared" si="4"/>
        <v>290239.32999999996</v>
      </c>
      <c r="M99" s="8">
        <f>+Données!F99</f>
        <v>890</v>
      </c>
      <c r="N99" s="8">
        <f>+Données!K99</f>
        <v>-4515.5</v>
      </c>
      <c r="O99" s="8">
        <f>(Données!L99/Données!Y99)*1</f>
        <v>32575.708333333332</v>
      </c>
      <c r="P99" s="450">
        <f t="shared" si="5"/>
        <v>319189.53833333327</v>
      </c>
      <c r="Q99" s="238">
        <f>+Données!X99</f>
        <v>70</v>
      </c>
      <c r="R99" s="450">
        <f t="shared" si="6"/>
        <v>4559.8505476190467</v>
      </c>
    </row>
    <row r="100" spans="1:18" x14ac:dyDescent="0.25">
      <c r="A100" s="7">
        <f>Données!A100</f>
        <v>5563</v>
      </c>
      <c r="B100" s="27" t="str">
        <f>Données!B100</f>
        <v>Mutrux</v>
      </c>
      <c r="C100" s="8">
        <f>Données!C100+Données!D100</f>
        <v>158685.91999999998</v>
      </c>
      <c r="D100" s="8">
        <f>+Données!G100+Données!H100+Données!S100</f>
        <v>655.62999999999988</v>
      </c>
      <c r="E100" s="8">
        <f>+Données!E100</f>
        <v>0</v>
      </c>
      <c r="F100" s="8">
        <f>+Données!I100</f>
        <v>0</v>
      </c>
      <c r="G100" s="8">
        <f>+Données!J100</f>
        <v>4436.9799999999996</v>
      </c>
      <c r="H100" s="8">
        <f>Données!U100</f>
        <v>-3632.59</v>
      </c>
      <c r="I100" s="213">
        <f>Données!V100</f>
        <v>0</v>
      </c>
      <c r="J100" s="213">
        <f>Données!W100</f>
        <v>-45.35</v>
      </c>
      <c r="K100" s="8">
        <f>+Données!Q100</f>
        <v>0</v>
      </c>
      <c r="L100" s="450">
        <f t="shared" si="4"/>
        <v>160100.59</v>
      </c>
      <c r="M100" s="8">
        <f>+Données!F100</f>
        <v>546</v>
      </c>
      <c r="N100" s="8">
        <f>+Données!K100</f>
        <v>0</v>
      </c>
      <c r="O100" s="8">
        <f>(Données!L100/Données!Y100)*1</f>
        <v>21938.55</v>
      </c>
      <c r="P100" s="450">
        <f t="shared" si="5"/>
        <v>182585.13999999998</v>
      </c>
      <c r="Q100" s="238">
        <f>+Données!X100</f>
        <v>80</v>
      </c>
      <c r="R100" s="450">
        <f t="shared" si="6"/>
        <v>2282.3142499999999</v>
      </c>
    </row>
    <row r="101" spans="1:18" x14ac:dyDescent="0.25">
      <c r="A101" s="7">
        <f>Données!A101</f>
        <v>5564</v>
      </c>
      <c r="B101" s="27" t="str">
        <f>Données!B101</f>
        <v>Novalles</v>
      </c>
      <c r="C101" s="8">
        <f>Données!C101+Données!D101</f>
        <v>185284.68000000002</v>
      </c>
      <c r="D101" s="8">
        <f>+Données!G101+Données!H101+Données!S101</f>
        <v>44.120000000000005</v>
      </c>
      <c r="E101" s="8">
        <f>+Données!E101</f>
        <v>0</v>
      </c>
      <c r="F101" s="8">
        <f>+Données!I101</f>
        <v>0</v>
      </c>
      <c r="G101" s="8">
        <f>+Données!J101</f>
        <v>0</v>
      </c>
      <c r="H101" s="8">
        <f>Données!U101</f>
        <v>-5882.55</v>
      </c>
      <c r="I101" s="213">
        <f>Données!V101</f>
        <v>0</v>
      </c>
      <c r="J101" s="213">
        <f>Données!W101</f>
        <v>0</v>
      </c>
      <c r="K101" s="8">
        <f>+Données!Q101</f>
        <v>0</v>
      </c>
      <c r="L101" s="450">
        <f t="shared" si="4"/>
        <v>179446.25000000003</v>
      </c>
      <c r="M101" s="8">
        <f>+Données!F101</f>
        <v>0</v>
      </c>
      <c r="N101" s="8">
        <f>+Données!K101</f>
        <v>0</v>
      </c>
      <c r="O101" s="8">
        <f>(Données!L101/Données!Y101)*1</f>
        <v>14268.0625</v>
      </c>
      <c r="P101" s="450">
        <f t="shared" si="5"/>
        <v>193714.31250000003</v>
      </c>
      <c r="Q101" s="238">
        <f>+Données!X101</f>
        <v>76</v>
      </c>
      <c r="R101" s="450">
        <f t="shared" si="6"/>
        <v>2548.8725328947371</v>
      </c>
    </row>
    <row r="102" spans="1:18" x14ac:dyDescent="0.25">
      <c r="A102" s="7">
        <f>Données!A102</f>
        <v>5565</v>
      </c>
      <c r="B102" s="27" t="str">
        <f>Données!B102</f>
        <v>Onnens</v>
      </c>
      <c r="C102" s="8">
        <f>Données!C102+Données!D102</f>
        <v>824405.54</v>
      </c>
      <c r="D102" s="8">
        <f>+Données!G102+Données!H102+Données!S102</f>
        <v>-247372.92</v>
      </c>
      <c r="E102" s="8">
        <f>+Données!E102</f>
        <v>0</v>
      </c>
      <c r="F102" s="8">
        <f>+Données!I102</f>
        <v>0</v>
      </c>
      <c r="G102" s="8">
        <f>+Données!J102</f>
        <v>10082.75</v>
      </c>
      <c r="H102" s="8">
        <f>Données!U102</f>
        <v>-1599.16</v>
      </c>
      <c r="I102" s="213">
        <f>Données!V102</f>
        <v>0</v>
      </c>
      <c r="J102" s="213">
        <f>Données!W102</f>
        <v>-35</v>
      </c>
      <c r="K102" s="8">
        <f>+Données!Q102</f>
        <v>0</v>
      </c>
      <c r="L102" s="450">
        <f t="shared" si="4"/>
        <v>585481.21</v>
      </c>
      <c r="M102" s="8">
        <f>+Données!F102</f>
        <v>0</v>
      </c>
      <c r="N102" s="8">
        <f>+Données!K102</f>
        <v>24489.35</v>
      </c>
      <c r="O102" s="8">
        <f>(Données!L102/Données!Y102)*1</f>
        <v>130356.95</v>
      </c>
      <c r="P102" s="450">
        <f t="shared" si="5"/>
        <v>740327.50999999989</v>
      </c>
      <c r="Q102" s="238">
        <f>+Données!X102</f>
        <v>63.5</v>
      </c>
      <c r="R102" s="450">
        <f t="shared" si="6"/>
        <v>11658.700944881888</v>
      </c>
    </row>
    <row r="103" spans="1:18" x14ac:dyDescent="0.25">
      <c r="A103" s="7">
        <f>Données!A103</f>
        <v>5566</v>
      </c>
      <c r="B103" s="27" t="str">
        <f>Données!B103</f>
        <v>Provence</v>
      </c>
      <c r="C103" s="8">
        <f>Données!C103+Données!D103</f>
        <v>605664.49</v>
      </c>
      <c r="D103" s="8">
        <f>+Données!G103+Données!H103+Données!S103</f>
        <v>15790.17</v>
      </c>
      <c r="E103" s="8">
        <f>+Données!E103</f>
        <v>0</v>
      </c>
      <c r="F103" s="8">
        <f>+Données!I103</f>
        <v>0</v>
      </c>
      <c r="G103" s="8">
        <f>+Données!J103</f>
        <v>12422.1</v>
      </c>
      <c r="H103" s="8">
        <f>Données!U103</f>
        <v>-5344.53</v>
      </c>
      <c r="I103" s="213">
        <f>Données!V103</f>
        <v>0</v>
      </c>
      <c r="J103" s="213">
        <f>Données!W103</f>
        <v>-76.099999999999994</v>
      </c>
      <c r="K103" s="8">
        <f>+Données!Q103</f>
        <v>298.69</v>
      </c>
      <c r="L103" s="450">
        <f t="shared" si="4"/>
        <v>628754.81999999995</v>
      </c>
      <c r="M103" s="8">
        <f>+Données!F103</f>
        <v>2730</v>
      </c>
      <c r="N103" s="8">
        <f>+Données!K103</f>
        <v>2987.05</v>
      </c>
      <c r="O103" s="8">
        <f>(Données!L103/Données!Y103)*1</f>
        <v>56370.633333333331</v>
      </c>
      <c r="P103" s="450">
        <f t="shared" si="5"/>
        <v>690842.5033333333</v>
      </c>
      <c r="Q103" s="238">
        <f>+Données!X103</f>
        <v>81</v>
      </c>
      <c r="R103" s="450">
        <f t="shared" si="6"/>
        <v>8528.9197942386818</v>
      </c>
    </row>
    <row r="104" spans="1:18" x14ac:dyDescent="0.25">
      <c r="A104" s="7">
        <f>Données!A104</f>
        <v>5568</v>
      </c>
      <c r="B104" s="27" t="str">
        <f>Données!B104</f>
        <v>Sainte-Croix</v>
      </c>
      <c r="C104" s="8">
        <f>Données!C104+Données!D104</f>
        <v>6514307.2999999998</v>
      </c>
      <c r="D104" s="8">
        <f>+Données!G104+Données!H104+Données!S104</f>
        <v>167240.51999999999</v>
      </c>
      <c r="E104" s="8">
        <f>+Données!E104</f>
        <v>0</v>
      </c>
      <c r="F104" s="8">
        <f>+Données!I104</f>
        <v>38315.550000000003</v>
      </c>
      <c r="G104" s="8">
        <f>+Données!J104</f>
        <v>143181.76000000001</v>
      </c>
      <c r="H104" s="8">
        <f>Données!U104</f>
        <v>-164867.07</v>
      </c>
      <c r="I104" s="213">
        <f>Données!V104</f>
        <v>0</v>
      </c>
      <c r="J104" s="213">
        <f>Données!W104</f>
        <v>-2471.1</v>
      </c>
      <c r="K104" s="8">
        <f>+Données!Q104</f>
        <v>22621.75</v>
      </c>
      <c r="L104" s="450">
        <f t="shared" si="4"/>
        <v>6718328.709999999</v>
      </c>
      <c r="M104" s="8">
        <f>+Données!F104</f>
        <v>0</v>
      </c>
      <c r="N104" s="8">
        <f>+Données!K104</f>
        <v>31363.599999999999</v>
      </c>
      <c r="O104" s="8">
        <f>(Données!L104/Données!Y104)*1</f>
        <v>670655.55000000005</v>
      </c>
      <c r="P104" s="450">
        <f t="shared" si="5"/>
        <v>7420347.8599999985</v>
      </c>
      <c r="Q104" s="238">
        <f>+Données!X104</f>
        <v>70</v>
      </c>
      <c r="R104" s="450">
        <f t="shared" si="6"/>
        <v>106004.96942857141</v>
      </c>
    </row>
    <row r="105" spans="1:18" x14ac:dyDescent="0.25">
      <c r="A105" s="7">
        <f>Données!A105</f>
        <v>5571</v>
      </c>
      <c r="B105" s="27" t="str">
        <f>Données!B105</f>
        <v>Tévenon</v>
      </c>
      <c r="C105" s="8">
        <f>Données!C105+Données!D105</f>
        <v>1671467.56</v>
      </c>
      <c r="D105" s="8">
        <f>+Données!G105+Données!H105+Données!S105</f>
        <v>7573.8099999999995</v>
      </c>
      <c r="E105" s="8">
        <f>+Données!E105</f>
        <v>0</v>
      </c>
      <c r="F105" s="8">
        <f>+Données!I105</f>
        <v>0</v>
      </c>
      <c r="G105" s="8">
        <f>+Données!J105</f>
        <v>-698</v>
      </c>
      <c r="H105" s="8">
        <f>Données!U105</f>
        <v>-7231.34</v>
      </c>
      <c r="I105" s="213">
        <f>Données!V105</f>
        <v>-991.5</v>
      </c>
      <c r="J105" s="213">
        <f>Données!W105</f>
        <v>0</v>
      </c>
      <c r="K105" s="8">
        <f>+Données!Q105</f>
        <v>2632.3</v>
      </c>
      <c r="L105" s="450">
        <f t="shared" si="4"/>
        <v>1672752.83</v>
      </c>
      <c r="M105" s="8">
        <f>+Données!F105</f>
        <v>0</v>
      </c>
      <c r="N105" s="8">
        <f>+Données!K105</f>
        <v>8766.2000000000007</v>
      </c>
      <c r="O105" s="8">
        <f>(Données!L105/Données!Y105)*1</f>
        <v>170832.08333333334</v>
      </c>
      <c r="P105" s="450">
        <f t="shared" si="5"/>
        <v>1852351.1133333333</v>
      </c>
      <c r="Q105" s="238">
        <f>+Données!X105</f>
        <v>71.5</v>
      </c>
      <c r="R105" s="450">
        <f t="shared" si="6"/>
        <v>25907.008578088578</v>
      </c>
    </row>
    <row r="106" spans="1:18" x14ac:dyDescent="0.25">
      <c r="A106" s="7">
        <f>Données!A106</f>
        <v>5581</v>
      </c>
      <c r="B106" s="27" t="str">
        <f>Données!B106</f>
        <v>Belmont-sur-Lausanne</v>
      </c>
      <c r="C106" s="8">
        <f>Données!C106+Données!D106</f>
        <v>15275909.809999999</v>
      </c>
      <c r="D106" s="8">
        <f>+Données!G106+Données!H106+Données!S106</f>
        <v>350046.89</v>
      </c>
      <c r="E106" s="8">
        <f>+Données!E106</f>
        <v>0</v>
      </c>
      <c r="F106" s="8">
        <f>+Données!I106</f>
        <v>94218.85</v>
      </c>
      <c r="G106" s="8">
        <f>+Données!J106</f>
        <v>163782.16</v>
      </c>
      <c r="H106" s="8">
        <f>Données!U106</f>
        <v>-61138.37</v>
      </c>
      <c r="I106" s="213">
        <f>Données!V106</f>
        <v>0</v>
      </c>
      <c r="J106" s="213">
        <f>Données!W106</f>
        <v>-11449.17</v>
      </c>
      <c r="K106" s="8">
        <f>+Données!Q106</f>
        <v>-18915.02</v>
      </c>
      <c r="L106" s="450">
        <f t="shared" si="4"/>
        <v>15792455.15</v>
      </c>
      <c r="M106" s="8">
        <f>+Données!F106</f>
        <v>0</v>
      </c>
      <c r="N106" s="8">
        <f>+Données!K106</f>
        <v>35901.599999999999</v>
      </c>
      <c r="O106" s="8">
        <f>(Données!L106/Données!Y106)*1</f>
        <v>998897.4</v>
      </c>
      <c r="P106" s="450">
        <f t="shared" si="5"/>
        <v>16827254.149999999</v>
      </c>
      <c r="Q106" s="238">
        <f>+Données!X106</f>
        <v>72</v>
      </c>
      <c r="R106" s="450">
        <f t="shared" si="6"/>
        <v>233711.86319444442</v>
      </c>
    </row>
    <row r="107" spans="1:18" x14ac:dyDescent="0.25">
      <c r="A107" s="7">
        <f>Données!A107</f>
        <v>5582</v>
      </c>
      <c r="B107" s="27" t="str">
        <f>Données!B107</f>
        <v>Cheseaux-sur-Lausanne</v>
      </c>
      <c r="C107" s="8">
        <f>Données!C107+Données!D107</f>
        <v>10240229.140000001</v>
      </c>
      <c r="D107" s="8">
        <f>+Données!G107+Données!H107+Données!S107</f>
        <v>660209.44000000006</v>
      </c>
      <c r="E107" s="8">
        <f>+Données!E107</f>
        <v>0</v>
      </c>
      <c r="F107" s="8">
        <f>+Données!I107</f>
        <v>0</v>
      </c>
      <c r="G107" s="8">
        <f>+Données!J107</f>
        <v>338951.18</v>
      </c>
      <c r="H107" s="8">
        <f>Données!U107</f>
        <v>-66148.649999999994</v>
      </c>
      <c r="I107" s="213">
        <f>Données!V107</f>
        <v>0</v>
      </c>
      <c r="J107" s="213">
        <f>Données!W107</f>
        <v>-3974.96</v>
      </c>
      <c r="K107" s="8">
        <f>+Données!Q107</f>
        <v>152371.28</v>
      </c>
      <c r="L107" s="450">
        <f t="shared" si="4"/>
        <v>11321637.429999998</v>
      </c>
      <c r="M107" s="8">
        <f>+Données!F107</f>
        <v>0</v>
      </c>
      <c r="N107" s="8">
        <f>+Données!K107</f>
        <v>126869.85</v>
      </c>
      <c r="O107" s="8">
        <f>(Données!L107/Données!Y107)*1</f>
        <v>992794.45</v>
      </c>
      <c r="P107" s="450">
        <f t="shared" si="5"/>
        <v>12441301.729999997</v>
      </c>
      <c r="Q107" s="238">
        <f>+Données!X107</f>
        <v>73</v>
      </c>
      <c r="R107" s="450">
        <f t="shared" si="6"/>
        <v>170428.79082191776</v>
      </c>
    </row>
    <row r="108" spans="1:18" x14ac:dyDescent="0.25">
      <c r="A108" s="7">
        <f>Données!A108</f>
        <v>5583</v>
      </c>
      <c r="B108" s="27" t="str">
        <f>Données!B108</f>
        <v>Crissier</v>
      </c>
      <c r="C108" s="8">
        <f>Données!C108+Données!D108</f>
        <v>14097295.060000001</v>
      </c>
      <c r="D108" s="8">
        <f>+Données!G108+Données!H108+Données!S108</f>
        <v>3673840.9799999995</v>
      </c>
      <c r="E108" s="8">
        <f>+Données!E108</f>
        <v>0</v>
      </c>
      <c r="F108" s="8">
        <f>+Données!I108</f>
        <v>0</v>
      </c>
      <c r="G108" s="8">
        <f>+Données!J108</f>
        <v>1059721.76</v>
      </c>
      <c r="H108" s="8">
        <f>Données!U108</f>
        <v>-297820.19</v>
      </c>
      <c r="I108" s="213">
        <f>Données!V108</f>
        <v>0</v>
      </c>
      <c r="J108" s="213">
        <f>Données!W108</f>
        <v>-2778.7</v>
      </c>
      <c r="K108" s="8">
        <f>+Données!Q108</f>
        <v>134384.76999999999</v>
      </c>
      <c r="L108" s="450">
        <f t="shared" si="4"/>
        <v>18664643.68</v>
      </c>
      <c r="M108" s="8">
        <f>+Données!F108</f>
        <v>0</v>
      </c>
      <c r="N108" s="8">
        <f>+Données!K108</f>
        <v>373598.6</v>
      </c>
      <c r="O108" s="8">
        <f>(Données!L108/Données!Y108)*1</f>
        <v>2583288.2999999998</v>
      </c>
      <c r="P108" s="450">
        <f t="shared" si="5"/>
        <v>21621530.580000002</v>
      </c>
      <c r="Q108" s="238">
        <f>+Données!X108</f>
        <v>63.5</v>
      </c>
      <c r="R108" s="450">
        <f t="shared" si="6"/>
        <v>340496.54456692917</v>
      </c>
    </row>
    <row r="109" spans="1:18" x14ac:dyDescent="0.25">
      <c r="A109" s="7">
        <f>Données!A109</f>
        <v>5584</v>
      </c>
      <c r="B109" s="27" t="str">
        <f>Données!B109</f>
        <v>Epalinges</v>
      </c>
      <c r="C109" s="8">
        <f>Données!C109+Données!D109</f>
        <v>26219575.879999999</v>
      </c>
      <c r="D109" s="8">
        <f>+Données!G109+Données!H109+Données!S109</f>
        <v>1870051.01</v>
      </c>
      <c r="E109" s="8">
        <f>+Données!E109</f>
        <v>0</v>
      </c>
      <c r="F109" s="8">
        <f>+Données!I109</f>
        <v>384606.3</v>
      </c>
      <c r="G109" s="8">
        <f>+Données!J109</f>
        <v>624375.05000000005</v>
      </c>
      <c r="H109" s="8">
        <f>Données!U109</f>
        <v>-462529.99</v>
      </c>
      <c r="I109" s="213">
        <f>Données!V109</f>
        <v>0</v>
      </c>
      <c r="J109" s="213">
        <f>Données!W109</f>
        <v>-48182.400000000001</v>
      </c>
      <c r="K109" s="8">
        <f>+Données!Q109</f>
        <v>230723.20000000001</v>
      </c>
      <c r="L109" s="450">
        <f t="shared" si="4"/>
        <v>28818619.050000004</v>
      </c>
      <c r="M109" s="8">
        <f>+Données!F109</f>
        <v>0</v>
      </c>
      <c r="N109" s="8">
        <f>+Données!K109</f>
        <v>342617.05</v>
      </c>
      <c r="O109" s="8">
        <f>(Données!L109/Données!Y109)*1</f>
        <v>2428685.31</v>
      </c>
      <c r="P109" s="450">
        <f t="shared" si="5"/>
        <v>31589921.410000004</v>
      </c>
      <c r="Q109" s="238">
        <f>+Données!X109</f>
        <v>64.5</v>
      </c>
      <c r="R109" s="450">
        <f t="shared" si="6"/>
        <v>489766.22341085278</v>
      </c>
    </row>
    <row r="110" spans="1:18" x14ac:dyDescent="0.25">
      <c r="A110" s="7">
        <f>Données!A110</f>
        <v>5585</v>
      </c>
      <c r="B110" s="27" t="str">
        <f>Données!B110</f>
        <v>Jouxtens-Mézery</v>
      </c>
      <c r="C110" s="8">
        <f>Données!C110+Données!D110</f>
        <v>13584977.16</v>
      </c>
      <c r="D110" s="8">
        <f>+Données!G110+Données!H110+Données!S110</f>
        <v>75098.999999999985</v>
      </c>
      <c r="E110" s="8">
        <f>+Données!E110</f>
        <v>0</v>
      </c>
      <c r="F110" s="8">
        <f>+Données!I110</f>
        <v>575098.6</v>
      </c>
      <c r="G110" s="8">
        <f>+Données!J110</f>
        <v>123355.29</v>
      </c>
      <c r="H110" s="8">
        <f>Données!U110</f>
        <v>-24206.23</v>
      </c>
      <c r="I110" s="213">
        <f>Données!V110</f>
        <v>0</v>
      </c>
      <c r="J110" s="213">
        <f>Données!W110</f>
        <v>-21529.38</v>
      </c>
      <c r="K110" s="8">
        <f>+Données!Q110</f>
        <v>12084.04</v>
      </c>
      <c r="L110" s="450">
        <f t="shared" si="4"/>
        <v>14324878.479999997</v>
      </c>
      <c r="M110" s="8">
        <f>+Données!F110</f>
        <v>0</v>
      </c>
      <c r="N110" s="8">
        <f>+Données!K110</f>
        <v>7799</v>
      </c>
      <c r="O110" s="8">
        <f>(Données!L110/Données!Y110)*1</f>
        <v>591167.35</v>
      </c>
      <c r="P110" s="450">
        <f t="shared" si="5"/>
        <v>14923844.829999996</v>
      </c>
      <c r="Q110" s="238">
        <f>+Données!X110</f>
        <v>59</v>
      </c>
      <c r="R110" s="450">
        <f t="shared" si="6"/>
        <v>252946.52254237281</v>
      </c>
    </row>
    <row r="111" spans="1:18" x14ac:dyDescent="0.25">
      <c r="A111" s="7">
        <f>Données!A111</f>
        <v>5586</v>
      </c>
      <c r="B111" s="27" t="str">
        <f>Données!B111</f>
        <v>Lausanne</v>
      </c>
      <c r="C111" s="8">
        <f>Données!C111+Données!D111</f>
        <v>349790313.06</v>
      </c>
      <c r="D111" s="8">
        <f>+Données!G111+Données!H111+Données!S111</f>
        <v>112403043.98999999</v>
      </c>
      <c r="E111" s="8">
        <f>+Données!E111</f>
        <v>0</v>
      </c>
      <c r="F111" s="8">
        <f>+Données!I111</f>
        <v>4416616.38</v>
      </c>
      <c r="G111" s="8">
        <f>+Données!J111</f>
        <v>26043977.149999999</v>
      </c>
      <c r="H111" s="8">
        <f>Données!U111</f>
        <v>-7524770.8200000003</v>
      </c>
      <c r="I111" s="213">
        <f>Données!V111</f>
        <v>0</v>
      </c>
      <c r="J111" s="213">
        <f>Données!W111</f>
        <v>-1986114.97</v>
      </c>
      <c r="K111" s="8">
        <f>+Données!Q111</f>
        <v>2478909.39</v>
      </c>
      <c r="L111" s="450">
        <f t="shared" si="4"/>
        <v>485621974.17999995</v>
      </c>
      <c r="M111" s="8">
        <f>+Données!F111</f>
        <v>0</v>
      </c>
      <c r="N111" s="8">
        <f>+Données!K111</f>
        <v>6615252.75</v>
      </c>
      <c r="O111" s="8">
        <f>(Données!L111/Données!Y111)*1</f>
        <v>31471707.366666663</v>
      </c>
      <c r="P111" s="450">
        <f t="shared" si="5"/>
        <v>523708934.29666662</v>
      </c>
      <c r="Q111" s="238">
        <f>+Données!X111</f>
        <v>78.5</v>
      </c>
      <c r="R111" s="450">
        <f t="shared" si="6"/>
        <v>6671451.3923142245</v>
      </c>
    </row>
    <row r="112" spans="1:18" x14ac:dyDescent="0.25">
      <c r="A112" s="7">
        <f>Données!A112</f>
        <v>5587</v>
      </c>
      <c r="B112" s="27" t="str">
        <f>Données!B112</f>
        <v>Le Mont-sur-Lausanne</v>
      </c>
      <c r="C112" s="8">
        <f>Données!C112+Données!D112</f>
        <v>29204739.629999999</v>
      </c>
      <c r="D112" s="8">
        <f>+Données!G112+Données!H112+Données!S112</f>
        <v>2543940.35</v>
      </c>
      <c r="E112" s="8">
        <f>+Données!E112</f>
        <v>0</v>
      </c>
      <c r="F112" s="8">
        <f>+Données!I112</f>
        <v>275234.95</v>
      </c>
      <c r="G112" s="8">
        <f>+Données!J112</f>
        <v>534999.24</v>
      </c>
      <c r="H112" s="8">
        <f>Données!U112</f>
        <v>-210338.26</v>
      </c>
      <c r="I112" s="213">
        <f>Données!V112</f>
        <v>0</v>
      </c>
      <c r="J112" s="213">
        <f>Données!W112</f>
        <v>-27002.71</v>
      </c>
      <c r="K112" s="8">
        <f>+Données!Q112</f>
        <v>62316.08</v>
      </c>
      <c r="L112" s="450">
        <f t="shared" si="4"/>
        <v>32383889.279999994</v>
      </c>
      <c r="M112" s="8">
        <f>+Données!F112</f>
        <v>0</v>
      </c>
      <c r="N112" s="8">
        <f>+Données!K112</f>
        <v>366915.15</v>
      </c>
      <c r="O112" s="8">
        <f>(Données!L112/Données!Y112)*1</f>
        <v>2826894.875</v>
      </c>
      <c r="P112" s="450">
        <f t="shared" si="5"/>
        <v>35577699.304999992</v>
      </c>
      <c r="Q112" s="238">
        <f>+Données!X112</f>
        <v>73.5</v>
      </c>
      <c r="R112" s="450">
        <f t="shared" si="6"/>
        <v>484050.33068027202</v>
      </c>
    </row>
    <row r="113" spans="1:18" x14ac:dyDescent="0.25">
      <c r="A113" s="7">
        <f>Données!A113</f>
        <v>5588</v>
      </c>
      <c r="B113" s="27" t="str">
        <f>Données!B113</f>
        <v>Paudex</v>
      </c>
      <c r="C113" s="8">
        <f>Données!C113+Données!D113</f>
        <v>6542660.4299999997</v>
      </c>
      <c r="D113" s="8">
        <f>+Données!G113+Données!H113+Données!S113</f>
        <v>972572.71</v>
      </c>
      <c r="E113" s="8">
        <f>+Données!E113</f>
        <v>0</v>
      </c>
      <c r="F113" s="8">
        <f>+Données!I113</f>
        <v>697545.62</v>
      </c>
      <c r="G113" s="8">
        <f>+Données!J113</f>
        <v>382480.49</v>
      </c>
      <c r="H113" s="8">
        <f>Données!U113</f>
        <v>-9392.98</v>
      </c>
      <c r="I113" s="213">
        <f>Données!V113</f>
        <v>0</v>
      </c>
      <c r="J113" s="213">
        <f>Données!W113</f>
        <v>-57193.65</v>
      </c>
      <c r="K113" s="8">
        <f>+Données!Q113</f>
        <v>7826.85</v>
      </c>
      <c r="L113" s="450">
        <f t="shared" si="4"/>
        <v>8536499.4699999988</v>
      </c>
      <c r="M113" s="8">
        <f>+Données!F113</f>
        <v>0</v>
      </c>
      <c r="N113" s="8">
        <f>+Données!K113</f>
        <v>46010.95</v>
      </c>
      <c r="O113" s="8">
        <f>(Données!L113/Données!Y113)*1</f>
        <v>564997.57142857148</v>
      </c>
      <c r="P113" s="450">
        <f t="shared" si="5"/>
        <v>9147507.991428569</v>
      </c>
      <c r="Q113" s="238">
        <f>+Données!X113</f>
        <v>66.5</v>
      </c>
      <c r="R113" s="450">
        <f t="shared" si="6"/>
        <v>137556.51114930178</v>
      </c>
    </row>
    <row r="114" spans="1:18" x14ac:dyDescent="0.25">
      <c r="A114" s="7">
        <f>Données!A114</f>
        <v>5589</v>
      </c>
      <c r="B114" s="27" t="str">
        <f>Données!B114</f>
        <v>Prilly</v>
      </c>
      <c r="C114" s="8">
        <f>Données!C114+Données!D114</f>
        <v>21008316.559999999</v>
      </c>
      <c r="D114" s="8">
        <f>+Données!G114+Données!H114+Données!S114</f>
        <v>4183996.44</v>
      </c>
      <c r="E114" s="8">
        <f>+Données!E114</f>
        <v>0</v>
      </c>
      <c r="F114" s="8">
        <f>+Données!I114</f>
        <v>84190.25</v>
      </c>
      <c r="G114" s="8">
        <f>+Données!J114</f>
        <v>1456662.44</v>
      </c>
      <c r="H114" s="8">
        <f>Données!U114</f>
        <v>-383235.47</v>
      </c>
      <c r="I114" s="213">
        <f>Données!V114</f>
        <v>0</v>
      </c>
      <c r="J114" s="213">
        <f>Données!W114</f>
        <v>-6772.24</v>
      </c>
      <c r="K114" s="8">
        <f>+Données!Q114</f>
        <v>141535.81</v>
      </c>
      <c r="L114" s="450">
        <f t="shared" si="4"/>
        <v>26484693.790000003</v>
      </c>
      <c r="M114" s="8">
        <f>+Données!F114</f>
        <v>0</v>
      </c>
      <c r="N114" s="8">
        <f>+Données!K114</f>
        <v>425656</v>
      </c>
      <c r="O114" s="8">
        <f>(Données!L114/Données!Y114)*1</f>
        <v>2395534.9615384615</v>
      </c>
      <c r="P114" s="450">
        <f t="shared" si="5"/>
        <v>29305884.751538463</v>
      </c>
      <c r="Q114" s="238">
        <f>+Données!X114</f>
        <v>72.5</v>
      </c>
      <c r="R114" s="450">
        <f t="shared" si="6"/>
        <v>404219.10002122016</v>
      </c>
    </row>
    <row r="115" spans="1:18" x14ac:dyDescent="0.25">
      <c r="A115" s="7">
        <f>Données!A115</f>
        <v>5590</v>
      </c>
      <c r="B115" s="27" t="str">
        <f>Données!B115</f>
        <v>Pully</v>
      </c>
      <c r="C115" s="8">
        <f>Données!C115+Données!D115</f>
        <v>72431114.079999998</v>
      </c>
      <c r="D115" s="8">
        <f>+Données!G115+Données!H115+Données!S115</f>
        <v>4795087.6499999994</v>
      </c>
      <c r="E115" s="8">
        <f>+Données!E115</f>
        <v>0</v>
      </c>
      <c r="F115" s="8">
        <f>+Données!I115</f>
        <v>2335527.14</v>
      </c>
      <c r="G115" s="8">
        <f>+Données!J115</f>
        <v>1272358.1399999999</v>
      </c>
      <c r="H115" s="8">
        <f>Données!U115</f>
        <v>-498047.88</v>
      </c>
      <c r="I115" s="213">
        <f>Données!V115</f>
        <v>0</v>
      </c>
      <c r="J115" s="213">
        <f>Données!W115</f>
        <v>-1231121.6399999999</v>
      </c>
      <c r="K115" s="8">
        <f>+Données!Q115</f>
        <v>203865.32</v>
      </c>
      <c r="L115" s="450">
        <f t="shared" si="4"/>
        <v>79308782.810000002</v>
      </c>
      <c r="M115" s="8">
        <f>+Données!F115</f>
        <v>0</v>
      </c>
      <c r="N115" s="8">
        <f>+Données!K115</f>
        <v>412106.55</v>
      </c>
      <c r="O115" s="8">
        <f>(Données!L115/Données!Y115)*1</f>
        <v>5463912.5</v>
      </c>
      <c r="P115" s="450">
        <f t="shared" si="5"/>
        <v>85184801.859999999</v>
      </c>
      <c r="Q115" s="238">
        <f>+Données!X115</f>
        <v>61</v>
      </c>
      <c r="R115" s="450">
        <f t="shared" si="6"/>
        <v>1396472.1616393442</v>
      </c>
    </row>
    <row r="116" spans="1:18" x14ac:dyDescent="0.25">
      <c r="A116" s="7">
        <f>Données!A116</f>
        <v>5591</v>
      </c>
      <c r="B116" s="27" t="str">
        <f>Données!B116</f>
        <v>Renens</v>
      </c>
      <c r="C116" s="8">
        <f>Données!C116+Données!D116</f>
        <v>32009025.34</v>
      </c>
      <c r="D116" s="8">
        <f>+Données!G116+Données!H116+Données!S116</f>
        <v>6749402.459999999</v>
      </c>
      <c r="E116" s="8">
        <f>+Données!E116</f>
        <v>0</v>
      </c>
      <c r="F116" s="8">
        <f>+Données!I116</f>
        <v>0</v>
      </c>
      <c r="G116" s="8">
        <f>+Données!J116</f>
        <v>3001968.75</v>
      </c>
      <c r="H116" s="8">
        <f>Données!U116</f>
        <v>-1349093.16</v>
      </c>
      <c r="I116" s="213">
        <f>Données!V116</f>
        <v>0</v>
      </c>
      <c r="J116" s="213">
        <f>Données!W116</f>
        <v>-11657.28</v>
      </c>
      <c r="K116" s="8">
        <f>+Données!Q116</f>
        <v>341109.08</v>
      </c>
      <c r="L116" s="450">
        <f t="shared" si="4"/>
        <v>40740755.189999998</v>
      </c>
      <c r="M116" s="8">
        <f>+Données!F116</f>
        <v>0</v>
      </c>
      <c r="N116" s="8">
        <f>+Données!K116</f>
        <v>907219.95</v>
      </c>
      <c r="O116" s="8">
        <f>(Données!L116/Données!Y116)*1</f>
        <v>4005920.3928571432</v>
      </c>
      <c r="P116" s="450">
        <f t="shared" si="5"/>
        <v>45653895.532857142</v>
      </c>
      <c r="Q116" s="238">
        <f>+Données!X116</f>
        <v>77</v>
      </c>
      <c r="R116" s="450">
        <f t="shared" si="6"/>
        <v>592907.73419294995</v>
      </c>
    </row>
    <row r="117" spans="1:18" x14ac:dyDescent="0.25">
      <c r="A117" s="7">
        <f>Données!A117</f>
        <v>5592</v>
      </c>
      <c r="B117" s="27" t="str">
        <f>Données!B117</f>
        <v>Romanel-sur-Lausanne</v>
      </c>
      <c r="C117" s="8">
        <f>Données!C117+Données!D117</f>
        <v>6541025.0899999999</v>
      </c>
      <c r="D117" s="8">
        <f>+Données!G117+Données!H117+Données!S117</f>
        <v>379946.51</v>
      </c>
      <c r="E117" s="8">
        <f>+Données!E117</f>
        <v>0</v>
      </c>
      <c r="F117" s="8">
        <f>+Données!I117</f>
        <v>-45356.85</v>
      </c>
      <c r="G117" s="8">
        <f>+Données!J117</f>
        <v>225493.06</v>
      </c>
      <c r="H117" s="8">
        <f>Données!U117</f>
        <v>-96637.86</v>
      </c>
      <c r="I117" s="213">
        <f>Données!V117</f>
        <v>0</v>
      </c>
      <c r="J117" s="213">
        <f>Données!W117</f>
        <v>-5525.39</v>
      </c>
      <c r="K117" s="8">
        <f>+Données!Q117</f>
        <v>32450.22</v>
      </c>
      <c r="L117" s="450">
        <f t="shared" si="4"/>
        <v>7031394.7799999993</v>
      </c>
      <c r="M117" s="8">
        <f>+Données!F117</f>
        <v>0</v>
      </c>
      <c r="N117" s="8">
        <f>+Données!K117</f>
        <v>161525.35</v>
      </c>
      <c r="O117" s="8">
        <f>(Données!L117/Données!Y117)*1</f>
        <v>816207.24</v>
      </c>
      <c r="P117" s="450">
        <f t="shared" si="5"/>
        <v>8009127.3699999992</v>
      </c>
      <c r="Q117" s="238">
        <f>+Données!X117</f>
        <v>70.5</v>
      </c>
      <c r="R117" s="450">
        <f t="shared" si="6"/>
        <v>113604.64354609928</v>
      </c>
    </row>
    <row r="118" spans="1:18" x14ac:dyDescent="0.25">
      <c r="A118" s="7">
        <f>Données!A118</f>
        <v>5601</v>
      </c>
      <c r="B118" s="27" t="str">
        <f>Données!B118</f>
        <v>Chexbres</v>
      </c>
      <c r="C118" s="8">
        <f>Données!C118+Données!D118</f>
        <v>6418493.0700000003</v>
      </c>
      <c r="D118" s="8">
        <f>+Données!G118+Données!H118+Données!S118</f>
        <v>93772.37999999999</v>
      </c>
      <c r="E118" s="8">
        <f>+Données!E118</f>
        <v>0</v>
      </c>
      <c r="F118" s="8">
        <f>+Données!I118</f>
        <v>0</v>
      </c>
      <c r="G118" s="8">
        <f>+Données!J118</f>
        <v>131129.57999999999</v>
      </c>
      <c r="H118" s="8">
        <f>Données!U118</f>
        <v>-69891.5</v>
      </c>
      <c r="I118" s="213">
        <f>Données!V118</f>
        <v>0</v>
      </c>
      <c r="J118" s="213">
        <f>Données!W118</f>
        <v>-6622.34</v>
      </c>
      <c r="K118" s="8">
        <f>+Données!Q118</f>
        <v>30442.58</v>
      </c>
      <c r="L118" s="450">
        <f t="shared" si="4"/>
        <v>6597323.7700000005</v>
      </c>
      <c r="M118" s="8">
        <f>+Données!F118</f>
        <v>0</v>
      </c>
      <c r="N118" s="8">
        <f>+Données!K118</f>
        <v>27519.95</v>
      </c>
      <c r="O118" s="8">
        <f>(Données!L118/Données!Y118)*1</f>
        <v>531188.69999999995</v>
      </c>
      <c r="P118" s="450">
        <f t="shared" si="5"/>
        <v>7156032.4200000009</v>
      </c>
      <c r="Q118" s="238">
        <f>+Données!X118</f>
        <v>67.5</v>
      </c>
      <c r="R118" s="450">
        <f t="shared" si="6"/>
        <v>106015.29511111112</v>
      </c>
    </row>
    <row r="119" spans="1:18" x14ac:dyDescent="0.25">
      <c r="A119" s="7">
        <f>Données!A119</f>
        <v>5604</v>
      </c>
      <c r="B119" s="27" t="str">
        <f>Données!B119</f>
        <v>Forel (Lavaux)</v>
      </c>
      <c r="C119" s="8">
        <f>Données!C119+Données!D119</f>
        <v>4170762.6100000003</v>
      </c>
      <c r="D119" s="8">
        <f>+Données!G119+Données!H119+Données!S119</f>
        <v>265238.02</v>
      </c>
      <c r="E119" s="8">
        <f>+Données!E119</f>
        <v>0</v>
      </c>
      <c r="F119" s="8">
        <f>+Données!I119</f>
        <v>0</v>
      </c>
      <c r="G119" s="8">
        <f>+Données!J119</f>
        <v>54026.31</v>
      </c>
      <c r="H119" s="8">
        <f>Données!U119</f>
        <v>-101263.12</v>
      </c>
      <c r="I119" s="213">
        <f>Données!V119</f>
        <v>0</v>
      </c>
      <c r="J119" s="213">
        <f>Données!W119</f>
        <v>-611.53</v>
      </c>
      <c r="K119" s="8">
        <f>+Données!Q119</f>
        <v>56537.36</v>
      </c>
      <c r="L119" s="450">
        <f t="shared" si="4"/>
        <v>4444689.6500000004</v>
      </c>
      <c r="M119" s="8">
        <f>+Données!F119</f>
        <v>0</v>
      </c>
      <c r="N119" s="8">
        <f>+Données!K119</f>
        <v>30025.15</v>
      </c>
      <c r="O119" s="8">
        <f>(Données!L119/Données!Y119)*1</f>
        <v>421616</v>
      </c>
      <c r="P119" s="450">
        <f t="shared" si="5"/>
        <v>4896330.8000000007</v>
      </c>
      <c r="Q119" s="238">
        <f>+Données!X119</f>
        <v>69</v>
      </c>
      <c r="R119" s="450">
        <f t="shared" si="6"/>
        <v>70961.315942029003</v>
      </c>
    </row>
    <row r="120" spans="1:18" x14ac:dyDescent="0.25">
      <c r="A120" s="7">
        <f>Données!A120</f>
        <v>5606</v>
      </c>
      <c r="B120" s="27" t="str">
        <f>Données!B120</f>
        <v>Lutry</v>
      </c>
      <c r="C120" s="8">
        <f>Données!C120+Données!D120</f>
        <v>44086369.909999996</v>
      </c>
      <c r="D120" s="8">
        <f>+Données!G120+Données!H120+Données!S120</f>
        <v>16279189.77</v>
      </c>
      <c r="E120" s="8">
        <f>+Données!E120</f>
        <v>0</v>
      </c>
      <c r="F120" s="8">
        <f>+Données!I120</f>
        <v>1212906.26</v>
      </c>
      <c r="G120" s="8">
        <f>+Données!J120</f>
        <v>752716.53</v>
      </c>
      <c r="H120" s="8">
        <f>Données!U120</f>
        <v>-461209.8</v>
      </c>
      <c r="I120" s="213">
        <f>Données!V120</f>
        <v>0</v>
      </c>
      <c r="J120" s="213">
        <f>Données!W120</f>
        <v>-98634.42</v>
      </c>
      <c r="K120" s="8">
        <f>+Données!Q120</f>
        <v>80465.960000000006</v>
      </c>
      <c r="L120" s="450">
        <f t="shared" si="4"/>
        <v>61851804.209999993</v>
      </c>
      <c r="M120" s="8">
        <f>+Données!F120</f>
        <v>0</v>
      </c>
      <c r="N120" s="8">
        <f>+Données!K120</f>
        <v>146921.60000000001</v>
      </c>
      <c r="O120" s="8">
        <f>(Données!L120/Données!Y120)*1</f>
        <v>3458520.3571428573</v>
      </c>
      <c r="P120" s="450">
        <f t="shared" si="5"/>
        <v>65457246.167142853</v>
      </c>
      <c r="Q120" s="238">
        <f>+Données!X120</f>
        <v>54</v>
      </c>
      <c r="R120" s="450">
        <f t="shared" si="6"/>
        <v>1212171.2253174603</v>
      </c>
    </row>
    <row r="121" spans="1:18" x14ac:dyDescent="0.25">
      <c r="A121" s="7">
        <f>Données!A121</f>
        <v>5607</v>
      </c>
      <c r="B121" s="27" t="str">
        <f>Données!B121</f>
        <v>Puidoux</v>
      </c>
      <c r="C121" s="8">
        <f>Données!C121+Données!D121</f>
        <v>6540424.0199999996</v>
      </c>
      <c r="D121" s="8">
        <f>+Données!G121+Données!H121+Données!S121</f>
        <v>615453.12000000011</v>
      </c>
      <c r="E121" s="8">
        <f>+Données!E121</f>
        <v>0</v>
      </c>
      <c r="F121" s="8">
        <f>+Données!I121</f>
        <v>8.5</v>
      </c>
      <c r="G121" s="8">
        <f>+Données!J121</f>
        <v>146986.91</v>
      </c>
      <c r="H121" s="8">
        <f>Données!U121</f>
        <v>-51057.17</v>
      </c>
      <c r="I121" s="213">
        <f>Données!V121</f>
        <v>0</v>
      </c>
      <c r="J121" s="213">
        <f>Données!W121</f>
        <v>-3024.38</v>
      </c>
      <c r="K121" s="8">
        <f>+Données!Q121</f>
        <v>3935.43</v>
      </c>
      <c r="L121" s="450">
        <f t="shared" si="4"/>
        <v>7252726.4299999997</v>
      </c>
      <c r="M121" s="8">
        <f>+Données!F121</f>
        <v>0</v>
      </c>
      <c r="N121" s="8">
        <f>+Données!K121</f>
        <v>35256.9</v>
      </c>
      <c r="O121" s="8">
        <f>(Données!L121/Données!Y121)*1</f>
        <v>760495.47826086963</v>
      </c>
      <c r="P121" s="450">
        <f t="shared" si="5"/>
        <v>8048478.8082608692</v>
      </c>
      <c r="Q121" s="238">
        <f>+Données!X121</f>
        <v>68.5</v>
      </c>
      <c r="R121" s="450">
        <f t="shared" si="6"/>
        <v>117496.04099650904</v>
      </c>
    </row>
    <row r="122" spans="1:18" x14ac:dyDescent="0.25">
      <c r="A122" s="7">
        <f>Données!A122</f>
        <v>5609</v>
      </c>
      <c r="B122" s="27" t="str">
        <f>Données!B122</f>
        <v>Rivaz</v>
      </c>
      <c r="C122" s="8">
        <f>Données!C122+Données!D122</f>
        <v>837599.57000000007</v>
      </c>
      <c r="D122" s="8">
        <f>+Données!G122+Données!H122+Données!S122</f>
        <v>9853.6200000000008</v>
      </c>
      <c r="E122" s="8">
        <f>+Données!E122</f>
        <v>0</v>
      </c>
      <c r="F122" s="8">
        <f>+Données!I122</f>
        <v>0</v>
      </c>
      <c r="G122" s="8">
        <f>+Données!J122</f>
        <v>21318.27</v>
      </c>
      <c r="H122" s="8">
        <f>Données!U122</f>
        <v>-4521.76</v>
      </c>
      <c r="I122" s="213">
        <f>Données!V122</f>
        <v>0</v>
      </c>
      <c r="J122" s="213">
        <f>Données!W122</f>
        <v>-585.5</v>
      </c>
      <c r="K122" s="8">
        <f>+Données!Q122</f>
        <v>0</v>
      </c>
      <c r="L122" s="450">
        <f t="shared" si="4"/>
        <v>863664.20000000007</v>
      </c>
      <c r="M122" s="8">
        <f>+Données!F122</f>
        <v>0</v>
      </c>
      <c r="N122" s="8">
        <f>+Données!K122</f>
        <v>1050.4000000000001</v>
      </c>
      <c r="O122" s="8">
        <f>(Données!L122/Données!Y122)*1</f>
        <v>60957.9</v>
      </c>
      <c r="P122" s="450">
        <f t="shared" si="5"/>
        <v>925672.50000000012</v>
      </c>
      <c r="Q122" s="238">
        <f>+Données!X122</f>
        <v>62</v>
      </c>
      <c r="R122" s="450">
        <f t="shared" si="6"/>
        <v>14930.201612903227</v>
      </c>
    </row>
    <row r="123" spans="1:18" x14ac:dyDescent="0.25">
      <c r="A123" s="7">
        <f>Données!A123</f>
        <v>5610</v>
      </c>
      <c r="B123" s="27" t="str">
        <f>Données!B123</f>
        <v>St-Saphorin (Lavaux)</v>
      </c>
      <c r="C123" s="8">
        <f>Données!C123+Données!D123</f>
        <v>1367005.6099999999</v>
      </c>
      <c r="D123" s="8">
        <f>+Données!G123+Données!H123+Données!S123</f>
        <v>28290.46</v>
      </c>
      <c r="E123" s="8">
        <f>+Données!E123</f>
        <v>0</v>
      </c>
      <c r="F123" s="8">
        <f>+Données!I123</f>
        <v>689.599999999999</v>
      </c>
      <c r="G123" s="8">
        <f>+Données!J123</f>
        <v>32843.82</v>
      </c>
      <c r="H123" s="8">
        <f>Données!U123</f>
        <v>-4930.59</v>
      </c>
      <c r="I123" s="213">
        <f>Données!V123</f>
        <v>0</v>
      </c>
      <c r="J123" s="213">
        <f>Données!W123</f>
        <v>-127.45</v>
      </c>
      <c r="K123" s="8">
        <f>+Données!Q123</f>
        <v>0</v>
      </c>
      <c r="L123" s="450">
        <f t="shared" si="4"/>
        <v>1423771.45</v>
      </c>
      <c r="M123" s="8">
        <f>+Données!F123</f>
        <v>0</v>
      </c>
      <c r="N123" s="8">
        <f>+Données!K123</f>
        <v>6721.15</v>
      </c>
      <c r="O123" s="8">
        <f>(Données!L123/Données!Y123)*1</f>
        <v>105028.33333333334</v>
      </c>
      <c r="P123" s="450">
        <f t="shared" si="5"/>
        <v>1535520.9333333331</v>
      </c>
      <c r="Q123" s="238">
        <f>+Données!X123</f>
        <v>72</v>
      </c>
      <c r="R123" s="450">
        <f t="shared" si="6"/>
        <v>21326.679629629627</v>
      </c>
    </row>
    <row r="124" spans="1:18" x14ac:dyDescent="0.25">
      <c r="A124" s="7">
        <f>Données!A124</f>
        <v>5611</v>
      </c>
      <c r="B124" s="27" t="str">
        <f>Données!B124</f>
        <v>Savigny</v>
      </c>
      <c r="C124" s="8">
        <f>Données!C124+Données!D124</f>
        <v>8362892.5199999996</v>
      </c>
      <c r="D124" s="8">
        <f>+Données!G124+Données!H124+Données!S124</f>
        <v>331329.78000000003</v>
      </c>
      <c r="E124" s="8">
        <f>+Données!E124</f>
        <v>0</v>
      </c>
      <c r="F124" s="8">
        <f>+Données!I124</f>
        <v>194791.07</v>
      </c>
      <c r="G124" s="8">
        <f>+Données!J124</f>
        <v>142647.49</v>
      </c>
      <c r="H124" s="8">
        <f>Données!U124</f>
        <v>-84373.38</v>
      </c>
      <c r="I124" s="213">
        <f>Données!V124</f>
        <v>0</v>
      </c>
      <c r="J124" s="213">
        <f>Données!W124</f>
        <v>-1362.76</v>
      </c>
      <c r="K124" s="8">
        <f>+Données!Q124</f>
        <v>1434.81</v>
      </c>
      <c r="L124" s="450">
        <f t="shared" si="4"/>
        <v>8947359.5299999993</v>
      </c>
      <c r="M124" s="8">
        <f>+Données!F124</f>
        <v>0</v>
      </c>
      <c r="N124" s="8">
        <f>+Données!K124</f>
        <v>-11676.65</v>
      </c>
      <c r="O124" s="8">
        <f>(Données!L124/Données!Y124)*1</f>
        <v>698764.375</v>
      </c>
      <c r="P124" s="450">
        <f t="shared" si="5"/>
        <v>9634447.254999999</v>
      </c>
      <c r="Q124" s="238">
        <f>+Données!X124</f>
        <v>69</v>
      </c>
      <c r="R124" s="450">
        <f t="shared" si="6"/>
        <v>139629.67036231884</v>
      </c>
    </row>
    <row r="125" spans="1:18" x14ac:dyDescent="0.25">
      <c r="A125" s="7">
        <f>Données!A125</f>
        <v>5613</v>
      </c>
      <c r="B125" s="27" t="str">
        <f>Données!B125</f>
        <v>Bourg-en-Lavaux</v>
      </c>
      <c r="C125" s="8">
        <f>Données!C125+Données!D125</f>
        <v>20412078.120000001</v>
      </c>
      <c r="D125" s="8">
        <f>+Données!G125+Données!H125+Données!S125</f>
        <v>187121.28</v>
      </c>
      <c r="E125" s="8">
        <f>+Données!E125</f>
        <v>0</v>
      </c>
      <c r="F125" s="8">
        <f>+Données!I125</f>
        <v>161532.93</v>
      </c>
      <c r="G125" s="8">
        <f>+Données!J125</f>
        <v>580976.21</v>
      </c>
      <c r="H125" s="8">
        <f>Données!U125</f>
        <v>-69130.13</v>
      </c>
      <c r="I125" s="213">
        <f>Données!V125</f>
        <v>0</v>
      </c>
      <c r="J125" s="213">
        <f>Données!W125</f>
        <v>-36807.72</v>
      </c>
      <c r="K125" s="8">
        <f>+Données!Q125</f>
        <v>77821.679999999993</v>
      </c>
      <c r="L125" s="450">
        <f t="shared" si="4"/>
        <v>21313592.370000005</v>
      </c>
      <c r="M125" s="8">
        <f>+Données!F125</f>
        <v>0</v>
      </c>
      <c r="N125" s="8">
        <f>+Données!K125</f>
        <v>33459.9</v>
      </c>
      <c r="O125" s="8">
        <f>(Données!L125/Données!Y125)*1</f>
        <v>1603345.0333333332</v>
      </c>
      <c r="P125" s="450">
        <f t="shared" si="5"/>
        <v>22950397.303333335</v>
      </c>
      <c r="Q125" s="238">
        <f>+Données!X125</f>
        <v>62.5</v>
      </c>
      <c r="R125" s="450">
        <f t="shared" si="6"/>
        <v>367206.35685333336</v>
      </c>
    </row>
    <row r="126" spans="1:18" x14ac:dyDescent="0.25">
      <c r="A126" s="7">
        <f>Données!A126</f>
        <v>5621</v>
      </c>
      <c r="B126" s="27" t="str">
        <f>Données!B126</f>
        <v>Aclens</v>
      </c>
      <c r="C126" s="8">
        <f>Données!C126+Données!D126</f>
        <v>1364439.1800000002</v>
      </c>
      <c r="D126" s="8">
        <f>+Données!G126+Données!H126+Données!S126</f>
        <v>625114.56000000006</v>
      </c>
      <c r="E126" s="8">
        <f>+Données!E126</f>
        <v>0</v>
      </c>
      <c r="F126" s="8">
        <f>+Données!I126</f>
        <v>0</v>
      </c>
      <c r="G126" s="8">
        <f>+Données!J126</f>
        <v>105751.2</v>
      </c>
      <c r="H126" s="8">
        <f>Données!U126</f>
        <v>-6670.87</v>
      </c>
      <c r="I126" s="213">
        <f>Données!V126</f>
        <v>0</v>
      </c>
      <c r="J126" s="213">
        <f>Données!W126</f>
        <v>-50.25</v>
      </c>
      <c r="K126" s="8">
        <f>+Données!Q126</f>
        <v>2940.49</v>
      </c>
      <c r="L126" s="450">
        <f t="shared" si="4"/>
        <v>2091524.31</v>
      </c>
      <c r="M126" s="8">
        <f>+Données!F126</f>
        <v>0</v>
      </c>
      <c r="N126" s="8">
        <f>+Données!K126</f>
        <v>35902.75</v>
      </c>
      <c r="O126" s="8">
        <f>(Données!L126/Données!Y126)*1</f>
        <v>303164.77272727271</v>
      </c>
      <c r="P126" s="450">
        <f t="shared" si="5"/>
        <v>2430591.832727273</v>
      </c>
      <c r="Q126" s="238">
        <f>+Données!X126</f>
        <v>62</v>
      </c>
      <c r="R126" s="450">
        <f t="shared" si="6"/>
        <v>39203.094076246336</v>
      </c>
    </row>
    <row r="127" spans="1:18" x14ac:dyDescent="0.25">
      <c r="A127" s="7">
        <f>Données!A127</f>
        <v>5622</v>
      </c>
      <c r="B127" s="27" t="str">
        <f>Données!B127</f>
        <v>Bremblens</v>
      </c>
      <c r="C127" s="8">
        <f>Données!C127+Données!D127</f>
        <v>1876017.49</v>
      </c>
      <c r="D127" s="8">
        <f>+Données!G127+Données!H127+Données!S127</f>
        <v>73467.259999999995</v>
      </c>
      <c r="E127" s="8">
        <f>+Données!E127</f>
        <v>0</v>
      </c>
      <c r="F127" s="8">
        <f>+Données!I127</f>
        <v>0</v>
      </c>
      <c r="G127" s="8">
        <f>+Données!J127</f>
        <v>18105.21</v>
      </c>
      <c r="H127" s="8">
        <f>Données!U127</f>
        <v>-23464.13</v>
      </c>
      <c r="I127" s="213">
        <f>Données!V127</f>
        <v>0</v>
      </c>
      <c r="J127" s="213">
        <f>Données!W127</f>
        <v>-340.64</v>
      </c>
      <c r="K127" s="8">
        <f>+Données!Q127</f>
        <v>0</v>
      </c>
      <c r="L127" s="450">
        <f t="shared" si="4"/>
        <v>1943785.1900000002</v>
      </c>
      <c r="M127" s="8">
        <f>+Données!F127</f>
        <v>0</v>
      </c>
      <c r="N127" s="8">
        <f>+Données!K127</f>
        <v>-5671.9</v>
      </c>
      <c r="O127" s="8">
        <f>(Données!L127/Données!Y127)*1</f>
        <v>159874.5</v>
      </c>
      <c r="P127" s="450">
        <f t="shared" si="5"/>
        <v>2097987.79</v>
      </c>
      <c r="Q127" s="238">
        <f>+Données!X127</f>
        <v>68</v>
      </c>
      <c r="R127" s="450">
        <f t="shared" si="6"/>
        <v>30852.761617647058</v>
      </c>
    </row>
    <row r="128" spans="1:18" x14ac:dyDescent="0.25">
      <c r="A128" s="7">
        <f>Données!A128</f>
        <v>5623</v>
      </c>
      <c r="B128" s="27" t="str">
        <f>Données!B128</f>
        <v>Buchillon</v>
      </c>
      <c r="C128" s="8">
        <f>Données!C128+Données!D128</f>
        <v>3927262.58</v>
      </c>
      <c r="D128" s="8">
        <f>+Données!G128+Données!H128+Données!S128</f>
        <v>161158.18</v>
      </c>
      <c r="E128" s="8">
        <f>+Données!E128</f>
        <v>0</v>
      </c>
      <c r="F128" s="8">
        <f>+Données!I128</f>
        <v>161315.03</v>
      </c>
      <c r="G128" s="8">
        <f>+Données!J128</f>
        <v>35154.949999999997</v>
      </c>
      <c r="H128" s="8">
        <f>Données!U128</f>
        <v>-6749.01</v>
      </c>
      <c r="I128" s="213">
        <f>Données!V128</f>
        <v>0</v>
      </c>
      <c r="J128" s="213">
        <f>Données!W128</f>
        <v>-52075.94</v>
      </c>
      <c r="K128" s="8">
        <f>+Données!Q128</f>
        <v>68.2</v>
      </c>
      <c r="L128" s="450">
        <f t="shared" si="4"/>
        <v>4226133.99</v>
      </c>
      <c r="M128" s="8">
        <f>+Données!F128</f>
        <v>0</v>
      </c>
      <c r="N128" s="8">
        <f>+Données!K128</f>
        <v>3049</v>
      </c>
      <c r="O128" s="8">
        <f>(Données!L128/Données!Y128)*1</f>
        <v>367777.35</v>
      </c>
      <c r="P128" s="450">
        <f t="shared" si="5"/>
        <v>4596960.34</v>
      </c>
      <c r="Q128" s="238">
        <f>+Données!X128</f>
        <v>52</v>
      </c>
      <c r="R128" s="450">
        <f t="shared" si="6"/>
        <v>88403.083461538452</v>
      </c>
    </row>
    <row r="129" spans="1:18" x14ac:dyDescent="0.25">
      <c r="A129" s="7">
        <f>Données!A129</f>
        <v>5624</v>
      </c>
      <c r="B129" s="27" t="str">
        <f>Données!B129</f>
        <v>Bussigny</v>
      </c>
      <c r="C129" s="8">
        <f>Données!C129+Données!D129</f>
        <v>17554396.870000001</v>
      </c>
      <c r="D129" s="8">
        <f>+Données!G129+Données!H129+Données!S129</f>
        <v>11413898.84</v>
      </c>
      <c r="E129" s="8">
        <f>+Données!E129</f>
        <v>0</v>
      </c>
      <c r="F129" s="8">
        <f>+Données!I129</f>
        <v>0</v>
      </c>
      <c r="G129" s="8">
        <f>+Données!J129</f>
        <v>901078.31</v>
      </c>
      <c r="H129" s="8">
        <f>Données!U129</f>
        <v>-250394.66</v>
      </c>
      <c r="I129" s="213">
        <f>Données!V129</f>
        <v>0</v>
      </c>
      <c r="J129" s="213">
        <f>Données!W129</f>
        <v>-2625.03</v>
      </c>
      <c r="K129" s="8">
        <f>+Données!Q129</f>
        <v>20657.740000000002</v>
      </c>
      <c r="L129" s="450">
        <f t="shared" si="4"/>
        <v>29637012.069999997</v>
      </c>
      <c r="M129" s="8">
        <f>+Données!F129</f>
        <v>0</v>
      </c>
      <c r="N129" s="8">
        <f>+Données!K129</f>
        <v>498778.2</v>
      </c>
      <c r="O129" s="8">
        <f>(Données!L129/Données!Y129)*1</f>
        <v>2535946.84</v>
      </c>
      <c r="P129" s="450">
        <f t="shared" si="5"/>
        <v>32671737.109999996</v>
      </c>
      <c r="Q129" s="238">
        <f>+Données!X129</f>
        <v>62.5</v>
      </c>
      <c r="R129" s="450">
        <f t="shared" si="6"/>
        <v>522747.79375999991</v>
      </c>
    </row>
    <row r="130" spans="1:18" x14ac:dyDescent="0.25">
      <c r="A130" s="7">
        <f>Données!A130</f>
        <v>5627</v>
      </c>
      <c r="B130" s="27" t="str">
        <f>Données!B130</f>
        <v>Chavannes-près-Renens</v>
      </c>
      <c r="C130" s="8">
        <f>Données!C130+Données!D130</f>
        <v>11132312.120000001</v>
      </c>
      <c r="D130" s="8">
        <f>+Données!G130+Données!H130+Données!S130</f>
        <v>1226647.77</v>
      </c>
      <c r="E130" s="8">
        <f>+Données!E130</f>
        <v>0</v>
      </c>
      <c r="F130" s="8">
        <f>+Données!I130</f>
        <v>0</v>
      </c>
      <c r="G130" s="8">
        <f>+Données!J130</f>
        <v>1043045.66</v>
      </c>
      <c r="H130" s="8">
        <f>Données!U130</f>
        <v>-344405.42</v>
      </c>
      <c r="I130" s="213">
        <f>Données!V130</f>
        <v>0</v>
      </c>
      <c r="J130" s="213">
        <f>Données!W130</f>
        <v>-1864.13</v>
      </c>
      <c r="K130" s="8">
        <f>+Données!Q130</f>
        <v>70635.490000000005</v>
      </c>
      <c r="L130" s="450">
        <f t="shared" si="4"/>
        <v>13126371.49</v>
      </c>
      <c r="M130" s="8">
        <f>+Données!F130</f>
        <v>0</v>
      </c>
      <c r="N130" s="8">
        <f>+Données!K130</f>
        <v>343110.65</v>
      </c>
      <c r="O130" s="8">
        <f>(Données!L130/Données!Y130)*1</f>
        <v>1154051.4000000001</v>
      </c>
      <c r="P130" s="450">
        <f t="shared" si="5"/>
        <v>14623533.540000001</v>
      </c>
      <c r="Q130" s="238">
        <f>+Données!X130</f>
        <v>77.5</v>
      </c>
      <c r="R130" s="450">
        <f t="shared" si="6"/>
        <v>188690.75535483871</v>
      </c>
    </row>
    <row r="131" spans="1:18" x14ac:dyDescent="0.25">
      <c r="A131" s="7">
        <f>Données!A131</f>
        <v>5628</v>
      </c>
      <c r="B131" s="27" t="str">
        <f>Données!B131</f>
        <v>Chigny</v>
      </c>
      <c r="C131" s="8">
        <f>Données!C131+Données!D131</f>
        <v>1576307.52</v>
      </c>
      <c r="D131" s="8">
        <f>+Données!G131+Données!H131+Données!S131</f>
        <v>10327.23</v>
      </c>
      <c r="E131" s="8">
        <f>+Données!E131</f>
        <v>0</v>
      </c>
      <c r="F131" s="8">
        <f>+Données!I131</f>
        <v>0</v>
      </c>
      <c r="G131" s="8">
        <f>+Données!J131</f>
        <v>21662.06</v>
      </c>
      <c r="H131" s="8">
        <f>Données!U131</f>
        <v>-4830.5</v>
      </c>
      <c r="I131" s="213">
        <f>Données!V131</f>
        <v>0</v>
      </c>
      <c r="J131" s="213">
        <f>Données!W131</f>
        <v>-1707.8</v>
      </c>
      <c r="K131" s="8">
        <f>+Données!Q131</f>
        <v>0</v>
      </c>
      <c r="L131" s="450">
        <f t="shared" si="4"/>
        <v>1601758.51</v>
      </c>
      <c r="M131" s="8">
        <f>+Données!F131</f>
        <v>0</v>
      </c>
      <c r="N131" s="8">
        <f>+Données!K131</f>
        <v>859.5</v>
      </c>
      <c r="O131" s="8">
        <f>(Données!L131/Données!Y131)*1</f>
        <v>110279.5</v>
      </c>
      <c r="P131" s="450">
        <f t="shared" si="5"/>
        <v>1712897.51</v>
      </c>
      <c r="Q131" s="238">
        <f>+Données!X131</f>
        <v>62</v>
      </c>
      <c r="R131" s="450">
        <f t="shared" si="6"/>
        <v>27627.379193548386</v>
      </c>
    </row>
    <row r="132" spans="1:18" x14ac:dyDescent="0.25">
      <c r="A132" s="7">
        <f>Données!A132</f>
        <v>5629</v>
      </c>
      <c r="B132" s="27" t="str">
        <f>Données!B132</f>
        <v>Clarmont</v>
      </c>
      <c r="C132" s="8">
        <f>Données!C132+Données!D132</f>
        <v>650930.39999999991</v>
      </c>
      <c r="D132" s="8">
        <f>+Données!G132+Données!H132+Données!S132</f>
        <v>21191.699999999997</v>
      </c>
      <c r="E132" s="8">
        <f>+Données!E132</f>
        <v>0</v>
      </c>
      <c r="F132" s="8">
        <f>+Données!I132</f>
        <v>0</v>
      </c>
      <c r="G132" s="8">
        <f>+Données!J132</f>
        <v>7142.14</v>
      </c>
      <c r="H132" s="8">
        <f>Données!U132</f>
        <v>-1080.8399999999999</v>
      </c>
      <c r="I132" s="213">
        <f>Données!V132</f>
        <v>0</v>
      </c>
      <c r="J132" s="213">
        <f>Données!W132</f>
        <v>0</v>
      </c>
      <c r="K132" s="8">
        <f>+Données!Q132</f>
        <v>0</v>
      </c>
      <c r="L132" s="450">
        <f t="shared" si="4"/>
        <v>678183.39999999991</v>
      </c>
      <c r="M132" s="8">
        <f>+Données!F132</f>
        <v>0</v>
      </c>
      <c r="N132" s="8">
        <f>+Données!K132</f>
        <v>386.55</v>
      </c>
      <c r="O132" s="8">
        <f>(Données!L132/Données!Y132)*1</f>
        <v>38891.550000000003</v>
      </c>
      <c r="P132" s="450">
        <f t="shared" si="5"/>
        <v>717461.5</v>
      </c>
      <c r="Q132" s="238">
        <f>+Données!X132</f>
        <v>72</v>
      </c>
      <c r="R132" s="450">
        <f t="shared" si="6"/>
        <v>9964.7430555555547</v>
      </c>
    </row>
    <row r="133" spans="1:18" x14ac:dyDescent="0.25">
      <c r="A133" s="7">
        <f>Données!A133</f>
        <v>5631</v>
      </c>
      <c r="B133" s="27" t="str">
        <f>Données!B133</f>
        <v>Denens</v>
      </c>
      <c r="C133" s="8">
        <f>Données!C133+Données!D133</f>
        <v>2506204.8600000003</v>
      </c>
      <c r="D133" s="8">
        <f>+Données!G133+Données!H133+Données!S133</f>
        <v>-14174.56</v>
      </c>
      <c r="E133" s="8">
        <f>+Données!E133</f>
        <v>0</v>
      </c>
      <c r="F133" s="8">
        <f>+Données!I133</f>
        <v>184625.8</v>
      </c>
      <c r="G133" s="8">
        <f>+Données!J133</f>
        <v>-38180.25</v>
      </c>
      <c r="H133" s="8">
        <f>Données!U133</f>
        <v>-21275.119999999999</v>
      </c>
      <c r="I133" s="213">
        <f>Données!V133</f>
        <v>0</v>
      </c>
      <c r="J133" s="213">
        <f>Données!W133</f>
        <v>-1480.83</v>
      </c>
      <c r="K133" s="8">
        <f>+Données!Q133</f>
        <v>33.72</v>
      </c>
      <c r="L133" s="450">
        <f t="shared" si="4"/>
        <v>2615753.62</v>
      </c>
      <c r="M133" s="8">
        <f>+Données!F133</f>
        <v>0</v>
      </c>
      <c r="N133" s="8">
        <f>+Données!K133</f>
        <v>-2036.35</v>
      </c>
      <c r="O133" s="8">
        <f>(Données!L133/Données!Y133)*1</f>
        <v>221495.85</v>
      </c>
      <c r="P133" s="450">
        <f t="shared" si="5"/>
        <v>2835213.12</v>
      </c>
      <c r="Q133" s="238">
        <f>+Données!X133</f>
        <v>68</v>
      </c>
      <c r="R133" s="450">
        <f t="shared" si="6"/>
        <v>41694.310588235297</v>
      </c>
    </row>
    <row r="134" spans="1:18" x14ac:dyDescent="0.25">
      <c r="A134" s="7">
        <f>Données!A134</f>
        <v>5632</v>
      </c>
      <c r="B134" s="27" t="str">
        <f>Données!B134</f>
        <v>Denges</v>
      </c>
      <c r="C134" s="8">
        <f>Données!C134+Données!D134</f>
        <v>4162978.58</v>
      </c>
      <c r="D134" s="8">
        <f>+Données!G134+Données!H134+Données!S134</f>
        <v>275316.5</v>
      </c>
      <c r="E134" s="8">
        <f>+Données!E134</f>
        <v>0</v>
      </c>
      <c r="F134" s="8">
        <f>+Données!I134</f>
        <v>0</v>
      </c>
      <c r="G134" s="8">
        <f>+Données!J134</f>
        <v>240064.74</v>
      </c>
      <c r="H134" s="8">
        <f>Données!U134</f>
        <v>-34863.69</v>
      </c>
      <c r="I134" s="213">
        <f>Données!V134</f>
        <v>0</v>
      </c>
      <c r="J134" s="213">
        <f>Données!W134</f>
        <v>-3359.45</v>
      </c>
      <c r="K134" s="8">
        <f>+Données!Q134</f>
        <v>319.43</v>
      </c>
      <c r="L134" s="450">
        <f t="shared" si="4"/>
        <v>4640456.1099999994</v>
      </c>
      <c r="M134" s="8">
        <f>+Données!F134</f>
        <v>0</v>
      </c>
      <c r="N134" s="8">
        <f>+Données!K134</f>
        <v>43382.95</v>
      </c>
      <c r="O134" s="8">
        <f>(Données!L134/Données!Y134)*1</f>
        <v>377997.9</v>
      </c>
      <c r="P134" s="450">
        <f t="shared" si="5"/>
        <v>5061836.96</v>
      </c>
      <c r="Q134" s="238">
        <f>+Données!X134</f>
        <v>62</v>
      </c>
      <c r="R134" s="450">
        <f t="shared" si="6"/>
        <v>81642.531612903229</v>
      </c>
    </row>
    <row r="135" spans="1:18" x14ac:dyDescent="0.25">
      <c r="A135" s="7">
        <f>Données!A135</f>
        <v>5633</v>
      </c>
      <c r="B135" s="27" t="str">
        <f>Données!B135</f>
        <v>Echandens</v>
      </c>
      <c r="C135" s="8">
        <f>Données!C135+Données!D135</f>
        <v>7709366.1499999994</v>
      </c>
      <c r="D135" s="8">
        <f>+Données!G135+Données!H135+Données!S135</f>
        <v>545750.06999999995</v>
      </c>
      <c r="E135" s="8">
        <f>+Données!E135</f>
        <v>0</v>
      </c>
      <c r="F135" s="8">
        <f>+Données!I135</f>
        <v>0</v>
      </c>
      <c r="G135" s="8">
        <f>+Données!J135</f>
        <v>209258.7</v>
      </c>
      <c r="H135" s="8">
        <f>Données!U135</f>
        <v>-72342.539999999994</v>
      </c>
      <c r="I135" s="213">
        <f>Données!V135</f>
        <v>0</v>
      </c>
      <c r="J135" s="213">
        <f>Données!W135</f>
        <v>-22444.35</v>
      </c>
      <c r="K135" s="8">
        <f>+Données!Q135</f>
        <v>-8001.33</v>
      </c>
      <c r="L135" s="450">
        <f t="shared" ref="L135:L198" si="7">SUM(C135:K135)</f>
        <v>8361586.7000000011</v>
      </c>
      <c r="M135" s="8">
        <f>+Données!F135</f>
        <v>0</v>
      </c>
      <c r="N135" s="8">
        <f>+Données!K135</f>
        <v>12737.45</v>
      </c>
      <c r="O135" s="8">
        <f>(Données!L135/Données!Y135)*1</f>
        <v>690714.4</v>
      </c>
      <c r="P135" s="450">
        <f t="shared" ref="P135:P198" si="8">SUM(L135:O135)</f>
        <v>9065038.5500000007</v>
      </c>
      <c r="Q135" s="238">
        <f>+Données!X135</f>
        <v>60.5</v>
      </c>
      <c r="R135" s="450">
        <f t="shared" ref="R135:R198" si="9">P135/Q135</f>
        <v>149835.3479338843</v>
      </c>
    </row>
    <row r="136" spans="1:18" x14ac:dyDescent="0.25">
      <c r="A136" s="7">
        <f>Données!A136</f>
        <v>5634</v>
      </c>
      <c r="B136" s="27" t="str">
        <f>Données!B136</f>
        <v>Echichens</v>
      </c>
      <c r="C136" s="8">
        <f>Données!C136+Données!D136</f>
        <v>11205499.540000001</v>
      </c>
      <c r="D136" s="8">
        <f>+Données!G136+Données!H136+Données!S136</f>
        <v>84726.64</v>
      </c>
      <c r="E136" s="8">
        <f>+Données!E136</f>
        <v>0</v>
      </c>
      <c r="F136" s="8">
        <f>+Données!I136</f>
        <v>31390.35</v>
      </c>
      <c r="G136" s="8">
        <f>+Données!J136</f>
        <v>89514.71</v>
      </c>
      <c r="H136" s="8">
        <f>Données!U136</f>
        <v>-102104.03</v>
      </c>
      <c r="I136" s="213">
        <f>Données!V136</f>
        <v>0</v>
      </c>
      <c r="J136" s="213">
        <f>Données!W136</f>
        <v>-11144</v>
      </c>
      <c r="K136" s="8">
        <f>+Données!Q136</f>
        <v>243.8</v>
      </c>
      <c r="L136" s="450">
        <f t="shared" si="7"/>
        <v>11298127.010000004</v>
      </c>
      <c r="M136" s="8">
        <f>+Données!F136</f>
        <v>0</v>
      </c>
      <c r="N136" s="8">
        <f>+Données!K136</f>
        <v>27518.25</v>
      </c>
      <c r="O136" s="8">
        <f>(Données!L136/Données!Y136)*1</f>
        <v>761438.6</v>
      </c>
      <c r="P136" s="450">
        <f t="shared" si="8"/>
        <v>12087083.860000003</v>
      </c>
      <c r="Q136" s="238">
        <f>+Données!X136</f>
        <v>66</v>
      </c>
      <c r="R136" s="450">
        <f t="shared" si="9"/>
        <v>183137.63424242428</v>
      </c>
    </row>
    <row r="137" spans="1:18" x14ac:dyDescent="0.25">
      <c r="A137" s="7">
        <f>Données!A137</f>
        <v>5635</v>
      </c>
      <c r="B137" s="27" t="str">
        <f>Données!B137</f>
        <v>Ecublens</v>
      </c>
      <c r="C137" s="8">
        <f>Données!C137+Données!D137</f>
        <v>22229929.5</v>
      </c>
      <c r="D137" s="8">
        <f>+Données!G137+Données!H137+Données!S137</f>
        <v>5243181.58</v>
      </c>
      <c r="E137" s="8">
        <f>+Données!E137</f>
        <v>0</v>
      </c>
      <c r="F137" s="8">
        <f>+Données!I137</f>
        <v>0</v>
      </c>
      <c r="G137" s="8">
        <f>+Données!J137</f>
        <v>1797106.7</v>
      </c>
      <c r="H137" s="8">
        <f>Données!U137</f>
        <v>-334886.88</v>
      </c>
      <c r="I137" s="213">
        <f>Données!V137</f>
        <v>0</v>
      </c>
      <c r="J137" s="213">
        <f>Données!W137</f>
        <v>-50924.25</v>
      </c>
      <c r="K137" s="8">
        <f>+Données!Q137</f>
        <v>101600.35</v>
      </c>
      <c r="L137" s="450">
        <f t="shared" si="7"/>
        <v>28986007</v>
      </c>
      <c r="M137" s="8">
        <f>+Données!F137</f>
        <v>0</v>
      </c>
      <c r="N137" s="8">
        <f>+Données!K137</f>
        <v>595772.35</v>
      </c>
      <c r="O137" s="8">
        <f>(Données!L137/Données!Y137)*1</f>
        <v>2678562.7083333335</v>
      </c>
      <c r="P137" s="450">
        <f t="shared" si="8"/>
        <v>32260342.058333334</v>
      </c>
      <c r="Q137" s="238">
        <f>+Données!X137</f>
        <v>62.5</v>
      </c>
      <c r="R137" s="450">
        <f t="shared" si="9"/>
        <v>516165.47293333331</v>
      </c>
    </row>
    <row r="138" spans="1:18" x14ac:dyDescent="0.25">
      <c r="A138" s="7">
        <f>Données!A138</f>
        <v>5636</v>
      </c>
      <c r="B138" s="27" t="str">
        <f>Données!B138</f>
        <v>Etoy</v>
      </c>
      <c r="C138" s="8">
        <f>Données!C138+Données!D138</f>
        <v>7205954.6299999999</v>
      </c>
      <c r="D138" s="8">
        <f>+Données!G138+Données!H138+Données!S138</f>
        <v>2393949.27</v>
      </c>
      <c r="E138" s="8">
        <f>+Données!E138</f>
        <v>0</v>
      </c>
      <c r="F138" s="8">
        <f>+Données!I138</f>
        <v>-30375.35</v>
      </c>
      <c r="G138" s="8">
        <f>+Données!J138</f>
        <v>466665.45</v>
      </c>
      <c r="H138" s="8">
        <f>Données!U138</f>
        <v>-153262.98000000001</v>
      </c>
      <c r="I138" s="213">
        <f>Données!V138</f>
        <v>0</v>
      </c>
      <c r="J138" s="213">
        <f>Données!W138</f>
        <v>-4237.0200000000004</v>
      </c>
      <c r="K138" s="8">
        <f>+Données!Q138</f>
        <v>26419.23</v>
      </c>
      <c r="L138" s="450">
        <f t="shared" si="7"/>
        <v>9905113.2300000004</v>
      </c>
      <c r="M138" s="8">
        <f>+Données!F138</f>
        <v>0</v>
      </c>
      <c r="N138" s="8">
        <f>+Données!K138</f>
        <v>227402.65</v>
      </c>
      <c r="O138" s="8">
        <f>(Données!L138/Données!Y138)*1</f>
        <v>1234985.1499999999</v>
      </c>
      <c r="P138" s="450">
        <f t="shared" si="8"/>
        <v>11367501.030000001</v>
      </c>
      <c r="Q138" s="238">
        <f>+Données!X138</f>
        <v>60</v>
      </c>
      <c r="R138" s="450">
        <f t="shared" si="9"/>
        <v>189458.35050000003</v>
      </c>
    </row>
    <row r="139" spans="1:18" x14ac:dyDescent="0.25">
      <c r="A139" s="7">
        <f>Données!A139</f>
        <v>5637</v>
      </c>
      <c r="B139" s="27" t="str">
        <f>Données!B139</f>
        <v>Lavigny</v>
      </c>
      <c r="C139" s="8">
        <f>Données!C139+Données!D139</f>
        <v>2316520.5</v>
      </c>
      <c r="D139" s="8">
        <f>+Données!G139+Données!H139+Données!S139</f>
        <v>51035.540000000008</v>
      </c>
      <c r="E139" s="8">
        <f>+Données!E139</f>
        <v>0</v>
      </c>
      <c r="F139" s="8">
        <f>+Données!I139</f>
        <v>0</v>
      </c>
      <c r="G139" s="8">
        <f>+Données!J139</f>
        <v>129469.89</v>
      </c>
      <c r="H139" s="8">
        <f>Données!U139</f>
        <v>-55283.46</v>
      </c>
      <c r="I139" s="213">
        <f>Données!V139</f>
        <v>0</v>
      </c>
      <c r="J139" s="213">
        <f>Données!W139</f>
        <v>-937.31</v>
      </c>
      <c r="K139" s="8">
        <f>+Données!Q139</f>
        <v>610.61</v>
      </c>
      <c r="L139" s="450">
        <f t="shared" si="7"/>
        <v>2441415.77</v>
      </c>
      <c r="M139" s="8">
        <f>+Données!F139</f>
        <v>0</v>
      </c>
      <c r="N139" s="8">
        <f>+Données!K139</f>
        <v>8415.35</v>
      </c>
      <c r="O139" s="8">
        <f>(Données!L139/Données!Y139)*1</f>
        <v>199617</v>
      </c>
      <c r="P139" s="450">
        <f t="shared" si="8"/>
        <v>2649448.12</v>
      </c>
      <c r="Q139" s="238">
        <f>+Données!X139</f>
        <v>73</v>
      </c>
      <c r="R139" s="450">
        <f t="shared" si="9"/>
        <v>36293.809863013703</v>
      </c>
    </row>
    <row r="140" spans="1:18" x14ac:dyDescent="0.25">
      <c r="A140" s="7">
        <f>Données!A140</f>
        <v>5638</v>
      </c>
      <c r="B140" s="27" t="str">
        <f>Données!B140</f>
        <v>Lonay</v>
      </c>
      <c r="C140" s="8">
        <f>Données!C140+Données!D140</f>
        <v>6891773.6500000004</v>
      </c>
      <c r="D140" s="8">
        <f>+Données!G140+Données!H140+Données!S140</f>
        <v>574780</v>
      </c>
      <c r="E140" s="8">
        <f>+Données!E140</f>
        <v>0</v>
      </c>
      <c r="F140" s="8">
        <f>+Données!I140</f>
        <v>71005.399999999994</v>
      </c>
      <c r="G140" s="8">
        <f>+Données!J140</f>
        <v>185754.57</v>
      </c>
      <c r="H140" s="8">
        <f>Données!U140</f>
        <v>-60883.78</v>
      </c>
      <c r="I140" s="213">
        <f>Données!V140</f>
        <v>0</v>
      </c>
      <c r="J140" s="213">
        <f>Données!W140</f>
        <v>-17990.169999999998</v>
      </c>
      <c r="K140" s="8">
        <f>+Données!Q140</f>
        <v>31883.33</v>
      </c>
      <c r="L140" s="450">
        <f t="shared" si="7"/>
        <v>7676323.0000000009</v>
      </c>
      <c r="M140" s="8">
        <f>+Données!F140</f>
        <v>0</v>
      </c>
      <c r="N140" s="8">
        <f>+Données!K140</f>
        <v>75992.850000000006</v>
      </c>
      <c r="O140" s="8">
        <f>(Données!L140/Données!Y140)*1</f>
        <v>711845.4</v>
      </c>
      <c r="P140" s="450">
        <f t="shared" si="8"/>
        <v>8464161.25</v>
      </c>
      <c r="Q140" s="238">
        <f>+Données!X140</f>
        <v>55</v>
      </c>
      <c r="R140" s="450">
        <f t="shared" si="9"/>
        <v>153893.84090909091</v>
      </c>
    </row>
    <row r="141" spans="1:18" x14ac:dyDescent="0.25">
      <c r="A141" s="7">
        <f>Données!A141</f>
        <v>5639</v>
      </c>
      <c r="B141" s="27" t="str">
        <f>Données!B141</f>
        <v>Lully</v>
      </c>
      <c r="C141" s="8">
        <f>Données!C141+Données!D141</f>
        <v>2887344.6399999997</v>
      </c>
      <c r="D141" s="8">
        <f>+Données!G141+Données!H141+Données!S141</f>
        <v>71948.070000000007</v>
      </c>
      <c r="E141" s="8">
        <f>+Données!E141</f>
        <v>0</v>
      </c>
      <c r="F141" s="8">
        <f>+Données!I141</f>
        <v>0</v>
      </c>
      <c r="G141" s="8">
        <f>+Données!J141</f>
        <v>17788.330000000002</v>
      </c>
      <c r="H141" s="8">
        <f>Données!U141</f>
        <v>-3344.64</v>
      </c>
      <c r="I141" s="213">
        <f>Données!V141</f>
        <v>0</v>
      </c>
      <c r="J141" s="213">
        <f>Données!W141</f>
        <v>-1876.2</v>
      </c>
      <c r="K141" s="8">
        <f>+Données!Q141</f>
        <v>415.77</v>
      </c>
      <c r="L141" s="450">
        <f t="shared" si="7"/>
        <v>2972275.9699999993</v>
      </c>
      <c r="M141" s="8">
        <f>+Données!F141</f>
        <v>0</v>
      </c>
      <c r="N141" s="8">
        <f>+Données!K141</f>
        <v>2807.35</v>
      </c>
      <c r="O141" s="8">
        <f>(Données!L141/Données!Y141)*1</f>
        <v>211689.24</v>
      </c>
      <c r="P141" s="450">
        <f t="shared" si="8"/>
        <v>3186772.5599999996</v>
      </c>
      <c r="Q141" s="238">
        <f>+Données!X141</f>
        <v>61</v>
      </c>
      <c r="R141" s="450">
        <f t="shared" si="9"/>
        <v>52242.173114754092</v>
      </c>
    </row>
    <row r="142" spans="1:18" x14ac:dyDescent="0.25">
      <c r="A142" s="7">
        <f>Données!A142</f>
        <v>5640</v>
      </c>
      <c r="B142" s="27" t="str">
        <f>Données!B142</f>
        <v>Lussy-sur-Morges</v>
      </c>
      <c r="C142" s="8">
        <f>Données!C142+Données!D142</f>
        <v>3245280.63</v>
      </c>
      <c r="D142" s="8">
        <f>+Données!G142+Données!H142+Données!S142</f>
        <v>76617.420000000013</v>
      </c>
      <c r="E142" s="8">
        <f>+Données!E142</f>
        <v>0</v>
      </c>
      <c r="F142" s="8">
        <f>+Données!I142</f>
        <v>104668.49</v>
      </c>
      <c r="G142" s="8">
        <f>+Données!J142</f>
        <v>74315.009999999995</v>
      </c>
      <c r="H142" s="8">
        <f>Données!U142</f>
        <v>-4352.1499999999996</v>
      </c>
      <c r="I142" s="213">
        <f>Données!V142</f>
        <v>0</v>
      </c>
      <c r="J142" s="213">
        <f>Données!W142</f>
        <v>-6689.35</v>
      </c>
      <c r="K142" s="8">
        <f>+Données!Q142</f>
        <v>5572.33</v>
      </c>
      <c r="L142" s="450">
        <f t="shared" si="7"/>
        <v>3495412.38</v>
      </c>
      <c r="M142" s="8">
        <f>+Données!F142</f>
        <v>0</v>
      </c>
      <c r="N142" s="8">
        <f>+Données!K142</f>
        <v>10925.25</v>
      </c>
      <c r="O142" s="8">
        <f>(Données!L142/Données!Y142)*1</f>
        <v>219923.65</v>
      </c>
      <c r="P142" s="450">
        <f t="shared" si="8"/>
        <v>3726261.28</v>
      </c>
      <c r="Q142" s="238">
        <f>+Données!X142</f>
        <v>64.5</v>
      </c>
      <c r="R142" s="450">
        <f t="shared" si="9"/>
        <v>57771.49271317829</v>
      </c>
    </row>
    <row r="143" spans="1:18" x14ac:dyDescent="0.25">
      <c r="A143" s="7">
        <f>Données!A143</f>
        <v>5642</v>
      </c>
      <c r="B143" s="27" t="str">
        <f>Données!B143</f>
        <v>Morges</v>
      </c>
      <c r="C143" s="8">
        <f>Données!C143+Données!D143</f>
        <v>46347955.920000002</v>
      </c>
      <c r="D143" s="8">
        <f>+Données!G143+Données!H143+Données!S143</f>
        <v>13166570.049999999</v>
      </c>
      <c r="E143" s="8">
        <f>+Données!E143</f>
        <v>0</v>
      </c>
      <c r="F143" s="8">
        <f>+Données!I143</f>
        <v>266429.24</v>
      </c>
      <c r="G143" s="8">
        <f>+Données!J143</f>
        <v>2400215.56</v>
      </c>
      <c r="H143" s="8">
        <f>Données!U143</f>
        <v>-609512.84</v>
      </c>
      <c r="I143" s="213">
        <f>Données!V143</f>
        <v>0</v>
      </c>
      <c r="J143" s="213">
        <f>Données!W143</f>
        <v>-40416.22</v>
      </c>
      <c r="K143" s="8">
        <f>+Données!Q143</f>
        <v>120064.25</v>
      </c>
      <c r="L143" s="450">
        <f t="shared" si="7"/>
        <v>61651305.960000001</v>
      </c>
      <c r="M143" s="8">
        <f>+Données!F143</f>
        <v>0</v>
      </c>
      <c r="N143" s="8">
        <f>+Données!K143</f>
        <v>527538.19999999995</v>
      </c>
      <c r="O143" s="8">
        <f>(Données!L143/Données!Y143)*1</f>
        <v>3517820.55</v>
      </c>
      <c r="P143" s="450">
        <f t="shared" si="8"/>
        <v>65696664.710000001</v>
      </c>
      <c r="Q143" s="238">
        <f>+Données!X143</f>
        <v>67</v>
      </c>
      <c r="R143" s="450">
        <f t="shared" si="9"/>
        <v>980547.23447761196</v>
      </c>
    </row>
    <row r="144" spans="1:18" x14ac:dyDescent="0.25">
      <c r="A144" s="7">
        <f>Données!A144</f>
        <v>5643</v>
      </c>
      <c r="B144" s="27" t="str">
        <f>Données!B144</f>
        <v>Préverenges</v>
      </c>
      <c r="C144" s="8">
        <f>Données!C144+Données!D144</f>
        <v>13427367.569999998</v>
      </c>
      <c r="D144" s="8">
        <f>+Données!G144+Données!H144+Données!S144</f>
        <v>488463.64</v>
      </c>
      <c r="E144" s="8">
        <f>+Données!E144</f>
        <v>0</v>
      </c>
      <c r="F144" s="8">
        <f>+Données!I144</f>
        <v>358963.77</v>
      </c>
      <c r="G144" s="8">
        <f>+Données!J144</f>
        <v>412475.28</v>
      </c>
      <c r="H144" s="8">
        <f>Données!U144</f>
        <v>-132251.26999999999</v>
      </c>
      <c r="I144" s="213">
        <f>Données!V144</f>
        <v>0</v>
      </c>
      <c r="J144" s="213">
        <f>Données!W144</f>
        <v>-40065.440000000002</v>
      </c>
      <c r="K144" s="8">
        <f>+Données!Q144</f>
        <v>10506.74</v>
      </c>
      <c r="L144" s="450">
        <f t="shared" si="7"/>
        <v>14525460.289999999</v>
      </c>
      <c r="M144" s="8">
        <f>+Données!F144</f>
        <v>0</v>
      </c>
      <c r="N144" s="8">
        <f>+Données!K144</f>
        <v>108863.1</v>
      </c>
      <c r="O144" s="8">
        <f>(Données!L144/Données!Y144)*1</f>
        <v>1160950.95</v>
      </c>
      <c r="P144" s="450">
        <f t="shared" si="8"/>
        <v>15795274.339999998</v>
      </c>
      <c r="Q144" s="238">
        <f>+Données!X144</f>
        <v>62.5</v>
      </c>
      <c r="R144" s="450">
        <f t="shared" si="9"/>
        <v>252724.38943999997</v>
      </c>
    </row>
    <row r="145" spans="1:18" x14ac:dyDescent="0.25">
      <c r="A145" s="7">
        <f>Données!A145</f>
        <v>5645</v>
      </c>
      <c r="B145" s="27" t="str">
        <f>Données!B145</f>
        <v>Romanel-sur-Morges</v>
      </c>
      <c r="C145" s="8">
        <f>Données!C145+Données!D145</f>
        <v>1086034.58</v>
      </c>
      <c r="D145" s="8">
        <f>+Données!G145+Données!H145+Données!S145</f>
        <v>81646.460000000006</v>
      </c>
      <c r="E145" s="8">
        <f>+Données!E145</f>
        <v>0</v>
      </c>
      <c r="F145" s="8">
        <f>+Données!I145</f>
        <v>0</v>
      </c>
      <c r="G145" s="8">
        <f>+Données!J145</f>
        <v>-12613.84</v>
      </c>
      <c r="H145" s="8">
        <f>Données!U145</f>
        <v>-7648.22</v>
      </c>
      <c r="I145" s="213">
        <f>Données!V145</f>
        <v>0</v>
      </c>
      <c r="J145" s="213">
        <f>Données!W145</f>
        <v>-667.21</v>
      </c>
      <c r="K145" s="8">
        <f>+Données!Q145</f>
        <v>60.08</v>
      </c>
      <c r="L145" s="450">
        <f t="shared" si="7"/>
        <v>1146811.8500000001</v>
      </c>
      <c r="M145" s="8">
        <f>+Données!F145</f>
        <v>0</v>
      </c>
      <c r="N145" s="8">
        <f>+Données!K145</f>
        <v>21580.5</v>
      </c>
      <c r="O145" s="8">
        <f>(Données!L145/Données!Y145)*1</f>
        <v>162671.5</v>
      </c>
      <c r="P145" s="450">
        <f t="shared" si="8"/>
        <v>1331063.8500000001</v>
      </c>
      <c r="Q145" s="238">
        <f>+Données!X145</f>
        <v>56</v>
      </c>
      <c r="R145" s="450">
        <f t="shared" si="9"/>
        <v>23768.997321428575</v>
      </c>
    </row>
    <row r="146" spans="1:18" x14ac:dyDescent="0.25">
      <c r="A146" s="7">
        <f>Données!A146</f>
        <v>5646</v>
      </c>
      <c r="B146" s="27" t="str">
        <f>Données!B146</f>
        <v>Saint-Prex</v>
      </c>
      <c r="C146" s="8">
        <f>Données!C146+Données!D146</f>
        <v>17459212.149999999</v>
      </c>
      <c r="D146" s="8">
        <f>+Données!G146+Données!H146+Données!S146</f>
        <v>10244211.67</v>
      </c>
      <c r="E146" s="8">
        <f>+Données!E146</f>
        <v>0</v>
      </c>
      <c r="F146" s="8">
        <f>+Données!I146</f>
        <v>675909.13</v>
      </c>
      <c r="G146" s="8">
        <f>+Données!J146</f>
        <v>328610.83</v>
      </c>
      <c r="H146" s="8">
        <f>Données!U146</f>
        <v>-171672.91</v>
      </c>
      <c r="I146" s="213">
        <f>Données!V146</f>
        <v>0</v>
      </c>
      <c r="J146" s="213">
        <f>Données!W146</f>
        <v>-22144.55</v>
      </c>
      <c r="K146" s="8">
        <f>+Données!Q146</f>
        <v>19039.990000000002</v>
      </c>
      <c r="L146" s="450">
        <f t="shared" si="7"/>
        <v>28533166.309999995</v>
      </c>
      <c r="M146" s="8">
        <f>+Données!F146</f>
        <v>0</v>
      </c>
      <c r="N146" s="8">
        <f>+Données!K146</f>
        <v>162060.35</v>
      </c>
      <c r="O146" s="8">
        <f>(Données!L146/Données!Y146)*1</f>
        <v>1723890.875</v>
      </c>
      <c r="P146" s="450">
        <f t="shared" si="8"/>
        <v>30419117.534999996</v>
      </c>
      <c r="Q146" s="238">
        <f>+Données!X146</f>
        <v>59</v>
      </c>
      <c r="R146" s="450">
        <f t="shared" si="9"/>
        <v>515578.26330508466</v>
      </c>
    </row>
    <row r="147" spans="1:18" x14ac:dyDescent="0.25">
      <c r="A147" s="7">
        <f>Données!A147</f>
        <v>5648</v>
      </c>
      <c r="B147" s="27" t="str">
        <f>Données!B147</f>
        <v>Saint-Sulpice</v>
      </c>
      <c r="C147" s="8">
        <f>Données!C147+Données!D147</f>
        <v>19127148.02</v>
      </c>
      <c r="D147" s="8">
        <f>+Données!G147+Données!H147+Données!S147</f>
        <v>937404.39</v>
      </c>
      <c r="E147" s="8">
        <f>+Données!E147</f>
        <v>0</v>
      </c>
      <c r="F147" s="8">
        <f>+Données!I147</f>
        <v>246593.19</v>
      </c>
      <c r="G147" s="8">
        <f>+Données!J147</f>
        <v>839949.43</v>
      </c>
      <c r="H147" s="8">
        <f>Données!U147</f>
        <v>-184047.47</v>
      </c>
      <c r="I147" s="213">
        <f>Données!V147</f>
        <v>0</v>
      </c>
      <c r="J147" s="213">
        <f>Données!W147</f>
        <v>-131761.34</v>
      </c>
      <c r="K147" s="8">
        <f>+Données!Q147</f>
        <v>28144.13</v>
      </c>
      <c r="L147" s="450">
        <f t="shared" si="7"/>
        <v>20863430.350000001</v>
      </c>
      <c r="M147" s="8">
        <f>+Données!F147</f>
        <v>0</v>
      </c>
      <c r="N147" s="8">
        <f>+Données!K147</f>
        <v>235136.3</v>
      </c>
      <c r="O147" s="8">
        <f>(Données!L147/Données!Y147)*1</f>
        <v>1838657.8625</v>
      </c>
      <c r="P147" s="450">
        <f t="shared" si="8"/>
        <v>22937224.512500003</v>
      </c>
      <c r="Q147" s="238">
        <f>+Données!X147</f>
        <v>55</v>
      </c>
      <c r="R147" s="450">
        <f t="shared" si="9"/>
        <v>417040.44568181824</v>
      </c>
    </row>
    <row r="148" spans="1:18" x14ac:dyDescent="0.25">
      <c r="A148" s="7">
        <f>Données!A148</f>
        <v>5649</v>
      </c>
      <c r="B148" s="27" t="str">
        <f>Données!B148</f>
        <v>Tolochenaz</v>
      </c>
      <c r="C148" s="8">
        <f>Données!C148+Données!D148</f>
        <v>4462137.25</v>
      </c>
      <c r="D148" s="8">
        <f>+Données!G148+Données!H148+Données!S148</f>
        <v>5479487.580000001</v>
      </c>
      <c r="E148" s="8">
        <f>+Données!E148</f>
        <v>0</v>
      </c>
      <c r="F148" s="8">
        <f>+Données!I148</f>
        <v>58975.95</v>
      </c>
      <c r="G148" s="8">
        <f>+Données!J148</f>
        <v>526595.52</v>
      </c>
      <c r="H148" s="8">
        <f>Données!U148</f>
        <v>-62186.33</v>
      </c>
      <c r="I148" s="213">
        <f>Données!V148</f>
        <v>0</v>
      </c>
      <c r="J148" s="213">
        <f>Données!W148</f>
        <v>-4216.2700000000004</v>
      </c>
      <c r="K148" s="8">
        <f>+Données!Q148</f>
        <v>5469.7</v>
      </c>
      <c r="L148" s="450">
        <f t="shared" si="7"/>
        <v>10466263.4</v>
      </c>
      <c r="M148" s="8">
        <f>+Données!F148</f>
        <v>0</v>
      </c>
      <c r="N148" s="8">
        <f>+Données!K148</f>
        <v>58417.15</v>
      </c>
      <c r="O148" s="8">
        <f>(Données!L148/Données!Y148)*1</f>
        <v>577018.80000000005</v>
      </c>
      <c r="P148" s="450">
        <f t="shared" si="8"/>
        <v>11101699.350000001</v>
      </c>
      <c r="Q148" s="238">
        <f>+Données!X148</f>
        <v>64</v>
      </c>
      <c r="R148" s="450">
        <f t="shared" si="9"/>
        <v>173464.05234375002</v>
      </c>
    </row>
    <row r="149" spans="1:18" x14ac:dyDescent="0.25">
      <c r="A149" s="7">
        <f>Données!A149</f>
        <v>5650</v>
      </c>
      <c r="B149" s="27" t="str">
        <f>Données!B149</f>
        <v>Vaux-sur-Morges</v>
      </c>
      <c r="C149" s="8">
        <f>Données!C149+Données!D149</f>
        <v>5011849.93</v>
      </c>
      <c r="D149" s="8">
        <f>+Données!G149+Données!H149+Données!S149</f>
        <v>9257.5800000000017</v>
      </c>
      <c r="E149" s="8">
        <f>+Données!E149</f>
        <v>0</v>
      </c>
      <c r="F149" s="8">
        <f>+Données!I149</f>
        <v>0</v>
      </c>
      <c r="G149" s="8">
        <f>+Données!J149</f>
        <v>-4147.5600000000004</v>
      </c>
      <c r="H149" s="8">
        <f>Données!U149</f>
        <v>-0.02</v>
      </c>
      <c r="I149" s="213">
        <f>Données!V149</f>
        <v>0</v>
      </c>
      <c r="J149" s="213">
        <f>Données!W149</f>
        <v>-435.55</v>
      </c>
      <c r="K149" s="8">
        <f>+Données!Q149</f>
        <v>0</v>
      </c>
      <c r="L149" s="450">
        <f t="shared" si="7"/>
        <v>5016524.3800000008</v>
      </c>
      <c r="M149" s="8">
        <f>+Données!F149</f>
        <v>0</v>
      </c>
      <c r="N149" s="8">
        <f>+Données!K149</f>
        <v>0</v>
      </c>
      <c r="O149" s="8">
        <f>(Données!L149/Données!Y149)*1</f>
        <v>46316</v>
      </c>
      <c r="P149" s="450">
        <f t="shared" si="8"/>
        <v>5062840.3800000008</v>
      </c>
      <c r="Q149" s="238">
        <f>+Données!X149</f>
        <v>56</v>
      </c>
      <c r="R149" s="450">
        <f t="shared" si="9"/>
        <v>90407.863928571445</v>
      </c>
    </row>
    <row r="150" spans="1:18" x14ac:dyDescent="0.25">
      <c r="A150" s="7">
        <f>Données!A150</f>
        <v>5651</v>
      </c>
      <c r="B150" s="27" t="str">
        <f>Données!B150</f>
        <v>Villars-Sainte-Croix</v>
      </c>
      <c r="C150" s="8">
        <f>Données!C150+Données!D150</f>
        <v>2427255.2600000002</v>
      </c>
      <c r="D150" s="8">
        <f>+Données!G150+Données!H150+Données!S150</f>
        <v>614025.22</v>
      </c>
      <c r="E150" s="8">
        <f>+Données!E150</f>
        <v>0</v>
      </c>
      <c r="F150" s="8">
        <f>+Données!I150</f>
        <v>0</v>
      </c>
      <c r="G150" s="8">
        <f>+Données!J150</f>
        <v>59028.82</v>
      </c>
      <c r="H150" s="8">
        <f>Données!U150</f>
        <v>-433097.85</v>
      </c>
      <c r="I150" s="213">
        <f>Données!V150</f>
        <v>0</v>
      </c>
      <c r="J150" s="213">
        <f>Données!W150</f>
        <v>-943.98</v>
      </c>
      <c r="K150" s="8">
        <f>+Données!Q150</f>
        <v>341300.04</v>
      </c>
      <c r="L150" s="450">
        <f t="shared" si="7"/>
        <v>3007567.5100000002</v>
      </c>
      <c r="M150" s="8">
        <f>+Données!F150</f>
        <v>0</v>
      </c>
      <c r="N150" s="8">
        <f>+Données!K150</f>
        <v>3066.7</v>
      </c>
      <c r="O150" s="8">
        <f>(Données!L150/Données!Y150)*1</f>
        <v>377858.7</v>
      </c>
      <c r="P150" s="450">
        <f t="shared" si="8"/>
        <v>3388492.9100000006</v>
      </c>
      <c r="Q150" s="238">
        <f>+Données!X150</f>
        <v>60.5</v>
      </c>
      <c r="R150" s="450">
        <f t="shared" si="9"/>
        <v>56008.147272727285</v>
      </c>
    </row>
    <row r="151" spans="1:18" x14ac:dyDescent="0.25">
      <c r="A151" s="7">
        <f>Données!A151</f>
        <v>5652</v>
      </c>
      <c r="B151" s="27" t="str">
        <f>Données!B151</f>
        <v>Villars-sous-Yens</v>
      </c>
      <c r="C151" s="8">
        <f>Données!C151+Données!D151</f>
        <v>1823192.0499999998</v>
      </c>
      <c r="D151" s="8">
        <f>+Données!G151+Données!H151+Données!S151</f>
        <v>9149.39</v>
      </c>
      <c r="E151" s="8">
        <f>+Données!E151</f>
        <v>0</v>
      </c>
      <c r="F151" s="8">
        <f>+Données!I151</f>
        <v>0</v>
      </c>
      <c r="G151" s="8">
        <f>+Données!J151</f>
        <v>41549.61</v>
      </c>
      <c r="H151" s="8">
        <f>Données!U151</f>
        <v>-17013.669999999998</v>
      </c>
      <c r="I151" s="213">
        <f>Données!V151</f>
        <v>0</v>
      </c>
      <c r="J151" s="213">
        <f>Données!W151</f>
        <v>-2458.98</v>
      </c>
      <c r="K151" s="8">
        <f>+Données!Q151</f>
        <v>697.31</v>
      </c>
      <c r="L151" s="450">
        <f t="shared" si="7"/>
        <v>1855115.71</v>
      </c>
      <c r="M151" s="8">
        <f>+Données!F151</f>
        <v>0</v>
      </c>
      <c r="N151" s="8">
        <f>+Données!K151</f>
        <v>854.15</v>
      </c>
      <c r="O151" s="8">
        <f>(Données!L151/Données!Y151)*1</f>
        <v>116778.29166666669</v>
      </c>
      <c r="P151" s="450">
        <f t="shared" si="8"/>
        <v>1972748.1516666666</v>
      </c>
      <c r="Q151" s="238">
        <f>+Données!X151</f>
        <v>76</v>
      </c>
      <c r="R151" s="450">
        <f t="shared" si="9"/>
        <v>25957.212521929825</v>
      </c>
    </row>
    <row r="152" spans="1:18" x14ac:dyDescent="0.25">
      <c r="A152" s="7">
        <f>Données!A152</f>
        <v>5653</v>
      </c>
      <c r="B152" s="27" t="str">
        <f>Données!B152</f>
        <v>Vufflens-le-Château</v>
      </c>
      <c r="C152" s="8">
        <f>Données!C152+Données!D152</f>
        <v>3739330.83</v>
      </c>
      <c r="D152" s="8">
        <f>+Données!G152+Données!H152+Données!S152</f>
        <v>35510.06</v>
      </c>
      <c r="E152" s="8">
        <f>+Données!E152</f>
        <v>0</v>
      </c>
      <c r="F152" s="8">
        <f>+Données!I152</f>
        <v>154696.4</v>
      </c>
      <c r="G152" s="8">
        <f>+Données!J152</f>
        <v>15596.85</v>
      </c>
      <c r="H152" s="8">
        <f>Données!U152</f>
        <v>-406.57</v>
      </c>
      <c r="I152" s="213">
        <f>Données!V152</f>
        <v>0</v>
      </c>
      <c r="J152" s="213">
        <f>Données!W152</f>
        <v>-25790.98</v>
      </c>
      <c r="K152" s="8">
        <f>+Données!Q152</f>
        <v>133.04</v>
      </c>
      <c r="L152" s="450">
        <f t="shared" si="7"/>
        <v>3919069.6300000004</v>
      </c>
      <c r="M152" s="8">
        <f>+Données!F152</f>
        <v>0</v>
      </c>
      <c r="N152" s="8">
        <f>+Données!K152</f>
        <v>-15452.85</v>
      </c>
      <c r="O152" s="8">
        <f>(Données!L152/Données!Y152)*1</f>
        <v>268356.25</v>
      </c>
      <c r="P152" s="450">
        <f t="shared" si="8"/>
        <v>4171973.0300000003</v>
      </c>
      <c r="Q152" s="238">
        <f>+Données!X152</f>
        <v>58.5</v>
      </c>
      <c r="R152" s="450">
        <f t="shared" si="9"/>
        <v>71315.778290598289</v>
      </c>
    </row>
    <row r="153" spans="1:18" x14ac:dyDescent="0.25">
      <c r="A153" s="7">
        <f>Données!A153</f>
        <v>5654</v>
      </c>
      <c r="B153" s="27" t="str">
        <f>Données!B153</f>
        <v>Vullierens</v>
      </c>
      <c r="C153" s="8">
        <f>Données!C153+Données!D153</f>
        <v>1427354.16</v>
      </c>
      <c r="D153" s="8">
        <f>+Données!G153+Données!H153+Données!S153</f>
        <v>16386.66</v>
      </c>
      <c r="E153" s="8">
        <f>+Données!E153</f>
        <v>0</v>
      </c>
      <c r="F153" s="8">
        <f>+Données!I153</f>
        <v>0</v>
      </c>
      <c r="G153" s="8">
        <f>+Données!J153</f>
        <v>25957.38</v>
      </c>
      <c r="H153" s="8">
        <f>Données!U153</f>
        <v>-10079.64</v>
      </c>
      <c r="I153" s="213">
        <f>Données!V153</f>
        <v>0</v>
      </c>
      <c r="J153" s="213">
        <f>Données!W153</f>
        <v>-315.85000000000002</v>
      </c>
      <c r="K153" s="8">
        <f>+Données!Q153</f>
        <v>0</v>
      </c>
      <c r="L153" s="450">
        <f t="shared" si="7"/>
        <v>1459302.7099999997</v>
      </c>
      <c r="M153" s="8">
        <f>+Données!F153</f>
        <v>0</v>
      </c>
      <c r="N153" s="8">
        <f>+Données!K153</f>
        <v>1821.5</v>
      </c>
      <c r="O153" s="8">
        <f>(Données!L153/Données!Y153)*1</f>
        <v>115215.45</v>
      </c>
      <c r="P153" s="450">
        <f t="shared" si="8"/>
        <v>1576339.6599999997</v>
      </c>
      <c r="Q153" s="238">
        <f>+Données!X153</f>
        <v>76</v>
      </c>
      <c r="R153" s="450">
        <f t="shared" si="9"/>
        <v>20741.31131578947</v>
      </c>
    </row>
    <row r="154" spans="1:18" x14ac:dyDescent="0.25">
      <c r="A154" s="7">
        <f>Données!A154</f>
        <v>5655</v>
      </c>
      <c r="B154" s="27" t="str">
        <f>Données!B154</f>
        <v>Yens</v>
      </c>
      <c r="C154" s="8">
        <f>Données!C154+Données!D154</f>
        <v>5227833.88</v>
      </c>
      <c r="D154" s="8">
        <f>+Données!G154+Données!H154+Données!S154</f>
        <v>71363.790000000008</v>
      </c>
      <c r="E154" s="8">
        <f>+Données!E154</f>
        <v>0</v>
      </c>
      <c r="F154" s="8">
        <f>+Données!I154</f>
        <v>66010.45</v>
      </c>
      <c r="G154" s="8">
        <f>+Données!J154</f>
        <v>68413.63</v>
      </c>
      <c r="H154" s="8">
        <f>Données!U154</f>
        <v>-57546.9</v>
      </c>
      <c r="I154" s="213">
        <f>Données!V154</f>
        <v>0</v>
      </c>
      <c r="J154" s="213">
        <f>Données!W154</f>
        <v>-4584.29</v>
      </c>
      <c r="K154" s="8">
        <f>+Données!Q154</f>
        <v>-1151.07</v>
      </c>
      <c r="L154" s="450">
        <f t="shared" si="7"/>
        <v>5370339.4899999993</v>
      </c>
      <c r="M154" s="8">
        <f>+Données!F154</f>
        <v>0</v>
      </c>
      <c r="N154" s="8">
        <f>+Données!K154</f>
        <v>11954.3</v>
      </c>
      <c r="O154" s="8">
        <f>(Données!L154/Données!Y154)*1</f>
        <v>444149</v>
      </c>
      <c r="P154" s="450">
        <f t="shared" si="8"/>
        <v>5826442.7899999991</v>
      </c>
      <c r="Q154" s="238">
        <f>+Données!X154</f>
        <v>71.5</v>
      </c>
      <c r="R154" s="450">
        <f t="shared" si="9"/>
        <v>81488.710349650341</v>
      </c>
    </row>
    <row r="155" spans="1:18" x14ac:dyDescent="0.25">
      <c r="A155" s="7">
        <f>Données!A155</f>
        <v>5656</v>
      </c>
      <c r="B155" s="27" t="str">
        <f>Données!B155</f>
        <v>Hautemorges</v>
      </c>
      <c r="C155" s="8">
        <f>Données!C155+Données!D155</f>
        <v>10791305.289999999</v>
      </c>
      <c r="D155" s="8">
        <f>+Données!G155+Données!H155+Données!S155</f>
        <v>327951.70999999996</v>
      </c>
      <c r="E155" s="8">
        <f>+Données!E155</f>
        <v>0</v>
      </c>
      <c r="F155" s="8">
        <f>+Données!I155</f>
        <v>113352.09</v>
      </c>
      <c r="G155" s="8">
        <f>+Données!J155</f>
        <v>249232.87</v>
      </c>
      <c r="H155" s="8">
        <f>Données!U155</f>
        <v>-155731.18</v>
      </c>
      <c r="I155" s="213">
        <f>Données!V155</f>
        <v>0</v>
      </c>
      <c r="J155" s="213">
        <f>Données!W155</f>
        <v>-13161.42</v>
      </c>
      <c r="K155" s="8">
        <f>+Données!Q155</f>
        <v>19360.830000000002</v>
      </c>
      <c r="L155" s="450">
        <f t="shared" si="7"/>
        <v>11332310.189999999</v>
      </c>
      <c r="M155" s="8">
        <f>+Données!F155</f>
        <v>0</v>
      </c>
      <c r="N155" s="8">
        <f>+Données!K155</f>
        <v>29945.5</v>
      </c>
      <c r="O155" s="8">
        <f>(Données!L155/Données!Y155)*1</f>
        <v>885531.1</v>
      </c>
      <c r="P155" s="450">
        <f t="shared" si="8"/>
        <v>12247786.789999999</v>
      </c>
      <c r="Q155" s="238">
        <f>+Données!X155</f>
        <v>72.5</v>
      </c>
      <c r="R155" s="450">
        <f t="shared" si="9"/>
        <v>168934.99020689653</v>
      </c>
    </row>
    <row r="156" spans="1:18" x14ac:dyDescent="0.25">
      <c r="A156" s="7">
        <f>Données!A156</f>
        <v>5661</v>
      </c>
      <c r="B156" s="27" t="str">
        <f>Données!B156</f>
        <v>Boulens</v>
      </c>
      <c r="C156" s="8">
        <f>Données!C156+Données!D156</f>
        <v>719179.04</v>
      </c>
      <c r="D156" s="8">
        <f>+Données!G156+Données!H156+Données!S156</f>
        <v>10131.85</v>
      </c>
      <c r="E156" s="8">
        <f>+Données!E156</f>
        <v>0</v>
      </c>
      <c r="F156" s="8">
        <f>+Données!I156</f>
        <v>0</v>
      </c>
      <c r="G156" s="8">
        <f>+Données!J156</f>
        <v>13189.56</v>
      </c>
      <c r="H156" s="8">
        <f>Données!U156</f>
        <v>-15944.9</v>
      </c>
      <c r="I156" s="213">
        <f>Données!V156</f>
        <v>0</v>
      </c>
      <c r="J156" s="213">
        <f>Données!W156</f>
        <v>0</v>
      </c>
      <c r="K156" s="8">
        <f>+Données!Q156</f>
        <v>0</v>
      </c>
      <c r="L156" s="450">
        <f t="shared" si="7"/>
        <v>726555.55</v>
      </c>
      <c r="M156" s="8">
        <f>+Données!F156</f>
        <v>0</v>
      </c>
      <c r="N156" s="8">
        <f>+Données!K156</f>
        <v>555</v>
      </c>
      <c r="O156" s="8">
        <f>(Données!L156/Données!Y156)*1</f>
        <v>60017</v>
      </c>
      <c r="P156" s="450">
        <f t="shared" si="8"/>
        <v>787127.55</v>
      </c>
      <c r="Q156" s="238">
        <f>+Données!X156</f>
        <v>71.5</v>
      </c>
      <c r="R156" s="450">
        <f t="shared" si="9"/>
        <v>11008.776923076925</v>
      </c>
    </row>
    <row r="157" spans="1:18" x14ac:dyDescent="0.25">
      <c r="A157" s="7">
        <f>Données!A157</f>
        <v>5663</v>
      </c>
      <c r="B157" s="27" t="str">
        <f>Données!B157</f>
        <v>Bussy-sur-Moudon</v>
      </c>
      <c r="C157" s="8">
        <f>Données!C157+Données!D157</f>
        <v>464602.37</v>
      </c>
      <c r="D157" s="8">
        <f>+Données!G157+Données!H157+Données!S157</f>
        <v>-2463.4299999999998</v>
      </c>
      <c r="E157" s="8">
        <f>+Données!E157</f>
        <v>0</v>
      </c>
      <c r="F157" s="8">
        <f>+Données!I157</f>
        <v>0</v>
      </c>
      <c r="G157" s="8">
        <f>+Données!J157</f>
        <v>7475.8</v>
      </c>
      <c r="H157" s="8">
        <f>Données!U157</f>
        <v>-10255.459999999999</v>
      </c>
      <c r="I157" s="213">
        <f>Données!V157</f>
        <v>0</v>
      </c>
      <c r="J157" s="213">
        <f>Données!W157</f>
        <v>0</v>
      </c>
      <c r="K157" s="8">
        <f>+Données!Q157</f>
        <v>12732.51</v>
      </c>
      <c r="L157" s="450">
        <f t="shared" si="7"/>
        <v>472091.79</v>
      </c>
      <c r="M157" s="8">
        <f>+Données!F157</f>
        <v>1330</v>
      </c>
      <c r="N157" s="8">
        <f>+Données!K157</f>
        <v>325.2</v>
      </c>
      <c r="O157" s="8">
        <f>(Données!L157/Données!Y157)*1</f>
        <v>33423.15</v>
      </c>
      <c r="P157" s="450">
        <f t="shared" si="8"/>
        <v>507170.14</v>
      </c>
      <c r="Q157" s="238">
        <f>+Données!X157</f>
        <v>78.5</v>
      </c>
      <c r="R157" s="450">
        <f t="shared" si="9"/>
        <v>6460.7661146496821</v>
      </c>
    </row>
    <row r="158" spans="1:18" x14ac:dyDescent="0.25">
      <c r="A158" s="7">
        <f>Données!A158</f>
        <v>5665</v>
      </c>
      <c r="B158" s="27" t="str">
        <f>Données!B158</f>
        <v>Chavannes-sur-Moudon</v>
      </c>
      <c r="C158" s="8">
        <f>Données!C158+Données!D158</f>
        <v>363744.81</v>
      </c>
      <c r="D158" s="8">
        <f>+Données!G158+Données!H158+Données!S158</f>
        <v>3674.96</v>
      </c>
      <c r="E158" s="8">
        <f>+Données!E158</f>
        <v>0</v>
      </c>
      <c r="F158" s="8">
        <f>+Données!I158</f>
        <v>0</v>
      </c>
      <c r="G158" s="8">
        <f>+Données!J158</f>
        <v>9616.44</v>
      </c>
      <c r="H158" s="8">
        <f>Données!U158</f>
        <v>-717.74</v>
      </c>
      <c r="I158" s="213">
        <f>Données!V158</f>
        <v>0</v>
      </c>
      <c r="J158" s="213">
        <f>Données!W158</f>
        <v>0</v>
      </c>
      <c r="K158" s="8">
        <f>+Données!Q158</f>
        <v>120.89</v>
      </c>
      <c r="L158" s="450">
        <f t="shared" si="7"/>
        <v>376439.36000000004</v>
      </c>
      <c r="M158" s="8">
        <f>+Données!F158</f>
        <v>0</v>
      </c>
      <c r="N158" s="8">
        <f>+Données!K158</f>
        <v>54.5</v>
      </c>
      <c r="O158" s="8">
        <f>(Données!L158/Données!Y158)*1</f>
        <v>28565.4</v>
      </c>
      <c r="P158" s="450">
        <f t="shared" si="8"/>
        <v>405059.26000000007</v>
      </c>
      <c r="Q158" s="238">
        <f>+Données!X158</f>
        <v>70</v>
      </c>
      <c r="R158" s="450">
        <f t="shared" si="9"/>
        <v>5786.5608571428584</v>
      </c>
    </row>
    <row r="159" spans="1:18" x14ac:dyDescent="0.25">
      <c r="A159" s="7">
        <f>Données!A159</f>
        <v>5669</v>
      </c>
      <c r="B159" s="27" t="str">
        <f>Données!B159</f>
        <v>Curtilles</v>
      </c>
      <c r="C159" s="8">
        <f>Données!C159+Données!D159</f>
        <v>571182.61</v>
      </c>
      <c r="D159" s="8">
        <f>+Données!G159+Données!H159+Données!S159</f>
        <v>376.07999999999896</v>
      </c>
      <c r="E159" s="8">
        <f>+Données!E159</f>
        <v>0</v>
      </c>
      <c r="F159" s="8">
        <f>+Données!I159</f>
        <v>0</v>
      </c>
      <c r="G159" s="8">
        <f>+Données!J159</f>
        <v>2535.21</v>
      </c>
      <c r="H159" s="8">
        <f>Données!U159</f>
        <v>-7428.06</v>
      </c>
      <c r="I159" s="213">
        <f>Données!V159</f>
        <v>0</v>
      </c>
      <c r="J159" s="213">
        <f>Données!W159</f>
        <v>-84.3</v>
      </c>
      <c r="K159" s="8">
        <f>+Données!Q159</f>
        <v>0</v>
      </c>
      <c r="L159" s="450">
        <f t="shared" si="7"/>
        <v>566581.5399999998</v>
      </c>
      <c r="M159" s="8">
        <f>+Données!F159</f>
        <v>0</v>
      </c>
      <c r="N159" s="8">
        <f>+Données!K159</f>
        <v>255.7</v>
      </c>
      <c r="O159" s="8">
        <f>(Données!L159/Données!Y159)*1</f>
        <v>48408.800000000003</v>
      </c>
      <c r="P159" s="450">
        <f t="shared" si="8"/>
        <v>615246.0399999998</v>
      </c>
      <c r="Q159" s="238">
        <f>+Données!X159</f>
        <v>73</v>
      </c>
      <c r="R159" s="450">
        <f t="shared" si="9"/>
        <v>8428.0279452054765</v>
      </c>
    </row>
    <row r="160" spans="1:18" x14ac:dyDescent="0.25">
      <c r="A160" s="7">
        <f>Données!A160</f>
        <v>5671</v>
      </c>
      <c r="B160" s="27" t="str">
        <f>Données!B160</f>
        <v>Dompierre</v>
      </c>
      <c r="C160" s="8">
        <f>Données!C160+Données!D160</f>
        <v>481896</v>
      </c>
      <c r="D160" s="8">
        <f>+Données!G160+Données!H160+Données!S160</f>
        <v>6832.9699999999993</v>
      </c>
      <c r="E160" s="8">
        <f>+Données!E160</f>
        <v>0</v>
      </c>
      <c r="F160" s="8">
        <f>+Données!I160</f>
        <v>0</v>
      </c>
      <c r="G160" s="8">
        <f>+Données!J160</f>
        <v>4571.75</v>
      </c>
      <c r="H160" s="8">
        <f>Données!U160</f>
        <v>-9450.3799999999992</v>
      </c>
      <c r="I160" s="213">
        <f>Données!V160</f>
        <v>0</v>
      </c>
      <c r="J160" s="213">
        <f>Données!W160</f>
        <v>0</v>
      </c>
      <c r="K160" s="8">
        <f>+Données!Q160</f>
        <v>5400.68</v>
      </c>
      <c r="L160" s="450">
        <f t="shared" si="7"/>
        <v>489251.01999999996</v>
      </c>
      <c r="M160" s="8">
        <f>+Données!F160</f>
        <v>2150</v>
      </c>
      <c r="N160" s="8">
        <f>+Données!K160</f>
        <v>223.5</v>
      </c>
      <c r="O160" s="8">
        <f>(Données!L160/Données!Y160)*1</f>
        <v>34982.800000000003</v>
      </c>
      <c r="P160" s="450">
        <f t="shared" si="8"/>
        <v>526607.31999999995</v>
      </c>
      <c r="Q160" s="238">
        <f>+Données!X160</f>
        <v>78</v>
      </c>
      <c r="R160" s="450">
        <f t="shared" si="9"/>
        <v>6751.3758974358971</v>
      </c>
    </row>
    <row r="161" spans="1:18" x14ac:dyDescent="0.25">
      <c r="A161" s="7">
        <f>Données!A161</f>
        <v>5673</v>
      </c>
      <c r="B161" s="27" t="str">
        <f>Données!B161</f>
        <v>Hermenches</v>
      </c>
      <c r="C161" s="8">
        <f>Données!C161+Données!D161</f>
        <v>657331.81999999995</v>
      </c>
      <c r="D161" s="8">
        <f>+Données!G161+Données!H161+Données!S161</f>
        <v>5241.71</v>
      </c>
      <c r="E161" s="8">
        <f>+Données!E161</f>
        <v>0</v>
      </c>
      <c r="F161" s="8">
        <f>+Données!I161</f>
        <v>0</v>
      </c>
      <c r="G161" s="8">
        <f>+Données!J161</f>
        <v>-165.79</v>
      </c>
      <c r="H161" s="8">
        <f>Données!U161</f>
        <v>-5636.18</v>
      </c>
      <c r="I161" s="213">
        <f>Données!V161</f>
        <v>0</v>
      </c>
      <c r="J161" s="213">
        <f>Données!W161</f>
        <v>-74.55</v>
      </c>
      <c r="K161" s="8">
        <f>+Données!Q161</f>
        <v>2579.54</v>
      </c>
      <c r="L161" s="450">
        <f t="shared" si="7"/>
        <v>659276.54999999981</v>
      </c>
      <c r="M161" s="8">
        <f>+Données!F161</f>
        <v>2240</v>
      </c>
      <c r="N161" s="8">
        <f>+Données!K161</f>
        <v>408</v>
      </c>
      <c r="O161" s="8">
        <f>(Données!L161/Données!Y161)*1</f>
        <v>49188.5</v>
      </c>
      <c r="P161" s="450">
        <f t="shared" si="8"/>
        <v>711113.04999999981</v>
      </c>
      <c r="Q161" s="238">
        <f>+Données!X161</f>
        <v>73.5</v>
      </c>
      <c r="R161" s="450">
        <f t="shared" si="9"/>
        <v>9675.0074829931946</v>
      </c>
    </row>
    <row r="162" spans="1:18" x14ac:dyDescent="0.25">
      <c r="A162" s="7">
        <f>Données!A162</f>
        <v>5674</v>
      </c>
      <c r="B162" s="27" t="str">
        <f>Données!B162</f>
        <v>Lovatens</v>
      </c>
      <c r="C162" s="8">
        <f>Données!C162+Données!D162</f>
        <v>244740.93</v>
      </c>
      <c r="D162" s="8">
        <f>+Données!G162+Données!H162+Données!S162</f>
        <v>379.67</v>
      </c>
      <c r="E162" s="8">
        <f>+Données!E162</f>
        <v>0</v>
      </c>
      <c r="F162" s="8">
        <f>+Données!I162</f>
        <v>0</v>
      </c>
      <c r="G162" s="8">
        <f>+Données!J162</f>
        <v>122.21</v>
      </c>
      <c r="H162" s="8">
        <f>Données!U162</f>
        <v>-943.13</v>
      </c>
      <c r="I162" s="213">
        <f>Données!V162</f>
        <v>0</v>
      </c>
      <c r="J162" s="213">
        <f>Données!W162</f>
        <v>-137.80000000000001</v>
      </c>
      <c r="K162" s="8">
        <f>+Données!Q162</f>
        <v>0</v>
      </c>
      <c r="L162" s="450">
        <f t="shared" si="7"/>
        <v>244161.88</v>
      </c>
      <c r="M162" s="8">
        <f>+Données!F162</f>
        <v>0</v>
      </c>
      <c r="N162" s="8">
        <f>+Données!K162</f>
        <v>64.099999999999994</v>
      </c>
      <c r="O162" s="8">
        <f>(Données!L162/Données!Y162)*1</f>
        <v>21195</v>
      </c>
      <c r="P162" s="450">
        <f t="shared" si="8"/>
        <v>265420.98</v>
      </c>
      <c r="Q162" s="238">
        <f>+Données!X162</f>
        <v>75</v>
      </c>
      <c r="R162" s="450">
        <f t="shared" si="9"/>
        <v>3538.9463999999998</v>
      </c>
    </row>
    <row r="163" spans="1:18" x14ac:dyDescent="0.25">
      <c r="A163" s="7">
        <f>Données!A163</f>
        <v>5675</v>
      </c>
      <c r="B163" s="27" t="str">
        <f>Données!B163</f>
        <v>Lucens</v>
      </c>
      <c r="C163" s="8">
        <f>Données!C163+Données!D163</f>
        <v>5263050.57</v>
      </c>
      <c r="D163" s="8">
        <f>+Données!G163+Données!H163+Données!S163</f>
        <v>369752.04000000004</v>
      </c>
      <c r="E163" s="8">
        <f>+Données!E163</f>
        <v>0</v>
      </c>
      <c r="F163" s="8">
        <f>+Données!I163</f>
        <v>0</v>
      </c>
      <c r="G163" s="8">
        <f>+Données!J163</f>
        <v>280868.17</v>
      </c>
      <c r="H163" s="8">
        <f>Données!U163</f>
        <v>-227428.09</v>
      </c>
      <c r="I163" s="213">
        <f>Données!V163</f>
        <v>0</v>
      </c>
      <c r="J163" s="213">
        <f>Données!W163</f>
        <v>-1963.57</v>
      </c>
      <c r="K163" s="8">
        <f>+Données!Q163</f>
        <v>38604.35</v>
      </c>
      <c r="L163" s="450">
        <f t="shared" si="7"/>
        <v>5722883.4699999997</v>
      </c>
      <c r="M163" s="8">
        <f>+Données!F163</f>
        <v>0</v>
      </c>
      <c r="N163" s="8">
        <f>+Données!K163</f>
        <v>58545</v>
      </c>
      <c r="O163" s="8">
        <f>(Données!L163/Données!Y163)*1</f>
        <v>668436.90909090906</v>
      </c>
      <c r="P163" s="450">
        <f t="shared" si="8"/>
        <v>6449865.3790909089</v>
      </c>
      <c r="Q163" s="238">
        <f>+Données!X163</f>
        <v>69.5</v>
      </c>
      <c r="R163" s="450">
        <f t="shared" si="9"/>
        <v>92803.818404185746</v>
      </c>
    </row>
    <row r="164" spans="1:18" x14ac:dyDescent="0.25">
      <c r="A164" s="7">
        <f>Données!A164</f>
        <v>5678</v>
      </c>
      <c r="B164" s="27" t="str">
        <f>Données!B164</f>
        <v>Moudon</v>
      </c>
      <c r="C164" s="8">
        <f>Données!C164+Données!D164</f>
        <v>7413659.8900000006</v>
      </c>
      <c r="D164" s="8">
        <f>+Données!G164+Données!H164+Données!S164</f>
        <v>890358.32000000007</v>
      </c>
      <c r="E164" s="8">
        <f>+Données!E164</f>
        <v>0</v>
      </c>
      <c r="F164" s="8">
        <f>+Données!I164</f>
        <v>0</v>
      </c>
      <c r="G164" s="8">
        <f>+Données!J164</f>
        <v>443201.87</v>
      </c>
      <c r="H164" s="8">
        <f>Données!U164</f>
        <v>-352863.06</v>
      </c>
      <c r="I164" s="213">
        <f>Données!V164</f>
        <v>0</v>
      </c>
      <c r="J164" s="213">
        <f>Données!W164</f>
        <v>-2020.57</v>
      </c>
      <c r="K164" s="8">
        <f>+Données!Q164</f>
        <v>106648.87</v>
      </c>
      <c r="L164" s="450">
        <f t="shared" si="7"/>
        <v>8498985.3199999984</v>
      </c>
      <c r="M164" s="8">
        <f>+Données!F164</f>
        <v>35058.9</v>
      </c>
      <c r="N164" s="8">
        <f>+Données!K164</f>
        <v>45101.55</v>
      </c>
      <c r="O164" s="8">
        <f>(Données!L164/Données!Y164)*1</f>
        <v>894845.5</v>
      </c>
      <c r="P164" s="450">
        <f t="shared" si="8"/>
        <v>9473991.2699999996</v>
      </c>
      <c r="Q164" s="238">
        <f>+Données!X164</f>
        <v>72.5</v>
      </c>
      <c r="R164" s="450">
        <f t="shared" si="9"/>
        <v>130675.7416551724</v>
      </c>
    </row>
    <row r="165" spans="1:18" x14ac:dyDescent="0.25">
      <c r="A165" s="7">
        <f>Données!A165</f>
        <v>5680</v>
      </c>
      <c r="B165" s="27" t="str">
        <f>Données!B165</f>
        <v>Ogens</v>
      </c>
      <c r="C165" s="8">
        <f>Données!C165+Données!D165</f>
        <v>616180.87</v>
      </c>
      <c r="D165" s="8">
        <f>+Données!G165+Données!H165+Données!S165</f>
        <v>110478.46</v>
      </c>
      <c r="E165" s="8">
        <f>+Données!E165</f>
        <v>0</v>
      </c>
      <c r="F165" s="8">
        <f>+Données!I165</f>
        <v>0</v>
      </c>
      <c r="G165" s="8">
        <f>+Données!J165</f>
        <v>22372.31</v>
      </c>
      <c r="H165" s="8">
        <f>Données!U165</f>
        <v>-20425.57</v>
      </c>
      <c r="I165" s="213">
        <f>Données!V165</f>
        <v>0</v>
      </c>
      <c r="J165" s="213">
        <f>Données!W165</f>
        <v>0</v>
      </c>
      <c r="K165" s="8">
        <f>+Données!Q165</f>
        <v>0</v>
      </c>
      <c r="L165" s="450">
        <f t="shared" si="7"/>
        <v>728606.07000000007</v>
      </c>
      <c r="M165" s="8">
        <f>+Données!F165</f>
        <v>0</v>
      </c>
      <c r="N165" s="8">
        <f>+Données!K165</f>
        <v>625</v>
      </c>
      <c r="O165" s="8">
        <f>(Données!L165/Données!Y165)*1</f>
        <v>57680.733333333337</v>
      </c>
      <c r="P165" s="450">
        <f t="shared" si="8"/>
        <v>786911.80333333346</v>
      </c>
      <c r="Q165" s="238">
        <f>+Données!X165</f>
        <v>78</v>
      </c>
      <c r="R165" s="450">
        <f t="shared" si="9"/>
        <v>10088.612863247865</v>
      </c>
    </row>
    <row r="166" spans="1:18" x14ac:dyDescent="0.25">
      <c r="A166" s="7">
        <f>Données!A166</f>
        <v>5683</v>
      </c>
      <c r="B166" s="27" t="str">
        <f>Données!B166</f>
        <v>Prévonloup</v>
      </c>
      <c r="C166" s="8">
        <f>Données!C166+Données!D166</f>
        <v>328573.61000000004</v>
      </c>
      <c r="D166" s="8">
        <f>+Données!G166+Données!H166+Données!S166</f>
        <v>5463.77</v>
      </c>
      <c r="E166" s="8">
        <f>+Données!E166</f>
        <v>0</v>
      </c>
      <c r="F166" s="8">
        <f>+Données!I166</f>
        <v>0</v>
      </c>
      <c r="G166" s="8">
        <f>+Données!J166</f>
        <v>10522.58</v>
      </c>
      <c r="H166" s="8">
        <f>Données!U166</f>
        <v>-2777.64</v>
      </c>
      <c r="I166" s="213">
        <f>Données!V166</f>
        <v>0</v>
      </c>
      <c r="J166" s="213">
        <f>Données!W166</f>
        <v>-0.61</v>
      </c>
      <c r="K166" s="8">
        <f>+Données!Q166</f>
        <v>0</v>
      </c>
      <c r="L166" s="450">
        <f t="shared" si="7"/>
        <v>341781.71000000008</v>
      </c>
      <c r="M166" s="8">
        <f>+Données!F166</f>
        <v>0</v>
      </c>
      <c r="N166" s="8">
        <f>+Données!K166</f>
        <v>2220.5</v>
      </c>
      <c r="O166" s="8">
        <f>(Données!L166/Données!Y166)*1</f>
        <v>31663</v>
      </c>
      <c r="P166" s="450">
        <f t="shared" si="8"/>
        <v>375665.21000000008</v>
      </c>
      <c r="Q166" s="238">
        <f>+Données!X166</f>
        <v>72.5</v>
      </c>
      <c r="R166" s="450">
        <f t="shared" si="9"/>
        <v>5181.5891034482765</v>
      </c>
    </row>
    <row r="167" spans="1:18" x14ac:dyDescent="0.25">
      <c r="A167" s="7">
        <f>Données!A167</f>
        <v>5684</v>
      </c>
      <c r="B167" s="27" t="str">
        <f>Données!B167</f>
        <v>Rossenges</v>
      </c>
      <c r="C167" s="8">
        <f>Données!C167+Données!D167</f>
        <v>499884.09</v>
      </c>
      <c r="D167" s="8">
        <f>+Données!G167+Données!H167+Données!S167</f>
        <v>1252.78</v>
      </c>
      <c r="E167" s="8">
        <f>+Données!E167</f>
        <v>0</v>
      </c>
      <c r="F167" s="8">
        <f>+Données!I167</f>
        <v>0</v>
      </c>
      <c r="G167" s="8">
        <f>+Données!J167</f>
        <v>12748.25</v>
      </c>
      <c r="H167" s="8">
        <f>Données!U167</f>
        <v>-19.18</v>
      </c>
      <c r="I167" s="213">
        <f>Données!V167</f>
        <v>0</v>
      </c>
      <c r="J167" s="213">
        <f>Données!W167</f>
        <v>0</v>
      </c>
      <c r="K167" s="8">
        <f>+Données!Q167</f>
        <v>0</v>
      </c>
      <c r="L167" s="450">
        <f t="shared" si="7"/>
        <v>513865.94000000006</v>
      </c>
      <c r="M167" s="8">
        <f>+Données!F167</f>
        <v>0</v>
      </c>
      <c r="N167" s="8">
        <f>+Données!K167</f>
        <v>0</v>
      </c>
      <c r="O167" s="8">
        <f>(Données!L167/Données!Y167)*1</f>
        <v>13632.625</v>
      </c>
      <c r="P167" s="450">
        <f t="shared" si="8"/>
        <v>527498.56500000006</v>
      </c>
      <c r="Q167" s="238">
        <f>+Données!X167</f>
        <v>75</v>
      </c>
      <c r="R167" s="450">
        <f t="shared" si="9"/>
        <v>7033.3142000000007</v>
      </c>
    </row>
    <row r="168" spans="1:18" x14ac:dyDescent="0.25">
      <c r="A168" s="7">
        <f>Données!A168</f>
        <v>5688</v>
      </c>
      <c r="B168" s="27" t="str">
        <f>Données!B168</f>
        <v>Syens</v>
      </c>
      <c r="C168" s="8">
        <f>Données!C168+Données!D168</f>
        <v>295167.05</v>
      </c>
      <c r="D168" s="8">
        <f>+Données!G168+Données!H168+Données!S168</f>
        <v>7131.73</v>
      </c>
      <c r="E168" s="8">
        <f>+Données!E168</f>
        <v>0</v>
      </c>
      <c r="F168" s="8">
        <f>+Données!I168</f>
        <v>0</v>
      </c>
      <c r="G168" s="8">
        <f>+Données!J168</f>
        <v>16049.15</v>
      </c>
      <c r="H168" s="8">
        <f>Données!U168</f>
        <v>-55.55</v>
      </c>
      <c r="I168" s="213">
        <f>Données!V168</f>
        <v>0</v>
      </c>
      <c r="J168" s="213">
        <f>Données!W168</f>
        <v>0</v>
      </c>
      <c r="K168" s="8">
        <f>+Données!Q168</f>
        <v>0</v>
      </c>
      <c r="L168" s="450">
        <f t="shared" si="7"/>
        <v>318292.38</v>
      </c>
      <c r="M168" s="8">
        <f>+Données!F168</f>
        <v>0</v>
      </c>
      <c r="N168" s="8">
        <f>+Données!K168</f>
        <v>105</v>
      </c>
      <c r="O168" s="8">
        <f>(Données!L168/Données!Y168)*1</f>
        <v>24608.3</v>
      </c>
      <c r="P168" s="450">
        <f t="shared" si="8"/>
        <v>343005.68</v>
      </c>
      <c r="Q168" s="238">
        <f>+Données!X168</f>
        <v>65</v>
      </c>
      <c r="R168" s="450">
        <f t="shared" si="9"/>
        <v>5277.0104615384616</v>
      </c>
    </row>
    <row r="169" spans="1:18" x14ac:dyDescent="0.25">
      <c r="A169" s="7">
        <f>Données!A169</f>
        <v>5690</v>
      </c>
      <c r="B169" s="27" t="str">
        <f>Données!B169</f>
        <v>Villars-le-Comte</v>
      </c>
      <c r="C169" s="8">
        <f>Données!C169+Données!D169</f>
        <v>279093.19</v>
      </c>
      <c r="D169" s="8">
        <f>+Données!G169+Données!H169+Données!S169</f>
        <v>1647.1499999999999</v>
      </c>
      <c r="E169" s="8">
        <f>+Données!E169</f>
        <v>0</v>
      </c>
      <c r="F169" s="8">
        <f>+Données!I169</f>
        <v>0</v>
      </c>
      <c r="G169" s="8">
        <f>+Données!J169</f>
        <v>0</v>
      </c>
      <c r="H169" s="8">
        <f>Données!U169</f>
        <v>-65</v>
      </c>
      <c r="I169" s="213">
        <f>Données!V169</f>
        <v>0</v>
      </c>
      <c r="J169" s="213">
        <f>Données!W169</f>
        <v>0</v>
      </c>
      <c r="K169" s="8">
        <f>+Données!Q169</f>
        <v>0</v>
      </c>
      <c r="L169" s="450">
        <f t="shared" si="7"/>
        <v>280675.34000000003</v>
      </c>
      <c r="M169" s="8">
        <f>+Données!F169</f>
        <v>800</v>
      </c>
      <c r="N169" s="8">
        <f>+Données!K169</f>
        <v>184.1</v>
      </c>
      <c r="O169" s="8">
        <f>(Données!L169/Données!Y169)*1</f>
        <v>21537.416666666668</v>
      </c>
      <c r="P169" s="450">
        <f t="shared" si="8"/>
        <v>303196.85666666669</v>
      </c>
      <c r="Q169" s="238">
        <f>+Données!X169</f>
        <v>70</v>
      </c>
      <c r="R169" s="450">
        <f t="shared" si="9"/>
        <v>4331.3836666666666</v>
      </c>
    </row>
    <row r="170" spans="1:18" x14ac:dyDescent="0.25">
      <c r="A170" s="7">
        <f>Données!A170</f>
        <v>5692</v>
      </c>
      <c r="B170" s="27" t="str">
        <f>Données!B170</f>
        <v>Vucherens</v>
      </c>
      <c r="C170" s="8">
        <f>Données!C170+Données!D170</f>
        <v>1359882.9700000002</v>
      </c>
      <c r="D170" s="8">
        <f>+Données!G170+Données!H170+Données!S170</f>
        <v>10385.719999999999</v>
      </c>
      <c r="E170" s="8">
        <f>+Données!E170</f>
        <v>0</v>
      </c>
      <c r="F170" s="8">
        <f>+Données!I170</f>
        <v>0</v>
      </c>
      <c r="G170" s="8">
        <f>+Données!J170</f>
        <v>6340.52</v>
      </c>
      <c r="H170" s="8">
        <f>Données!U170</f>
        <v>-31726.07</v>
      </c>
      <c r="I170" s="213">
        <f>Données!V170</f>
        <v>0</v>
      </c>
      <c r="J170" s="213">
        <f>Données!W170</f>
        <v>-19.45</v>
      </c>
      <c r="K170" s="8">
        <f>+Données!Q170</f>
        <v>0</v>
      </c>
      <c r="L170" s="450">
        <f t="shared" si="7"/>
        <v>1344863.6900000002</v>
      </c>
      <c r="M170" s="8">
        <f>+Données!F170</f>
        <v>0</v>
      </c>
      <c r="N170" s="8">
        <f>+Données!K170</f>
        <v>3062.05</v>
      </c>
      <c r="O170" s="8">
        <f>(Données!L170/Données!Y170)*1</f>
        <v>111093.4</v>
      </c>
      <c r="P170" s="450">
        <f t="shared" si="8"/>
        <v>1459019.1400000001</v>
      </c>
      <c r="Q170" s="238">
        <f>+Données!X170</f>
        <v>77</v>
      </c>
      <c r="R170" s="450">
        <f t="shared" si="9"/>
        <v>18948.300519480523</v>
      </c>
    </row>
    <row r="171" spans="1:18" x14ac:dyDescent="0.25">
      <c r="A171" s="7">
        <f>Données!A171</f>
        <v>5693</v>
      </c>
      <c r="B171" s="27" t="str">
        <f>Données!B171</f>
        <v>Montanaire</v>
      </c>
      <c r="C171" s="8">
        <f>Données!C171+Données!D171</f>
        <v>5057202.22</v>
      </c>
      <c r="D171" s="8">
        <f>+Données!G171+Données!H171+Données!S171</f>
        <v>162126.72</v>
      </c>
      <c r="E171" s="8">
        <f>+Données!E171</f>
        <v>0</v>
      </c>
      <c r="F171" s="8">
        <f>+Données!I171</f>
        <v>0</v>
      </c>
      <c r="G171" s="8">
        <f>+Données!J171</f>
        <v>73235.490000000005</v>
      </c>
      <c r="H171" s="8">
        <f>Données!U171</f>
        <v>-145624.10999999999</v>
      </c>
      <c r="I171" s="213">
        <f>Données!V171</f>
        <v>0</v>
      </c>
      <c r="J171" s="213">
        <f>Données!W171</f>
        <v>-345.86</v>
      </c>
      <c r="K171" s="8">
        <f>+Données!Q171</f>
        <v>3859.79</v>
      </c>
      <c r="L171" s="450">
        <f t="shared" si="7"/>
        <v>5150454.2499999991</v>
      </c>
      <c r="M171" s="8">
        <f>+Données!F171</f>
        <v>0</v>
      </c>
      <c r="N171" s="8">
        <f>+Données!K171</f>
        <v>8525.6</v>
      </c>
      <c r="O171" s="8">
        <f>(Données!L171/Données!Y171)*1</f>
        <v>446483.3</v>
      </c>
      <c r="P171" s="450">
        <f t="shared" si="8"/>
        <v>5605463.1499999985</v>
      </c>
      <c r="Q171" s="238">
        <f>+Données!X171</f>
        <v>70</v>
      </c>
      <c r="R171" s="450">
        <f t="shared" si="9"/>
        <v>80078.044999999984</v>
      </c>
    </row>
    <row r="172" spans="1:18" x14ac:dyDescent="0.25">
      <c r="A172" s="7">
        <f>Données!A172</f>
        <v>5701</v>
      </c>
      <c r="B172" s="27" t="str">
        <f>Données!B172</f>
        <v>Arnex-sur-Nyon</v>
      </c>
      <c r="C172" s="8">
        <f>Données!C172+Données!D172</f>
        <v>747871.74</v>
      </c>
      <c r="D172" s="8">
        <f>+Données!G172+Données!H172+Données!S172</f>
        <v>4277.91</v>
      </c>
      <c r="E172" s="8">
        <f>+Données!E172</f>
        <v>0</v>
      </c>
      <c r="F172" s="8">
        <f>+Données!I172</f>
        <v>65333.35</v>
      </c>
      <c r="G172" s="8">
        <f>+Données!J172</f>
        <v>22572</v>
      </c>
      <c r="H172" s="8">
        <f>Données!U172</f>
        <v>-1746.75</v>
      </c>
      <c r="I172" s="213">
        <f>Données!V172</f>
        <v>0</v>
      </c>
      <c r="J172" s="213">
        <f>Données!W172</f>
        <v>-3065.26</v>
      </c>
      <c r="K172" s="8">
        <f>+Données!Q172</f>
        <v>0</v>
      </c>
      <c r="L172" s="450">
        <f t="shared" si="7"/>
        <v>835242.99</v>
      </c>
      <c r="M172" s="8">
        <f>+Données!F172</f>
        <v>0</v>
      </c>
      <c r="N172" s="8">
        <f>+Données!K172</f>
        <v>508.25</v>
      </c>
      <c r="O172" s="8">
        <f>(Données!L172/Données!Y172)*1</f>
        <v>74026.600000000006</v>
      </c>
      <c r="P172" s="450">
        <f t="shared" si="8"/>
        <v>909777.84</v>
      </c>
      <c r="Q172" s="238">
        <f>+Données!X172</f>
        <v>70</v>
      </c>
      <c r="R172" s="450">
        <f t="shared" si="9"/>
        <v>12996.826285714285</v>
      </c>
    </row>
    <row r="173" spans="1:18" x14ac:dyDescent="0.25">
      <c r="A173" s="7">
        <f>Données!A173</f>
        <v>5702</v>
      </c>
      <c r="B173" s="27" t="str">
        <f>Données!B173</f>
        <v>Arzier-Le Muids</v>
      </c>
      <c r="C173" s="8">
        <f>Données!C173+Données!D173</f>
        <v>10529914.510000002</v>
      </c>
      <c r="D173" s="8">
        <f>+Données!G173+Données!H173+Données!S173</f>
        <v>143874.32999999999</v>
      </c>
      <c r="E173" s="8">
        <f>+Données!E173</f>
        <v>0</v>
      </c>
      <c r="F173" s="8">
        <f>+Données!I173</f>
        <v>444158.53</v>
      </c>
      <c r="G173" s="8">
        <f>+Données!J173</f>
        <v>62657.440000000002</v>
      </c>
      <c r="H173" s="8">
        <f>Données!U173</f>
        <v>-30015.07</v>
      </c>
      <c r="I173" s="213">
        <f>Données!V173</f>
        <v>0</v>
      </c>
      <c r="J173" s="213">
        <f>Données!W173</f>
        <v>-17723.080000000002</v>
      </c>
      <c r="K173" s="8">
        <f>+Données!Q173</f>
        <v>12993.13</v>
      </c>
      <c r="L173" s="450">
        <f t="shared" si="7"/>
        <v>11145859.790000001</v>
      </c>
      <c r="M173" s="8">
        <f>+Données!F173</f>
        <v>0</v>
      </c>
      <c r="N173" s="8">
        <f>+Données!K173</f>
        <v>19238.150000000001</v>
      </c>
      <c r="O173" s="8">
        <f>(Données!L173/Données!Y173)*1</f>
        <v>865907.20000000007</v>
      </c>
      <c r="P173" s="450">
        <f t="shared" si="8"/>
        <v>12031005.140000001</v>
      </c>
      <c r="Q173" s="238">
        <f>+Données!X173</f>
        <v>64</v>
      </c>
      <c r="R173" s="450">
        <f t="shared" si="9"/>
        <v>187984.45531250001</v>
      </c>
    </row>
    <row r="174" spans="1:18" x14ac:dyDescent="0.25">
      <c r="A174" s="7">
        <f>Données!A174</f>
        <v>5703</v>
      </c>
      <c r="B174" s="27" t="str">
        <f>Données!B174</f>
        <v>Bassins</v>
      </c>
      <c r="C174" s="8">
        <f>Données!C174+Données!D174</f>
        <v>4179846.31</v>
      </c>
      <c r="D174" s="8">
        <f>+Données!G174+Données!H174+Données!S174</f>
        <v>52129.94</v>
      </c>
      <c r="E174" s="8">
        <f>+Données!E174</f>
        <v>0</v>
      </c>
      <c r="F174" s="8">
        <f>+Données!I174</f>
        <v>0</v>
      </c>
      <c r="G174" s="8">
        <f>+Données!J174</f>
        <v>182230.27</v>
      </c>
      <c r="H174" s="8">
        <f>Données!U174</f>
        <v>-17221.099999999999</v>
      </c>
      <c r="I174" s="213">
        <f>Données!V174</f>
        <v>0</v>
      </c>
      <c r="J174" s="213">
        <f>Données!W174</f>
        <v>-1754.91</v>
      </c>
      <c r="K174" s="8">
        <f>+Données!Q174</f>
        <v>4661.6099999999997</v>
      </c>
      <c r="L174" s="450">
        <f t="shared" si="7"/>
        <v>4399892.12</v>
      </c>
      <c r="M174" s="8">
        <f>+Données!F174</f>
        <v>0</v>
      </c>
      <c r="N174" s="8">
        <f>+Données!K174</f>
        <v>250.75</v>
      </c>
      <c r="O174" s="8">
        <f>(Données!L174/Données!Y174)*1</f>
        <v>344347.53571428574</v>
      </c>
      <c r="P174" s="450">
        <f t="shared" si="8"/>
        <v>4744490.4057142856</v>
      </c>
      <c r="Q174" s="238">
        <f>+Données!X174</f>
        <v>72.5</v>
      </c>
      <c r="R174" s="450">
        <f t="shared" si="9"/>
        <v>65441.246975369453</v>
      </c>
    </row>
    <row r="175" spans="1:18" x14ac:dyDescent="0.25">
      <c r="A175" s="7">
        <f>Données!A175</f>
        <v>5704</v>
      </c>
      <c r="B175" s="27" t="str">
        <f>Données!B175</f>
        <v>Begnins</v>
      </c>
      <c r="C175" s="8">
        <f>Données!C175+Données!D175</f>
        <v>7218276.71</v>
      </c>
      <c r="D175" s="8">
        <f>+Données!G175+Données!H175+Données!S175</f>
        <v>-24251.07</v>
      </c>
      <c r="E175" s="8">
        <f>+Données!E175</f>
        <v>0</v>
      </c>
      <c r="F175" s="8">
        <f>+Données!I175</f>
        <v>259453.95</v>
      </c>
      <c r="G175" s="8">
        <f>+Données!J175</f>
        <v>107342.65</v>
      </c>
      <c r="H175" s="8">
        <f>Données!U175</f>
        <v>-12433.37</v>
      </c>
      <c r="I175" s="213">
        <f>Données!V175</f>
        <v>0</v>
      </c>
      <c r="J175" s="213">
        <f>Données!W175</f>
        <v>-7754.07</v>
      </c>
      <c r="K175" s="8">
        <f>+Données!Q175</f>
        <v>550.91999999999996</v>
      </c>
      <c r="L175" s="450">
        <f t="shared" si="7"/>
        <v>7541185.7199999997</v>
      </c>
      <c r="M175" s="8">
        <f>+Données!F175</f>
        <v>0</v>
      </c>
      <c r="N175" s="8">
        <f>+Données!K175</f>
        <v>21403.05</v>
      </c>
      <c r="O175" s="8">
        <f>(Données!L175/Données!Y175)*1</f>
        <v>545538.53333333333</v>
      </c>
      <c r="P175" s="450">
        <f t="shared" si="8"/>
        <v>8108127.3033333328</v>
      </c>
      <c r="Q175" s="238">
        <f>+Données!X175</f>
        <v>62.5</v>
      </c>
      <c r="R175" s="450">
        <f t="shared" si="9"/>
        <v>129730.03685333332</v>
      </c>
    </row>
    <row r="176" spans="1:18" x14ac:dyDescent="0.25">
      <c r="A176" s="7">
        <f>Données!A176</f>
        <v>5705</v>
      </c>
      <c r="B176" s="27" t="str">
        <f>Données!B176</f>
        <v>Bogis-Bossey</v>
      </c>
      <c r="C176" s="8">
        <f>Données!C176+Données!D176</f>
        <v>3431698.5199999996</v>
      </c>
      <c r="D176" s="8">
        <f>+Données!G176+Données!H176+Données!S176</f>
        <v>54324.59</v>
      </c>
      <c r="E176" s="8">
        <f>+Données!E176</f>
        <v>0</v>
      </c>
      <c r="F176" s="8">
        <f>+Données!I176</f>
        <v>40643.15</v>
      </c>
      <c r="G176" s="8">
        <f>+Données!J176</f>
        <v>55908.49</v>
      </c>
      <c r="H176" s="8">
        <f>Données!U176</f>
        <v>-16935.310000000001</v>
      </c>
      <c r="I176" s="213">
        <f>Données!V176</f>
        <v>0</v>
      </c>
      <c r="J176" s="213">
        <f>Données!W176</f>
        <v>-5341.23</v>
      </c>
      <c r="K176" s="8">
        <f>+Données!Q176</f>
        <v>573.07000000000005</v>
      </c>
      <c r="L176" s="450">
        <f t="shared" si="7"/>
        <v>3560871.2799999993</v>
      </c>
      <c r="M176" s="8">
        <f>+Données!F176</f>
        <v>0</v>
      </c>
      <c r="N176" s="8">
        <f>+Données!K176</f>
        <v>3484.75</v>
      </c>
      <c r="O176" s="8">
        <f>(Données!L176/Données!Y176)*1</f>
        <v>238427.2</v>
      </c>
      <c r="P176" s="450">
        <f t="shared" si="8"/>
        <v>3802783.2299999995</v>
      </c>
      <c r="Q176" s="238">
        <f>+Données!X176</f>
        <v>74.5</v>
      </c>
      <c r="R176" s="450">
        <f t="shared" si="9"/>
        <v>51044.070201342278</v>
      </c>
    </row>
    <row r="177" spans="1:18" x14ac:dyDescent="0.25">
      <c r="A177" s="7">
        <f>Données!A177</f>
        <v>5706</v>
      </c>
      <c r="B177" s="27" t="str">
        <f>Données!B177</f>
        <v>Borex</v>
      </c>
      <c r="C177" s="8">
        <f>Données!C177+Données!D177</f>
        <v>8564788.75</v>
      </c>
      <c r="D177" s="8">
        <f>+Données!G177+Données!H177+Données!S177</f>
        <v>31891.589999999997</v>
      </c>
      <c r="E177" s="8">
        <f>+Données!E177</f>
        <v>0</v>
      </c>
      <c r="F177" s="8">
        <f>+Données!I177</f>
        <v>44894.05</v>
      </c>
      <c r="G177" s="8">
        <f>+Données!J177</f>
        <v>26641.87</v>
      </c>
      <c r="H177" s="8">
        <f>Données!U177</f>
        <v>-17075.64</v>
      </c>
      <c r="I177" s="213">
        <f>Données!V177</f>
        <v>0</v>
      </c>
      <c r="J177" s="213">
        <f>Données!W177</f>
        <v>-13118.28</v>
      </c>
      <c r="K177" s="8">
        <f>+Données!Q177</f>
        <v>0</v>
      </c>
      <c r="L177" s="450">
        <f t="shared" si="7"/>
        <v>8638022.3399999999</v>
      </c>
      <c r="M177" s="8">
        <f>+Données!F177</f>
        <v>0</v>
      </c>
      <c r="N177" s="8">
        <f>+Données!K177</f>
        <v>10637.7</v>
      </c>
      <c r="O177" s="8">
        <f>(Données!L177/Données!Y177)*1</f>
        <v>292244.8</v>
      </c>
      <c r="P177" s="450">
        <f t="shared" si="8"/>
        <v>8940904.8399999999</v>
      </c>
      <c r="Q177" s="238">
        <f>+Données!X177</f>
        <v>57</v>
      </c>
      <c r="R177" s="450">
        <f t="shared" si="9"/>
        <v>156857.9796491228</v>
      </c>
    </row>
    <row r="178" spans="1:18" x14ac:dyDescent="0.25">
      <c r="A178" s="7">
        <f>Données!A178</f>
        <v>5707</v>
      </c>
      <c r="B178" s="27" t="str">
        <f>Données!B178</f>
        <v>Chavannes-de-Bogis</v>
      </c>
      <c r="C178" s="8">
        <f>Données!C178+Données!D178</f>
        <v>3722955.89</v>
      </c>
      <c r="D178" s="8">
        <f>+Données!G178+Données!H178+Données!S178</f>
        <v>662497.70000000007</v>
      </c>
      <c r="E178" s="8">
        <f>+Données!E178</f>
        <v>0</v>
      </c>
      <c r="F178" s="8">
        <f>+Données!I178</f>
        <v>31747.15</v>
      </c>
      <c r="G178" s="8">
        <f>+Données!J178</f>
        <v>68265.009999999995</v>
      </c>
      <c r="H178" s="8">
        <f>Données!U178</f>
        <v>-14652.23</v>
      </c>
      <c r="I178" s="213">
        <f>Données!V178</f>
        <v>0</v>
      </c>
      <c r="J178" s="213">
        <f>Données!W178</f>
        <v>-4370.3100000000004</v>
      </c>
      <c r="K178" s="8">
        <f>+Données!Q178</f>
        <v>2803.59</v>
      </c>
      <c r="L178" s="450">
        <f t="shared" si="7"/>
        <v>4469246.8</v>
      </c>
      <c r="M178" s="8">
        <f>+Données!F178</f>
        <v>0</v>
      </c>
      <c r="N178" s="8">
        <f>+Données!K178</f>
        <v>69453.600000000006</v>
      </c>
      <c r="O178" s="8">
        <f>(Données!L178/Données!Y178)*1</f>
        <v>495943.03333333338</v>
      </c>
      <c r="P178" s="450">
        <f t="shared" si="8"/>
        <v>5034643.4333333327</v>
      </c>
      <c r="Q178" s="238">
        <f>+Données!X178</f>
        <v>58</v>
      </c>
      <c r="R178" s="450">
        <f t="shared" si="9"/>
        <v>86804.197126436775</v>
      </c>
    </row>
    <row r="179" spans="1:18" x14ac:dyDescent="0.25">
      <c r="A179" s="7">
        <f>Données!A179</f>
        <v>5708</v>
      </c>
      <c r="B179" s="27" t="str">
        <f>Données!B179</f>
        <v>Chavannes-des-Bois</v>
      </c>
      <c r="C179" s="8">
        <f>Données!C179+Données!D179</f>
        <v>4352222.1099999994</v>
      </c>
      <c r="D179" s="8">
        <f>+Données!G179+Données!H179+Données!S179</f>
        <v>109583.2</v>
      </c>
      <c r="E179" s="8">
        <f>+Données!E179</f>
        <v>0</v>
      </c>
      <c r="F179" s="8">
        <f>+Données!I179</f>
        <v>0</v>
      </c>
      <c r="G179" s="8">
        <f>+Données!J179</f>
        <v>39265.82</v>
      </c>
      <c r="H179" s="8">
        <f>Données!U179</f>
        <v>-116497.4</v>
      </c>
      <c r="I179" s="213">
        <f>Données!V179</f>
        <v>0</v>
      </c>
      <c r="J179" s="213">
        <f>Données!W179</f>
        <v>-14207.44</v>
      </c>
      <c r="K179" s="8">
        <f>+Données!Q179</f>
        <v>0</v>
      </c>
      <c r="L179" s="450">
        <f t="shared" si="7"/>
        <v>4370366.2899999991</v>
      </c>
      <c r="M179" s="8">
        <f>+Données!F179</f>
        <v>0</v>
      </c>
      <c r="N179" s="8">
        <f>+Données!K179</f>
        <v>12314.3</v>
      </c>
      <c r="O179" s="8">
        <f>(Données!L179/Données!Y179)*1</f>
        <v>296179.20000000001</v>
      </c>
      <c r="P179" s="450">
        <f t="shared" si="8"/>
        <v>4678859.7899999991</v>
      </c>
      <c r="Q179" s="238">
        <f>+Données!X179</f>
        <v>68</v>
      </c>
      <c r="R179" s="450">
        <f t="shared" si="9"/>
        <v>68806.761617647047</v>
      </c>
    </row>
    <row r="180" spans="1:18" x14ac:dyDescent="0.25">
      <c r="A180" s="7">
        <f>Données!A180</f>
        <v>5709</v>
      </c>
      <c r="B180" s="27" t="str">
        <f>Données!B180</f>
        <v>Chéserex</v>
      </c>
      <c r="C180" s="8">
        <f>Données!C180+Données!D180</f>
        <v>4062157.87</v>
      </c>
      <c r="D180" s="8">
        <f>+Données!G180+Données!H180+Données!S180</f>
        <v>32360.950000000004</v>
      </c>
      <c r="E180" s="8">
        <f>+Données!E180</f>
        <v>0</v>
      </c>
      <c r="F180" s="8">
        <f>+Données!I180</f>
        <v>572271.35</v>
      </c>
      <c r="G180" s="8">
        <f>+Données!J180</f>
        <v>126473.49</v>
      </c>
      <c r="H180" s="8">
        <f>Données!U180</f>
        <v>-12340.81</v>
      </c>
      <c r="I180" s="213">
        <f>Données!V180</f>
        <v>0</v>
      </c>
      <c r="J180" s="213">
        <f>Données!W180</f>
        <v>-3016.02</v>
      </c>
      <c r="K180" s="8">
        <f>+Données!Q180</f>
        <v>2596.36</v>
      </c>
      <c r="L180" s="450">
        <f t="shared" si="7"/>
        <v>4780503.1900000013</v>
      </c>
      <c r="M180" s="8">
        <f>+Données!F180</f>
        <v>0</v>
      </c>
      <c r="N180" s="8">
        <f>+Données!K180</f>
        <v>6559.15</v>
      </c>
      <c r="O180" s="8">
        <f>(Données!L180/Données!Y180)*1</f>
        <v>399004.85</v>
      </c>
      <c r="P180" s="450">
        <f t="shared" si="8"/>
        <v>5186067.1900000013</v>
      </c>
      <c r="Q180" s="238">
        <f>+Données!X180</f>
        <v>57</v>
      </c>
      <c r="R180" s="450">
        <f t="shared" si="9"/>
        <v>90983.63491228073</v>
      </c>
    </row>
    <row r="181" spans="1:18" x14ac:dyDescent="0.25">
      <c r="A181" s="7">
        <f>Données!A181</f>
        <v>5710</v>
      </c>
      <c r="B181" s="27" t="str">
        <f>Données!B181</f>
        <v>Coinsins</v>
      </c>
      <c r="C181" s="8">
        <f>Données!C181+Données!D181</f>
        <v>1275328.3599999999</v>
      </c>
      <c r="D181" s="8">
        <f>+Données!G181+Données!H181+Données!S181</f>
        <v>181836.66999999998</v>
      </c>
      <c r="E181" s="8">
        <f>+Données!E181</f>
        <v>0</v>
      </c>
      <c r="F181" s="8">
        <f>+Données!I181</f>
        <v>110957.8</v>
      </c>
      <c r="G181" s="8">
        <f>+Données!J181</f>
        <v>11943.66</v>
      </c>
      <c r="H181" s="8">
        <f>Données!U181</f>
        <v>-6007.97</v>
      </c>
      <c r="I181" s="213">
        <f>Données!V181</f>
        <v>0</v>
      </c>
      <c r="J181" s="213">
        <f>Données!W181</f>
        <v>-7040.39</v>
      </c>
      <c r="K181" s="8">
        <f>+Données!Q181</f>
        <v>5617.59</v>
      </c>
      <c r="L181" s="450">
        <f t="shared" si="7"/>
        <v>1572635.72</v>
      </c>
      <c r="M181" s="8">
        <f>+Données!F181</f>
        <v>0</v>
      </c>
      <c r="N181" s="8">
        <f>+Données!K181</f>
        <v>3534.45</v>
      </c>
      <c r="O181" s="8">
        <f>(Données!L181/Données!Y181)*1</f>
        <v>134861.79999999999</v>
      </c>
      <c r="P181" s="450">
        <f t="shared" si="8"/>
        <v>1711031.97</v>
      </c>
      <c r="Q181" s="238">
        <f>+Données!X181</f>
        <v>51</v>
      </c>
      <c r="R181" s="450">
        <f t="shared" si="9"/>
        <v>33549.646470588232</v>
      </c>
    </row>
    <row r="182" spans="1:18" x14ac:dyDescent="0.25">
      <c r="A182" s="7">
        <f>Données!A182</f>
        <v>5711</v>
      </c>
      <c r="B182" s="27" t="str">
        <f>Données!B182</f>
        <v>Commugny</v>
      </c>
      <c r="C182" s="8">
        <f>Données!C182+Données!D182</f>
        <v>16141775.32</v>
      </c>
      <c r="D182" s="8">
        <f>+Données!G182+Données!H182+Données!S182</f>
        <v>67812.42</v>
      </c>
      <c r="E182" s="8">
        <f>+Données!E182</f>
        <v>0</v>
      </c>
      <c r="F182" s="8">
        <f>+Données!I182</f>
        <v>209185.35</v>
      </c>
      <c r="G182" s="8">
        <f>+Données!J182</f>
        <v>40295.019999999997</v>
      </c>
      <c r="H182" s="8">
        <f>Données!U182</f>
        <v>-20130.099999999999</v>
      </c>
      <c r="I182" s="213">
        <f>Données!V182</f>
        <v>0</v>
      </c>
      <c r="J182" s="213">
        <f>Données!W182</f>
        <v>-25925.59</v>
      </c>
      <c r="K182" s="8">
        <f>+Données!Q182</f>
        <v>0</v>
      </c>
      <c r="L182" s="450">
        <f t="shared" si="7"/>
        <v>16413012.42</v>
      </c>
      <c r="M182" s="8">
        <f>+Données!F182</f>
        <v>0</v>
      </c>
      <c r="N182" s="8">
        <f>+Données!K182</f>
        <v>18240.3</v>
      </c>
      <c r="O182" s="8">
        <f>(Données!L182/Données!Y182)*1</f>
        <v>980029.61538461538</v>
      </c>
      <c r="P182" s="450">
        <f t="shared" si="8"/>
        <v>17411282.335384615</v>
      </c>
      <c r="Q182" s="238">
        <f>+Données!X182</f>
        <v>57</v>
      </c>
      <c r="R182" s="450">
        <f t="shared" si="9"/>
        <v>305461.09360323887</v>
      </c>
    </row>
    <row r="183" spans="1:18" x14ac:dyDescent="0.25">
      <c r="A183" s="7">
        <f>Données!A183</f>
        <v>5712</v>
      </c>
      <c r="B183" s="27" t="str">
        <f>Données!B183</f>
        <v>Coppet</v>
      </c>
      <c r="C183" s="8">
        <f>Données!C183+Données!D183</f>
        <v>19373197.859999999</v>
      </c>
      <c r="D183" s="8">
        <f>+Données!G183+Données!H183+Données!S183</f>
        <v>439254.46</v>
      </c>
      <c r="E183" s="8">
        <f>+Données!E183</f>
        <v>0</v>
      </c>
      <c r="F183" s="8">
        <f>+Données!I183</f>
        <v>1297891.26</v>
      </c>
      <c r="G183" s="8">
        <f>+Données!J183</f>
        <v>104926.78</v>
      </c>
      <c r="H183" s="8">
        <f>Données!U183</f>
        <v>-28182.14</v>
      </c>
      <c r="I183" s="213">
        <f>Données!V183</f>
        <v>0</v>
      </c>
      <c r="J183" s="213">
        <f>Données!W183</f>
        <v>-49800.53</v>
      </c>
      <c r="K183" s="8">
        <f>+Données!Q183</f>
        <v>747.53</v>
      </c>
      <c r="L183" s="450">
        <f t="shared" si="7"/>
        <v>21138035.220000003</v>
      </c>
      <c r="M183" s="8">
        <f>+Données!F183</f>
        <v>0</v>
      </c>
      <c r="N183" s="8">
        <f>+Données!K183</f>
        <v>40505.5</v>
      </c>
      <c r="O183" s="8">
        <f>(Données!L183/Données!Y183)*1</f>
        <v>1228936.4333333333</v>
      </c>
      <c r="P183" s="450">
        <f t="shared" si="8"/>
        <v>22407477.153333336</v>
      </c>
      <c r="Q183" s="238">
        <f>+Données!X183</f>
        <v>53</v>
      </c>
      <c r="R183" s="450">
        <f t="shared" si="9"/>
        <v>422782.58779874217</v>
      </c>
    </row>
    <row r="184" spans="1:18" x14ac:dyDescent="0.25">
      <c r="A184" s="7">
        <f>Données!A184</f>
        <v>5713</v>
      </c>
      <c r="B184" s="27" t="str">
        <f>Données!B184</f>
        <v>Crans</v>
      </c>
      <c r="C184" s="8">
        <f>Données!C184+Données!D184</f>
        <v>14810468.210000001</v>
      </c>
      <c r="D184" s="8">
        <f>+Données!G184+Données!H184+Données!S184</f>
        <v>70450.31</v>
      </c>
      <c r="E184" s="8">
        <f>+Données!E184</f>
        <v>0</v>
      </c>
      <c r="F184" s="8">
        <f>+Données!I184</f>
        <v>736044.95</v>
      </c>
      <c r="G184" s="8">
        <f>+Données!J184</f>
        <v>310875.25</v>
      </c>
      <c r="H184" s="8">
        <f>Données!U184</f>
        <v>-34553.79</v>
      </c>
      <c r="I184" s="213">
        <f>Données!V184</f>
        <v>0</v>
      </c>
      <c r="J184" s="213">
        <f>Données!W184</f>
        <v>-45810.239999999998</v>
      </c>
      <c r="K184" s="8">
        <f>+Données!Q184</f>
        <v>0</v>
      </c>
      <c r="L184" s="450">
        <f t="shared" si="7"/>
        <v>15847474.690000001</v>
      </c>
      <c r="M184" s="8">
        <f>+Données!F184</f>
        <v>0</v>
      </c>
      <c r="N184" s="8">
        <f>+Données!K184</f>
        <v>23710.65</v>
      </c>
      <c r="O184" s="8">
        <f>(Données!L184/Données!Y184)*1</f>
        <v>900695.9</v>
      </c>
      <c r="P184" s="450">
        <f t="shared" si="8"/>
        <v>16771881.240000002</v>
      </c>
      <c r="Q184" s="238">
        <f>+Données!X184</f>
        <v>59</v>
      </c>
      <c r="R184" s="450">
        <f t="shared" si="9"/>
        <v>284269.17355932208</v>
      </c>
    </row>
    <row r="185" spans="1:18" x14ac:dyDescent="0.25">
      <c r="A185" s="7">
        <f>Données!A185</f>
        <v>5714</v>
      </c>
      <c r="B185" s="27" t="str">
        <f>Données!B185</f>
        <v>Crassier</v>
      </c>
      <c r="C185" s="8">
        <f>Données!C185+Données!D185</f>
        <v>3662617.6700000004</v>
      </c>
      <c r="D185" s="8">
        <f>+Données!G185+Données!H185+Données!S185</f>
        <v>39784.44</v>
      </c>
      <c r="E185" s="8">
        <f>+Données!E185</f>
        <v>0</v>
      </c>
      <c r="F185" s="8">
        <f>+Données!I185</f>
        <v>136399.54999999999</v>
      </c>
      <c r="G185" s="8">
        <f>+Données!J185</f>
        <v>15874.79</v>
      </c>
      <c r="H185" s="8">
        <f>Données!U185</f>
        <v>-40022.769999999997</v>
      </c>
      <c r="I185" s="213">
        <f>Données!V185</f>
        <v>0</v>
      </c>
      <c r="J185" s="213">
        <f>Données!W185</f>
        <v>-4233.3599999999997</v>
      </c>
      <c r="K185" s="8">
        <f>+Données!Q185</f>
        <v>36357.440000000002</v>
      </c>
      <c r="L185" s="450">
        <f t="shared" si="7"/>
        <v>3846777.7600000002</v>
      </c>
      <c r="M185" s="8">
        <f>+Données!F185</f>
        <v>0</v>
      </c>
      <c r="N185" s="8">
        <f>+Données!K185</f>
        <v>6086.2</v>
      </c>
      <c r="O185" s="8">
        <f>(Données!L185/Données!Y185)*1</f>
        <v>305025.65000000002</v>
      </c>
      <c r="P185" s="450">
        <f t="shared" si="8"/>
        <v>4157889.6100000003</v>
      </c>
      <c r="Q185" s="238">
        <f>+Données!X185</f>
        <v>66.5</v>
      </c>
      <c r="R185" s="450">
        <f t="shared" si="9"/>
        <v>62524.655789473691</v>
      </c>
    </row>
    <row r="186" spans="1:18" x14ac:dyDescent="0.25">
      <c r="A186" s="7">
        <f>Données!A186</f>
        <v>5715</v>
      </c>
      <c r="B186" s="27" t="str">
        <f>Données!B186</f>
        <v>Duillier</v>
      </c>
      <c r="C186" s="8">
        <f>Données!C186+Données!D186</f>
        <v>3623699.96</v>
      </c>
      <c r="D186" s="8">
        <f>+Données!G186+Données!H186+Données!S186</f>
        <v>50445.46</v>
      </c>
      <c r="E186" s="8">
        <f>+Données!E186</f>
        <v>0</v>
      </c>
      <c r="F186" s="8">
        <f>+Données!I186</f>
        <v>0</v>
      </c>
      <c r="G186" s="8">
        <f>+Données!J186</f>
        <v>49327.61</v>
      </c>
      <c r="H186" s="8">
        <f>Données!U186</f>
        <v>-27142.51</v>
      </c>
      <c r="I186" s="213">
        <f>Données!V186</f>
        <v>0</v>
      </c>
      <c r="J186" s="213">
        <f>Données!W186</f>
        <v>-2589</v>
      </c>
      <c r="K186" s="8">
        <f>+Données!Q186</f>
        <v>260.89</v>
      </c>
      <c r="L186" s="450">
        <f t="shared" si="7"/>
        <v>3694002.41</v>
      </c>
      <c r="M186" s="8">
        <f>+Données!F186</f>
        <v>0</v>
      </c>
      <c r="N186" s="8">
        <f>+Données!K186</f>
        <v>7927.5</v>
      </c>
      <c r="O186" s="8">
        <f>(Données!L186/Données!Y186)*1</f>
        <v>294377.59999999998</v>
      </c>
      <c r="P186" s="450">
        <f t="shared" si="8"/>
        <v>3996307.5100000002</v>
      </c>
      <c r="Q186" s="238">
        <f>+Données!X186</f>
        <v>66</v>
      </c>
      <c r="R186" s="450">
        <f t="shared" si="9"/>
        <v>60550.113787878792</v>
      </c>
    </row>
    <row r="187" spans="1:18" x14ac:dyDescent="0.25">
      <c r="A187" s="7">
        <f>Données!A187</f>
        <v>5716</v>
      </c>
      <c r="B187" s="27" t="str">
        <f>Données!B187</f>
        <v>Eysins</v>
      </c>
      <c r="C187" s="8">
        <f>Données!C187+Données!D187</f>
        <v>4717786.7699999996</v>
      </c>
      <c r="D187" s="8">
        <f>+Données!G187+Données!H187+Données!S187</f>
        <v>8023623.3099999996</v>
      </c>
      <c r="E187" s="8">
        <f>+Données!E187</f>
        <v>0</v>
      </c>
      <c r="F187" s="8">
        <f>+Données!I187</f>
        <v>0</v>
      </c>
      <c r="G187" s="8">
        <f>+Données!J187</f>
        <v>228445.41</v>
      </c>
      <c r="H187" s="8">
        <f>Données!U187</f>
        <v>-44876.97</v>
      </c>
      <c r="I187" s="213">
        <f>Données!V187</f>
        <v>0</v>
      </c>
      <c r="J187" s="213">
        <f>Données!W187</f>
        <v>-10034.41</v>
      </c>
      <c r="K187" s="8">
        <f>+Données!Q187</f>
        <v>29452.22</v>
      </c>
      <c r="L187" s="450">
        <f t="shared" si="7"/>
        <v>12944396.329999998</v>
      </c>
      <c r="M187" s="8">
        <f>+Données!F187</f>
        <v>0</v>
      </c>
      <c r="N187" s="8">
        <f>+Données!K187</f>
        <v>177434.5</v>
      </c>
      <c r="O187" s="8">
        <f>(Données!L187/Données!Y187)*1</f>
        <v>716185.1</v>
      </c>
      <c r="P187" s="450">
        <f t="shared" si="8"/>
        <v>13838015.929999998</v>
      </c>
      <c r="Q187" s="238">
        <f>+Données!X187</f>
        <v>59.5</v>
      </c>
      <c r="R187" s="450">
        <f t="shared" si="9"/>
        <v>232571.69630252098</v>
      </c>
    </row>
    <row r="188" spans="1:18" x14ac:dyDescent="0.25">
      <c r="A188" s="7">
        <f>Données!A188</f>
        <v>5717</v>
      </c>
      <c r="B188" s="27" t="str">
        <f>Données!B188</f>
        <v>Founex</v>
      </c>
      <c r="C188" s="8">
        <f>Données!C188+Données!D188</f>
        <v>17801491.510000002</v>
      </c>
      <c r="D188" s="8">
        <f>+Données!G188+Données!H188+Données!S188</f>
        <v>168710.67</v>
      </c>
      <c r="E188" s="8">
        <f>+Données!E188</f>
        <v>0</v>
      </c>
      <c r="F188" s="8">
        <f>+Données!I188</f>
        <v>914819</v>
      </c>
      <c r="G188" s="8">
        <f>+Données!J188</f>
        <v>436267.91</v>
      </c>
      <c r="H188" s="8">
        <f>Données!U188</f>
        <v>-84608.59</v>
      </c>
      <c r="I188" s="213">
        <f>Données!V188</f>
        <v>0</v>
      </c>
      <c r="J188" s="213">
        <f>Données!W188</f>
        <v>-69241.279999999999</v>
      </c>
      <c r="K188" s="8">
        <f>+Données!Q188</f>
        <v>2961.22</v>
      </c>
      <c r="L188" s="450">
        <f t="shared" si="7"/>
        <v>19170400.440000001</v>
      </c>
      <c r="M188" s="8">
        <f>+Données!F188</f>
        <v>0</v>
      </c>
      <c r="N188" s="8">
        <f>+Données!K188</f>
        <v>47285.5</v>
      </c>
      <c r="O188" s="8">
        <f>(Données!L188/Données!Y188)*1</f>
        <v>1392543.4</v>
      </c>
      <c r="P188" s="450">
        <f t="shared" si="8"/>
        <v>20610229.34</v>
      </c>
      <c r="Q188" s="238">
        <f>+Données!X188</f>
        <v>57</v>
      </c>
      <c r="R188" s="450">
        <f t="shared" si="9"/>
        <v>361582.97087719297</v>
      </c>
    </row>
    <row r="189" spans="1:18" x14ac:dyDescent="0.25">
      <c r="A189" s="7">
        <f>Données!A189</f>
        <v>5718</v>
      </c>
      <c r="B189" s="27" t="str">
        <f>Données!B189</f>
        <v>Genolier</v>
      </c>
      <c r="C189" s="8">
        <f>Données!C189+Données!D189</f>
        <v>9825120.8599999994</v>
      </c>
      <c r="D189" s="8">
        <f>+Données!G189+Données!H189+Données!S189</f>
        <v>620088.17999999993</v>
      </c>
      <c r="E189" s="8">
        <f>+Données!E189</f>
        <v>0</v>
      </c>
      <c r="F189" s="8">
        <f>+Données!I189</f>
        <v>371967.78</v>
      </c>
      <c r="G189" s="8">
        <f>+Données!J189</f>
        <v>229837.45</v>
      </c>
      <c r="H189" s="8">
        <f>Données!U189</f>
        <v>-96453.06</v>
      </c>
      <c r="I189" s="213">
        <f>Données!V189</f>
        <v>0</v>
      </c>
      <c r="J189" s="213">
        <f>Données!W189</f>
        <v>-11514.28</v>
      </c>
      <c r="K189" s="8">
        <f>+Données!Q189</f>
        <v>508.93</v>
      </c>
      <c r="L189" s="450">
        <f t="shared" si="7"/>
        <v>10939555.859999998</v>
      </c>
      <c r="M189" s="8">
        <f>+Données!F189</f>
        <v>0</v>
      </c>
      <c r="N189" s="8">
        <f>+Données!K189</f>
        <v>44941.65</v>
      </c>
      <c r="O189" s="8">
        <f>(Données!L189/Données!Y189)*1</f>
        <v>713959.95</v>
      </c>
      <c r="P189" s="450">
        <f t="shared" si="8"/>
        <v>11698457.459999997</v>
      </c>
      <c r="Q189" s="238">
        <f>+Données!X189</f>
        <v>55</v>
      </c>
      <c r="R189" s="450">
        <f t="shared" si="9"/>
        <v>212699.2265454545</v>
      </c>
    </row>
    <row r="190" spans="1:18" x14ac:dyDescent="0.25">
      <c r="A190" s="7">
        <f>Données!A190</f>
        <v>5719</v>
      </c>
      <c r="B190" s="27" t="str">
        <f>Données!B190</f>
        <v>Gingins</v>
      </c>
      <c r="C190" s="8">
        <f>Données!C190+Données!D190</f>
        <v>6434448.25</v>
      </c>
      <c r="D190" s="8">
        <f>+Données!G190+Données!H190+Données!S190</f>
        <v>63204.639999999999</v>
      </c>
      <c r="E190" s="8">
        <f>+Données!E190</f>
        <v>0</v>
      </c>
      <c r="F190" s="8">
        <f>+Données!I190</f>
        <v>241425.51</v>
      </c>
      <c r="G190" s="8">
        <f>+Données!J190</f>
        <v>61880.14</v>
      </c>
      <c r="H190" s="8">
        <f>Données!U190</f>
        <v>-51834.44</v>
      </c>
      <c r="I190" s="213">
        <f>Données!V190</f>
        <v>0</v>
      </c>
      <c r="J190" s="213">
        <f>Données!W190</f>
        <v>-6168.34</v>
      </c>
      <c r="K190" s="8">
        <f>+Données!Q190</f>
        <v>335.72</v>
      </c>
      <c r="L190" s="450">
        <f t="shared" si="7"/>
        <v>6743291.4799999986</v>
      </c>
      <c r="M190" s="8">
        <f>+Données!F190</f>
        <v>0</v>
      </c>
      <c r="N190" s="8">
        <f>+Données!K190</f>
        <v>14154.3</v>
      </c>
      <c r="O190" s="8">
        <f>(Données!L190/Données!Y190)*1</f>
        <v>439152.16666666669</v>
      </c>
      <c r="P190" s="450">
        <f t="shared" si="8"/>
        <v>7196597.9466666654</v>
      </c>
      <c r="Q190" s="238">
        <f>+Données!X190</f>
        <v>60</v>
      </c>
      <c r="R190" s="450">
        <f t="shared" si="9"/>
        <v>119943.29911111109</v>
      </c>
    </row>
    <row r="191" spans="1:18" x14ac:dyDescent="0.25">
      <c r="A191" s="7">
        <f>Données!A191</f>
        <v>5720</v>
      </c>
      <c r="B191" s="27" t="str">
        <f>Données!B191</f>
        <v>Givrins</v>
      </c>
      <c r="C191" s="8">
        <f>Données!C191+Données!D191</f>
        <v>4799685.29</v>
      </c>
      <c r="D191" s="8">
        <f>+Données!G191+Données!H191+Données!S191</f>
        <v>106273.32999999999</v>
      </c>
      <c r="E191" s="8">
        <f>+Données!E191</f>
        <v>0</v>
      </c>
      <c r="F191" s="8">
        <f>+Données!I191</f>
        <v>408093.5</v>
      </c>
      <c r="G191" s="8">
        <f>+Données!J191</f>
        <v>60011.1</v>
      </c>
      <c r="H191" s="8">
        <f>Données!U191</f>
        <v>-5671.59</v>
      </c>
      <c r="I191" s="213">
        <f>Données!V191</f>
        <v>0</v>
      </c>
      <c r="J191" s="213">
        <f>Données!W191</f>
        <v>-11420.29</v>
      </c>
      <c r="K191" s="8">
        <f>+Données!Q191</f>
        <v>291.77999999999997</v>
      </c>
      <c r="L191" s="450">
        <f t="shared" si="7"/>
        <v>5357263.12</v>
      </c>
      <c r="M191" s="8">
        <f>+Données!F191</f>
        <v>0</v>
      </c>
      <c r="N191" s="8">
        <f>+Données!K191</f>
        <v>0</v>
      </c>
      <c r="O191" s="8">
        <f>(Données!L191/Données!Y191)*1</f>
        <v>328921.83333333337</v>
      </c>
      <c r="P191" s="450">
        <f t="shared" si="8"/>
        <v>5686184.9533333331</v>
      </c>
      <c r="Q191" s="238">
        <f>+Données!X191</f>
        <v>67</v>
      </c>
      <c r="R191" s="450">
        <f t="shared" si="9"/>
        <v>84868.432139303477</v>
      </c>
    </row>
    <row r="192" spans="1:18" x14ac:dyDescent="0.25">
      <c r="A192" s="7">
        <f>Données!A192</f>
        <v>5721</v>
      </c>
      <c r="B192" s="27" t="str">
        <f>Données!B192</f>
        <v>Gland</v>
      </c>
      <c r="C192" s="8">
        <f>Données!C192+Données!D192</f>
        <v>30859380.539999999</v>
      </c>
      <c r="D192" s="8">
        <f>+Données!G192+Données!H192+Données!S192</f>
        <v>6121033.5900000008</v>
      </c>
      <c r="E192" s="8">
        <f>+Données!E192</f>
        <v>0</v>
      </c>
      <c r="F192" s="8">
        <f>+Données!I192</f>
        <v>704264.29</v>
      </c>
      <c r="G192" s="8">
        <f>+Données!J192</f>
        <v>1106072.03</v>
      </c>
      <c r="H192" s="8">
        <f>Données!U192</f>
        <v>-394646.63</v>
      </c>
      <c r="I192" s="213">
        <f>Données!V192</f>
        <v>0</v>
      </c>
      <c r="J192" s="213">
        <f>Données!W192</f>
        <v>-82432.990000000005</v>
      </c>
      <c r="K192" s="8">
        <f>+Données!Q192</f>
        <v>72861.02</v>
      </c>
      <c r="L192" s="450">
        <f t="shared" si="7"/>
        <v>38386531.850000001</v>
      </c>
      <c r="M192" s="8">
        <f>+Données!F192</f>
        <v>0</v>
      </c>
      <c r="N192" s="8">
        <f>+Données!K192</f>
        <v>549055.4</v>
      </c>
      <c r="O192" s="8">
        <f>(Données!L192/Données!Y192)*1</f>
        <v>3092516.35</v>
      </c>
      <c r="P192" s="450">
        <f t="shared" si="8"/>
        <v>42028103.600000001</v>
      </c>
      <c r="Q192" s="238">
        <f>+Données!X192</f>
        <v>61</v>
      </c>
      <c r="R192" s="450">
        <f t="shared" si="9"/>
        <v>688985.30491803284</v>
      </c>
    </row>
    <row r="193" spans="1:18" x14ac:dyDescent="0.25">
      <c r="A193" s="7">
        <f>Données!A193</f>
        <v>5722</v>
      </c>
      <c r="B193" s="27" t="str">
        <f>Données!B193</f>
        <v>Grens</v>
      </c>
      <c r="C193" s="8">
        <f>Données!C193+Données!D193</f>
        <v>1180107.9099999999</v>
      </c>
      <c r="D193" s="8">
        <f>+Données!G193+Données!H193+Données!S193</f>
        <v>9482.5600000000013</v>
      </c>
      <c r="E193" s="8">
        <f>+Données!E193</f>
        <v>0</v>
      </c>
      <c r="F193" s="8">
        <f>+Données!I193</f>
        <v>0</v>
      </c>
      <c r="G193" s="8">
        <f>+Données!J193</f>
        <v>14617.75</v>
      </c>
      <c r="H193" s="8">
        <f>Données!U193</f>
        <v>-10329.219999999999</v>
      </c>
      <c r="I193" s="213">
        <f>Données!V193</f>
        <v>0</v>
      </c>
      <c r="J193" s="213">
        <f>Données!W193</f>
        <v>-1074.82</v>
      </c>
      <c r="K193" s="8">
        <f>+Données!Q193</f>
        <v>2111.5100000000002</v>
      </c>
      <c r="L193" s="450">
        <f t="shared" si="7"/>
        <v>1194915.69</v>
      </c>
      <c r="M193" s="8">
        <f>+Données!F193</f>
        <v>0</v>
      </c>
      <c r="N193" s="8">
        <f>+Données!K193</f>
        <v>7610.1</v>
      </c>
      <c r="O193" s="8">
        <f>(Données!L193/Données!Y193)*1</f>
        <v>94063.05</v>
      </c>
      <c r="P193" s="450">
        <f t="shared" si="8"/>
        <v>1296588.8400000001</v>
      </c>
      <c r="Q193" s="238">
        <f>+Données!X193</f>
        <v>62</v>
      </c>
      <c r="R193" s="450">
        <f t="shared" si="9"/>
        <v>20912.723225806454</v>
      </c>
    </row>
    <row r="194" spans="1:18" x14ac:dyDescent="0.25">
      <c r="A194" s="7">
        <f>Données!A194</f>
        <v>5723</v>
      </c>
      <c r="B194" s="27" t="str">
        <f>Données!B194</f>
        <v>Mies</v>
      </c>
      <c r="C194" s="8">
        <f>Données!C194+Données!D194</f>
        <v>11133994.670000002</v>
      </c>
      <c r="D194" s="8">
        <f>+Données!G194+Données!H194+Données!S194</f>
        <v>203471.44</v>
      </c>
      <c r="E194" s="8">
        <f>+Données!E194</f>
        <v>0</v>
      </c>
      <c r="F194" s="8">
        <f>+Données!I194</f>
        <v>811487.35</v>
      </c>
      <c r="G194" s="8">
        <f>+Données!J194</f>
        <v>116354.42</v>
      </c>
      <c r="H194" s="8">
        <f>Données!U194</f>
        <v>-19160.009999999998</v>
      </c>
      <c r="I194" s="213">
        <f>Données!V194</f>
        <v>0</v>
      </c>
      <c r="J194" s="213">
        <f>Données!W194</f>
        <v>-12142.06</v>
      </c>
      <c r="K194" s="8">
        <f>+Données!Q194</f>
        <v>1682.14</v>
      </c>
      <c r="L194" s="450">
        <f t="shared" si="7"/>
        <v>12235687.950000001</v>
      </c>
      <c r="M194" s="8">
        <f>+Données!F194</f>
        <v>0</v>
      </c>
      <c r="N194" s="8">
        <f>+Données!K194</f>
        <v>48197.35</v>
      </c>
      <c r="O194" s="8">
        <f>(Données!L194/Données!Y194)*1</f>
        <v>912216.75</v>
      </c>
      <c r="P194" s="450">
        <f t="shared" si="8"/>
        <v>13196102.050000001</v>
      </c>
      <c r="Q194" s="238">
        <f>+Données!X194</f>
        <v>52</v>
      </c>
      <c r="R194" s="450">
        <f t="shared" si="9"/>
        <v>253771.19326923077</v>
      </c>
    </row>
    <row r="195" spans="1:18" x14ac:dyDescent="0.25">
      <c r="A195" s="7">
        <f>Données!A195</f>
        <v>5724</v>
      </c>
      <c r="B195" s="27" t="str">
        <f>Données!B195</f>
        <v>Nyon</v>
      </c>
      <c r="C195" s="8">
        <f>Données!C195+Données!D195</f>
        <v>69089635.100000009</v>
      </c>
      <c r="D195" s="8">
        <f>+Données!G195+Données!H195+Données!S195</f>
        <v>12345392.85</v>
      </c>
      <c r="E195" s="8">
        <f>+Données!E195</f>
        <v>0</v>
      </c>
      <c r="F195" s="8">
        <f>+Données!I195</f>
        <v>1715206.94</v>
      </c>
      <c r="G195" s="8">
        <f>+Données!J195</f>
        <v>3670882.78</v>
      </c>
      <c r="H195" s="8">
        <f>Données!U195</f>
        <v>-715916.12</v>
      </c>
      <c r="I195" s="213">
        <f>Données!V195</f>
        <v>0</v>
      </c>
      <c r="J195" s="213">
        <f>Données!W195</f>
        <v>-313374.37</v>
      </c>
      <c r="K195" s="8">
        <f>+Données!Q195</f>
        <v>96535.7</v>
      </c>
      <c r="L195" s="450">
        <f t="shared" si="7"/>
        <v>85888362.879999995</v>
      </c>
      <c r="M195" s="8">
        <f>+Données!F195</f>
        <v>0</v>
      </c>
      <c r="N195" s="8">
        <f>+Données!K195</f>
        <v>988000.25</v>
      </c>
      <c r="O195" s="8">
        <f>(Données!L195/Données!Y195)*1</f>
        <v>5852701.5</v>
      </c>
      <c r="P195" s="450">
        <f t="shared" si="8"/>
        <v>92729064.629999995</v>
      </c>
      <c r="Q195" s="238">
        <f>+Données!X195</f>
        <v>61</v>
      </c>
      <c r="R195" s="450">
        <f t="shared" si="9"/>
        <v>1520148.6004918031</v>
      </c>
    </row>
    <row r="196" spans="1:18" x14ac:dyDescent="0.25">
      <c r="A196" s="7">
        <f>Données!A196</f>
        <v>5725</v>
      </c>
      <c r="B196" s="27" t="str">
        <f>Données!B196</f>
        <v>Prangins</v>
      </c>
      <c r="C196" s="8">
        <f>Données!C196+Données!D196</f>
        <v>16051041.279999999</v>
      </c>
      <c r="D196" s="8">
        <f>+Données!G196+Données!H196+Données!S196</f>
        <v>3600326.94</v>
      </c>
      <c r="E196" s="8">
        <f>+Données!E196</f>
        <v>0</v>
      </c>
      <c r="F196" s="8">
        <f>+Données!I196</f>
        <v>233253.24</v>
      </c>
      <c r="G196" s="8">
        <f>+Données!J196</f>
        <v>351423.62</v>
      </c>
      <c r="H196" s="8">
        <f>Données!U196</f>
        <v>-56734.69</v>
      </c>
      <c r="I196" s="213">
        <f>Données!V196</f>
        <v>0</v>
      </c>
      <c r="J196" s="213">
        <f>Données!W196</f>
        <v>-31802.03</v>
      </c>
      <c r="K196" s="8">
        <f>+Données!Q196</f>
        <v>14979.36</v>
      </c>
      <c r="L196" s="450">
        <f t="shared" si="7"/>
        <v>20162487.719999995</v>
      </c>
      <c r="M196" s="8">
        <f>+Données!F196</f>
        <v>0</v>
      </c>
      <c r="N196" s="8">
        <f>+Données!K196</f>
        <v>3441.35</v>
      </c>
      <c r="O196" s="8">
        <f>(Données!L196/Données!Y196)*1</f>
        <v>1226815.7142857143</v>
      </c>
      <c r="P196" s="450">
        <f t="shared" si="8"/>
        <v>21392744.784285709</v>
      </c>
      <c r="Q196" s="238">
        <f>+Données!X196</f>
        <v>55</v>
      </c>
      <c r="R196" s="450">
        <f t="shared" si="9"/>
        <v>388958.996077922</v>
      </c>
    </row>
    <row r="197" spans="1:18" x14ac:dyDescent="0.25">
      <c r="A197" s="7">
        <f>Données!A197</f>
        <v>5726</v>
      </c>
      <c r="B197" s="27" t="str">
        <f>Données!B197</f>
        <v>La Rippe</v>
      </c>
      <c r="C197" s="8">
        <f>Données!C197+Données!D197</f>
        <v>4113973.1900000004</v>
      </c>
      <c r="D197" s="8">
        <f>+Données!G197+Données!H197+Données!S197</f>
        <v>61748.240000000005</v>
      </c>
      <c r="E197" s="8">
        <f>+Données!E197</f>
        <v>0</v>
      </c>
      <c r="F197" s="8">
        <f>+Données!I197</f>
        <v>0</v>
      </c>
      <c r="G197" s="8">
        <f>+Données!J197</f>
        <v>22978.07</v>
      </c>
      <c r="H197" s="8">
        <f>Données!U197</f>
        <v>-13878.86</v>
      </c>
      <c r="I197" s="213">
        <f>Données!V197</f>
        <v>0</v>
      </c>
      <c r="J197" s="213">
        <f>Données!W197</f>
        <v>-8116.34</v>
      </c>
      <c r="K197" s="8">
        <f>+Données!Q197</f>
        <v>2449.34</v>
      </c>
      <c r="L197" s="450">
        <f t="shared" si="7"/>
        <v>4179153.6400000011</v>
      </c>
      <c r="M197" s="8">
        <f>+Données!F197</f>
        <v>0</v>
      </c>
      <c r="N197" s="8">
        <f>+Données!K197</f>
        <v>3844.55</v>
      </c>
      <c r="O197" s="8">
        <f>(Données!L197/Données!Y197)*1</f>
        <v>283300.25</v>
      </c>
      <c r="P197" s="450">
        <f t="shared" si="8"/>
        <v>4466298.4400000013</v>
      </c>
      <c r="Q197" s="238">
        <f>+Données!X197</f>
        <v>64</v>
      </c>
      <c r="R197" s="450">
        <f t="shared" si="9"/>
        <v>69785.913125000021</v>
      </c>
    </row>
    <row r="198" spans="1:18" x14ac:dyDescent="0.25">
      <c r="A198" s="7">
        <f>Données!A198</f>
        <v>5727</v>
      </c>
      <c r="B198" s="27" t="str">
        <f>Données!B198</f>
        <v>Saint-Cergue</v>
      </c>
      <c r="C198" s="8">
        <f>Données!C198+Données!D198</f>
        <v>6175671.2600000007</v>
      </c>
      <c r="D198" s="8">
        <f>+Données!G198+Données!H198+Données!S198</f>
        <v>95322.880000000005</v>
      </c>
      <c r="E198" s="8">
        <f>+Données!E198</f>
        <v>0</v>
      </c>
      <c r="F198" s="8">
        <f>+Données!I198</f>
        <v>124144.95</v>
      </c>
      <c r="G198" s="8">
        <f>+Données!J198</f>
        <v>178037.69</v>
      </c>
      <c r="H198" s="8">
        <f>Données!U198</f>
        <v>-103567.36</v>
      </c>
      <c r="I198" s="213">
        <f>Données!V198</f>
        <v>0</v>
      </c>
      <c r="J198" s="213">
        <f>Données!W198</f>
        <v>-2496.9699999999998</v>
      </c>
      <c r="K198" s="8">
        <f>+Données!Q198</f>
        <v>22195.84</v>
      </c>
      <c r="L198" s="450">
        <f t="shared" si="7"/>
        <v>6489308.290000001</v>
      </c>
      <c r="M198" s="8">
        <f>+Données!F198</f>
        <v>0</v>
      </c>
      <c r="N198" s="8">
        <f>+Données!K198</f>
        <v>13925.4</v>
      </c>
      <c r="O198" s="8">
        <f>(Données!L198/Données!Y198)*1</f>
        <v>561945.1</v>
      </c>
      <c r="P198" s="450">
        <f t="shared" si="8"/>
        <v>7065178.790000001</v>
      </c>
      <c r="Q198" s="238">
        <f>+Données!X198</f>
        <v>66</v>
      </c>
      <c r="R198" s="450">
        <f t="shared" si="9"/>
        <v>107048.1634848485</v>
      </c>
    </row>
    <row r="199" spans="1:18" x14ac:dyDescent="0.25">
      <c r="A199" s="7">
        <f>Données!A199</f>
        <v>5728</v>
      </c>
      <c r="B199" s="27" t="str">
        <f>Données!B199</f>
        <v>Signy-Avenex</v>
      </c>
      <c r="C199" s="8">
        <f>Données!C199+Données!D199</f>
        <v>1502929.57</v>
      </c>
      <c r="D199" s="8">
        <f>+Données!G199+Données!H199+Données!S199</f>
        <v>1883708.33</v>
      </c>
      <c r="E199" s="8">
        <f>+Données!E199</f>
        <v>0</v>
      </c>
      <c r="F199" s="8">
        <f>+Données!I199</f>
        <v>31747.15</v>
      </c>
      <c r="G199" s="8">
        <f>+Données!J199</f>
        <v>101609.01</v>
      </c>
      <c r="H199" s="8">
        <f>Données!U199</f>
        <v>-4453.88</v>
      </c>
      <c r="I199" s="213">
        <f>Données!V199</f>
        <v>0</v>
      </c>
      <c r="J199" s="213">
        <f>Données!W199</f>
        <v>-594.04</v>
      </c>
      <c r="K199" s="8">
        <f>+Données!Q199</f>
        <v>0</v>
      </c>
      <c r="L199" s="450">
        <f t="shared" ref="L199:L262" si="10">SUM(C199:K199)</f>
        <v>3514946.14</v>
      </c>
      <c r="M199" s="8">
        <f>+Données!F199</f>
        <v>0</v>
      </c>
      <c r="N199" s="8">
        <f>+Données!K199</f>
        <v>61900.95</v>
      </c>
      <c r="O199" s="8">
        <f>(Données!L199/Données!Y199)*1</f>
        <v>251197</v>
      </c>
      <c r="P199" s="450">
        <f t="shared" ref="P199:P262" si="11">SUM(L199:O199)</f>
        <v>3828044.0900000003</v>
      </c>
      <c r="Q199" s="238">
        <f>+Données!X199</f>
        <v>58</v>
      </c>
      <c r="R199" s="450">
        <f t="shared" ref="R199:R262" si="12">P199/Q199</f>
        <v>66000.760172413793</v>
      </c>
    </row>
    <row r="200" spans="1:18" x14ac:dyDescent="0.25">
      <c r="A200" s="7">
        <f>Données!A200</f>
        <v>5729</v>
      </c>
      <c r="B200" s="27" t="str">
        <f>Données!B200</f>
        <v>Tannay</v>
      </c>
      <c r="C200" s="8">
        <f>Données!C200+Données!D200</f>
        <v>10289444.710000001</v>
      </c>
      <c r="D200" s="8">
        <f>+Données!G200+Données!H200+Données!S200</f>
        <v>151985.87</v>
      </c>
      <c r="E200" s="8">
        <f>+Données!E200</f>
        <v>0</v>
      </c>
      <c r="F200" s="8">
        <f>+Données!I200</f>
        <v>276331.74</v>
      </c>
      <c r="G200" s="8">
        <f>+Données!J200</f>
        <v>116052.55</v>
      </c>
      <c r="H200" s="8">
        <f>Données!U200</f>
        <v>-11869.97</v>
      </c>
      <c r="I200" s="213">
        <f>Données!V200</f>
        <v>0</v>
      </c>
      <c r="J200" s="213">
        <f>Données!W200</f>
        <v>-9829.84</v>
      </c>
      <c r="K200" s="8">
        <f>+Données!Q200</f>
        <v>1976.72</v>
      </c>
      <c r="L200" s="450">
        <f t="shared" si="10"/>
        <v>10814091.780000001</v>
      </c>
      <c r="M200" s="8">
        <f>+Données!F200</f>
        <v>0</v>
      </c>
      <c r="N200" s="8">
        <f>+Données!K200</f>
        <v>4704.75</v>
      </c>
      <c r="O200" s="8">
        <f>(Données!L200/Données!Y200)*1</f>
        <v>620898.46666666667</v>
      </c>
      <c r="P200" s="450">
        <f t="shared" si="11"/>
        <v>11439694.996666668</v>
      </c>
      <c r="Q200" s="238">
        <f>+Données!X200</f>
        <v>60.5</v>
      </c>
      <c r="R200" s="450">
        <f t="shared" si="12"/>
        <v>189085.86771349865</v>
      </c>
    </row>
    <row r="201" spans="1:18" x14ac:dyDescent="0.25">
      <c r="A201" s="7">
        <f>Données!A201</f>
        <v>5730</v>
      </c>
      <c r="B201" s="27" t="str">
        <f>Données!B201</f>
        <v>Trélex</v>
      </c>
      <c r="C201" s="8">
        <f>Données!C201+Données!D201</f>
        <v>6196992.1199999992</v>
      </c>
      <c r="D201" s="8">
        <f>+Données!G201+Données!H201+Données!S201</f>
        <v>52801.25</v>
      </c>
      <c r="E201" s="8">
        <f>+Données!E201</f>
        <v>0</v>
      </c>
      <c r="F201" s="8">
        <f>+Données!I201</f>
        <v>26419.7</v>
      </c>
      <c r="G201" s="8">
        <f>+Données!J201</f>
        <v>45125.73</v>
      </c>
      <c r="H201" s="8">
        <f>Données!U201</f>
        <v>-831.72</v>
      </c>
      <c r="I201" s="213">
        <f>Données!V201</f>
        <v>0</v>
      </c>
      <c r="J201" s="213">
        <f>Données!W201</f>
        <v>-51672.72</v>
      </c>
      <c r="K201" s="8">
        <f>+Données!Q201</f>
        <v>1309.83</v>
      </c>
      <c r="L201" s="450">
        <f t="shared" si="10"/>
        <v>6270144.1900000004</v>
      </c>
      <c r="M201" s="8">
        <f>+Données!F201</f>
        <v>0</v>
      </c>
      <c r="N201" s="8">
        <f>+Données!K201</f>
        <v>-348.5</v>
      </c>
      <c r="O201" s="8">
        <f>(Données!L201/Données!Y201)*1</f>
        <v>468700.27777777775</v>
      </c>
      <c r="P201" s="450">
        <f t="shared" si="11"/>
        <v>6738495.9677777784</v>
      </c>
      <c r="Q201" s="238">
        <f>+Données!X201</f>
        <v>55.5</v>
      </c>
      <c r="R201" s="450">
        <f t="shared" si="12"/>
        <v>121414.34176176177</v>
      </c>
    </row>
    <row r="202" spans="1:18" x14ac:dyDescent="0.25">
      <c r="A202" s="7">
        <f>Données!A202</f>
        <v>5731</v>
      </c>
      <c r="B202" s="27" t="str">
        <f>Données!B202</f>
        <v>Le Vaud</v>
      </c>
      <c r="C202" s="8">
        <f>Données!C202+Données!D202</f>
        <v>4830164.26</v>
      </c>
      <c r="D202" s="8">
        <f>+Données!G202+Données!H202+Données!S202</f>
        <v>25645.39</v>
      </c>
      <c r="E202" s="8">
        <f>+Données!E202</f>
        <v>0</v>
      </c>
      <c r="F202" s="8">
        <f>+Données!I202</f>
        <v>0</v>
      </c>
      <c r="G202" s="8">
        <f>+Données!J202</f>
        <v>25446.400000000001</v>
      </c>
      <c r="H202" s="8">
        <f>Données!U202</f>
        <v>-7219.37</v>
      </c>
      <c r="I202" s="213">
        <f>Données!V202</f>
        <v>0</v>
      </c>
      <c r="J202" s="213">
        <f>Données!W202</f>
        <v>-14946.04</v>
      </c>
      <c r="K202" s="8">
        <f>+Données!Q202</f>
        <v>0</v>
      </c>
      <c r="L202" s="450">
        <f t="shared" si="10"/>
        <v>4859090.6399999997</v>
      </c>
      <c r="M202" s="8">
        <f>+Données!F202</f>
        <v>0</v>
      </c>
      <c r="N202" s="8">
        <f>+Données!K202</f>
        <v>4266.5</v>
      </c>
      <c r="O202" s="8">
        <f>(Données!L202/Données!Y202)*1</f>
        <v>287824.2</v>
      </c>
      <c r="P202" s="450">
        <f t="shared" si="11"/>
        <v>5151181.34</v>
      </c>
      <c r="Q202" s="238">
        <f>+Données!X202</f>
        <v>74</v>
      </c>
      <c r="R202" s="450">
        <f t="shared" si="12"/>
        <v>69610.558648648643</v>
      </c>
    </row>
    <row r="203" spans="1:18" x14ac:dyDescent="0.25">
      <c r="A203" s="7">
        <f>Données!A203</f>
        <v>5732</v>
      </c>
      <c r="B203" s="27" t="str">
        <f>Données!B203</f>
        <v>Vich</v>
      </c>
      <c r="C203" s="8">
        <f>Données!C203+Données!D203</f>
        <v>4249652.82</v>
      </c>
      <c r="D203" s="8">
        <f>+Données!G203+Données!H203+Données!S203</f>
        <v>159511.64000000001</v>
      </c>
      <c r="E203" s="8">
        <f>+Données!E203</f>
        <v>0</v>
      </c>
      <c r="F203" s="8">
        <f>+Données!I203</f>
        <v>192797.15</v>
      </c>
      <c r="G203" s="8">
        <f>+Données!J203</f>
        <v>60315.69</v>
      </c>
      <c r="H203" s="8">
        <f>Données!U203</f>
        <v>-29175.56</v>
      </c>
      <c r="I203" s="213">
        <f>Données!V203</f>
        <v>0</v>
      </c>
      <c r="J203" s="213">
        <f>Données!W203</f>
        <v>-1041.67</v>
      </c>
      <c r="K203" s="8">
        <f>+Données!Q203</f>
        <v>1233.95</v>
      </c>
      <c r="L203" s="450">
        <f t="shared" si="10"/>
        <v>4633294.0200000014</v>
      </c>
      <c r="M203" s="8">
        <f>+Données!F203</f>
        <v>0</v>
      </c>
      <c r="N203" s="8">
        <f>+Données!K203</f>
        <v>21944.799999999999</v>
      </c>
      <c r="O203" s="8">
        <f>(Données!L203/Données!Y203)*1</f>
        <v>376050.75</v>
      </c>
      <c r="P203" s="450">
        <f t="shared" si="11"/>
        <v>5031289.5700000012</v>
      </c>
      <c r="Q203" s="238">
        <f>+Données!X203</f>
        <v>63</v>
      </c>
      <c r="R203" s="450">
        <f t="shared" si="12"/>
        <v>79861.73920634923</v>
      </c>
    </row>
    <row r="204" spans="1:18" x14ac:dyDescent="0.25">
      <c r="A204" s="7">
        <f>Données!A204</f>
        <v>5741</v>
      </c>
      <c r="B204" s="27" t="str">
        <f>Données!B204</f>
        <v>L'Abergement</v>
      </c>
      <c r="C204" s="8">
        <f>Données!C204+Données!D204</f>
        <v>806310.97</v>
      </c>
      <c r="D204" s="8">
        <f>+Données!G204+Données!H204+Données!S204</f>
        <v>13705.029999999999</v>
      </c>
      <c r="E204" s="8">
        <f>+Données!E204</f>
        <v>0</v>
      </c>
      <c r="F204" s="8">
        <f>+Données!I204</f>
        <v>0</v>
      </c>
      <c r="G204" s="8">
        <f>+Données!J204</f>
        <v>4048.32</v>
      </c>
      <c r="H204" s="8">
        <f>Données!U204</f>
        <v>-1035.76</v>
      </c>
      <c r="I204" s="213">
        <f>Données!V204</f>
        <v>0</v>
      </c>
      <c r="J204" s="213">
        <f>Données!W204</f>
        <v>0</v>
      </c>
      <c r="K204" s="8">
        <f>+Données!Q204</f>
        <v>0</v>
      </c>
      <c r="L204" s="450">
        <f t="shared" si="10"/>
        <v>823028.55999999994</v>
      </c>
      <c r="M204" s="8">
        <f>+Données!F204</f>
        <v>1460</v>
      </c>
      <c r="N204" s="8">
        <f>+Données!K204</f>
        <v>0</v>
      </c>
      <c r="O204" s="8">
        <f>(Données!L204/Données!Y204)*1</f>
        <v>42223.791666666672</v>
      </c>
      <c r="P204" s="450">
        <f t="shared" si="11"/>
        <v>866712.35166666657</v>
      </c>
      <c r="Q204" s="238">
        <f>+Données!X204</f>
        <v>80</v>
      </c>
      <c r="R204" s="450">
        <f t="shared" si="12"/>
        <v>10833.904395833331</v>
      </c>
    </row>
    <row r="205" spans="1:18" x14ac:dyDescent="0.25">
      <c r="A205" s="7">
        <f>Données!A205</f>
        <v>5742</v>
      </c>
      <c r="B205" s="27" t="str">
        <f>Données!B205</f>
        <v>Agiez</v>
      </c>
      <c r="C205" s="8">
        <f>Données!C205+Données!D205</f>
        <v>620500</v>
      </c>
      <c r="D205" s="8">
        <f>+Données!G205+Données!H205+Données!S205</f>
        <v>1565.8000000000002</v>
      </c>
      <c r="E205" s="8">
        <f>+Données!E205</f>
        <v>0</v>
      </c>
      <c r="F205" s="8">
        <f>+Données!I205</f>
        <v>0</v>
      </c>
      <c r="G205" s="8">
        <f>+Données!J205</f>
        <v>10294.01</v>
      </c>
      <c r="H205" s="8">
        <f>Données!U205</f>
        <v>-7228.01</v>
      </c>
      <c r="I205" s="213">
        <f>Données!V205</f>
        <v>0</v>
      </c>
      <c r="J205" s="213">
        <f>Données!W205</f>
        <v>0</v>
      </c>
      <c r="K205" s="8">
        <f>+Données!Q205</f>
        <v>-102.83</v>
      </c>
      <c r="L205" s="450">
        <f t="shared" si="10"/>
        <v>625028.97000000009</v>
      </c>
      <c r="M205" s="8">
        <f>+Données!F205</f>
        <v>0</v>
      </c>
      <c r="N205" s="8">
        <f>+Données!K205</f>
        <v>2503.8000000000002</v>
      </c>
      <c r="O205" s="8">
        <f>(Données!L205/Données!Y205)*1</f>
        <v>60194</v>
      </c>
      <c r="P205" s="450">
        <f t="shared" si="11"/>
        <v>687726.77000000014</v>
      </c>
      <c r="Q205" s="238">
        <f>+Données!X205</f>
        <v>76</v>
      </c>
      <c r="R205" s="450">
        <f t="shared" si="12"/>
        <v>9049.0364473684222</v>
      </c>
    </row>
    <row r="206" spans="1:18" x14ac:dyDescent="0.25">
      <c r="A206" s="7">
        <f>Données!A206</f>
        <v>5743</v>
      </c>
      <c r="B206" s="27" t="str">
        <f>Données!B206</f>
        <v>Arnex-sur-Orbe</v>
      </c>
      <c r="C206" s="8">
        <f>Données!C206+Données!D206</f>
        <v>1283235.48</v>
      </c>
      <c r="D206" s="8">
        <f>+Données!G206+Données!H206+Données!S206</f>
        <v>9779.84</v>
      </c>
      <c r="E206" s="8">
        <f>+Données!E206</f>
        <v>0</v>
      </c>
      <c r="F206" s="8">
        <f>+Données!I206</f>
        <v>0</v>
      </c>
      <c r="G206" s="8">
        <f>+Données!J206</f>
        <v>10409.280000000001</v>
      </c>
      <c r="H206" s="8">
        <f>Données!U206</f>
        <v>-15848.19</v>
      </c>
      <c r="I206" s="213">
        <f>Données!V206</f>
        <v>0</v>
      </c>
      <c r="J206" s="213">
        <f>Données!W206</f>
        <v>-254.75</v>
      </c>
      <c r="K206" s="8">
        <f>+Données!Q206</f>
        <v>0</v>
      </c>
      <c r="L206" s="450">
        <f t="shared" si="10"/>
        <v>1287321.6600000001</v>
      </c>
      <c r="M206" s="8">
        <f>+Données!F206</f>
        <v>0</v>
      </c>
      <c r="N206" s="8">
        <f>+Données!K206</f>
        <v>0</v>
      </c>
      <c r="O206" s="8">
        <f>(Données!L206/Données!Y206)*1</f>
        <v>91750</v>
      </c>
      <c r="P206" s="450">
        <f t="shared" si="11"/>
        <v>1379071.6600000001</v>
      </c>
      <c r="Q206" s="238">
        <f>+Données!X206</f>
        <v>71</v>
      </c>
      <c r="R206" s="450">
        <f t="shared" si="12"/>
        <v>19423.544507042254</v>
      </c>
    </row>
    <row r="207" spans="1:18" x14ac:dyDescent="0.25">
      <c r="A207" s="7">
        <f>Données!A207</f>
        <v>5744</v>
      </c>
      <c r="B207" s="27" t="str">
        <f>Données!B207</f>
        <v>Ballaigues</v>
      </c>
      <c r="C207" s="8">
        <f>Données!C207+Données!D207</f>
        <v>1563067.19</v>
      </c>
      <c r="D207" s="8">
        <f>+Données!G207+Données!H207+Données!S207</f>
        <v>1741112.95</v>
      </c>
      <c r="E207" s="8">
        <f>+Données!E207</f>
        <v>0</v>
      </c>
      <c r="F207" s="8">
        <f>+Données!I207</f>
        <v>0</v>
      </c>
      <c r="G207" s="8">
        <f>+Données!J207</f>
        <v>113583.97</v>
      </c>
      <c r="H207" s="8">
        <f>Données!U207</f>
        <v>-160539.53</v>
      </c>
      <c r="I207" s="213">
        <f>Données!V207</f>
        <v>0</v>
      </c>
      <c r="J207" s="213">
        <f>Données!W207</f>
        <v>-296.76</v>
      </c>
      <c r="K207" s="8">
        <f>+Données!Q207</f>
        <v>65903.78</v>
      </c>
      <c r="L207" s="450">
        <f t="shared" si="10"/>
        <v>3322831.6</v>
      </c>
      <c r="M207" s="8">
        <f>+Données!F207</f>
        <v>0</v>
      </c>
      <c r="N207" s="8">
        <f>+Données!K207</f>
        <v>-48.5</v>
      </c>
      <c r="O207" s="8">
        <f>(Données!L207/Données!Y207)*1</f>
        <v>194048.5</v>
      </c>
      <c r="P207" s="450">
        <f t="shared" si="11"/>
        <v>3516831.6</v>
      </c>
      <c r="Q207" s="238">
        <f>+Données!X207</f>
        <v>65</v>
      </c>
      <c r="R207" s="450">
        <f t="shared" si="12"/>
        <v>54105.101538461538</v>
      </c>
    </row>
    <row r="208" spans="1:18" x14ac:dyDescent="0.25">
      <c r="A208" s="7">
        <f>Données!A208</f>
        <v>5745</v>
      </c>
      <c r="B208" s="27" t="str">
        <f>Données!B208</f>
        <v>Baulmes</v>
      </c>
      <c r="C208" s="8">
        <f>Données!C208+Données!D208</f>
        <v>1876738.7</v>
      </c>
      <c r="D208" s="8">
        <f>+Données!G208+Données!H208+Données!S208</f>
        <v>46428.59</v>
      </c>
      <c r="E208" s="8">
        <f>+Données!E208</f>
        <v>0</v>
      </c>
      <c r="F208" s="8">
        <f>+Données!I208</f>
        <v>0</v>
      </c>
      <c r="G208" s="8">
        <f>+Données!J208</f>
        <v>55170.58</v>
      </c>
      <c r="H208" s="8">
        <f>Données!U208</f>
        <v>-31362.83</v>
      </c>
      <c r="I208" s="213">
        <f>Données!V208</f>
        <v>0</v>
      </c>
      <c r="J208" s="213">
        <f>Données!W208</f>
        <v>-7.67</v>
      </c>
      <c r="K208" s="8">
        <f>+Données!Q208</f>
        <v>14956.61</v>
      </c>
      <c r="L208" s="450">
        <f t="shared" si="10"/>
        <v>1961923.9800000002</v>
      </c>
      <c r="M208" s="8">
        <f>+Données!F208</f>
        <v>0</v>
      </c>
      <c r="N208" s="8">
        <f>+Données!K208</f>
        <v>0</v>
      </c>
      <c r="O208" s="8">
        <f>(Données!L208/Données!Y208)*1</f>
        <v>157516.54999999999</v>
      </c>
      <c r="P208" s="450">
        <f t="shared" si="11"/>
        <v>2119440.5300000003</v>
      </c>
      <c r="Q208" s="238">
        <f>+Données!X208</f>
        <v>76.5</v>
      </c>
      <c r="R208" s="450">
        <f t="shared" si="12"/>
        <v>27705.104967320265</v>
      </c>
    </row>
    <row r="209" spans="1:18" x14ac:dyDescent="0.25">
      <c r="A209" s="7">
        <f>Données!A209</f>
        <v>5746</v>
      </c>
      <c r="B209" s="27" t="str">
        <f>Données!B209</f>
        <v>Bavois</v>
      </c>
      <c r="C209" s="8">
        <f>Données!C209+Données!D209</f>
        <v>1854266.94</v>
      </c>
      <c r="D209" s="8">
        <f>+Données!G209+Données!H209+Données!S209</f>
        <v>47196.33</v>
      </c>
      <c r="E209" s="8">
        <f>+Données!E209</f>
        <v>0</v>
      </c>
      <c r="F209" s="8">
        <f>+Données!I209</f>
        <v>0</v>
      </c>
      <c r="G209" s="8">
        <f>+Données!J209</f>
        <v>23610.65</v>
      </c>
      <c r="H209" s="8">
        <f>Données!U209</f>
        <v>-26059.63</v>
      </c>
      <c r="I209" s="213">
        <f>Données!V209</f>
        <v>0</v>
      </c>
      <c r="J209" s="213">
        <f>Données!W209</f>
        <v>-82.3</v>
      </c>
      <c r="K209" s="8">
        <f>+Données!Q209</f>
        <v>12580.98</v>
      </c>
      <c r="L209" s="450">
        <f t="shared" si="10"/>
        <v>1911512.97</v>
      </c>
      <c r="M209" s="8">
        <f>+Données!F209</f>
        <v>0</v>
      </c>
      <c r="N209" s="8">
        <f>+Données!K209</f>
        <v>18702.25</v>
      </c>
      <c r="O209" s="8">
        <f>(Données!L209/Données!Y209)*1</f>
        <v>194763.45833333334</v>
      </c>
      <c r="P209" s="450">
        <f t="shared" si="11"/>
        <v>2124978.6783333332</v>
      </c>
      <c r="Q209" s="238">
        <f>+Données!X209</f>
        <v>72</v>
      </c>
      <c r="R209" s="450">
        <f t="shared" si="12"/>
        <v>29513.59275462963</v>
      </c>
    </row>
    <row r="210" spans="1:18" x14ac:dyDescent="0.25">
      <c r="A210" s="7">
        <f>Données!A210</f>
        <v>5747</v>
      </c>
      <c r="B210" s="27" t="str">
        <f>Données!B210</f>
        <v>Bofflens</v>
      </c>
      <c r="C210" s="8">
        <f>Données!C210+Données!D210</f>
        <v>358318.95999999996</v>
      </c>
      <c r="D210" s="8">
        <f>+Données!G210+Données!H210+Données!S210</f>
        <v>6565.0099999999993</v>
      </c>
      <c r="E210" s="8">
        <f>+Données!E210</f>
        <v>0</v>
      </c>
      <c r="F210" s="8">
        <f>+Données!I210</f>
        <v>0</v>
      </c>
      <c r="G210" s="8">
        <f>+Données!J210</f>
        <v>1547.98</v>
      </c>
      <c r="H210" s="8">
        <f>Données!U210</f>
        <v>-3404.14</v>
      </c>
      <c r="I210" s="213">
        <f>Données!V210</f>
        <v>0</v>
      </c>
      <c r="J210" s="213">
        <f>Données!W210</f>
        <v>-21.65</v>
      </c>
      <c r="K210" s="8">
        <f>+Données!Q210</f>
        <v>1379.35</v>
      </c>
      <c r="L210" s="450">
        <f t="shared" si="10"/>
        <v>364385.50999999989</v>
      </c>
      <c r="M210" s="8">
        <f>+Données!F210</f>
        <v>0</v>
      </c>
      <c r="N210" s="8">
        <f>+Données!K210</f>
        <v>0</v>
      </c>
      <c r="O210" s="8">
        <f>(Données!L210/Données!Y210)*1</f>
        <v>34299.1</v>
      </c>
      <c r="P210" s="450">
        <f t="shared" si="11"/>
        <v>398684.60999999987</v>
      </c>
      <c r="Q210" s="238">
        <f>+Données!X210</f>
        <v>69</v>
      </c>
      <c r="R210" s="450">
        <f t="shared" si="12"/>
        <v>5778.0378260869547</v>
      </c>
    </row>
    <row r="211" spans="1:18" x14ac:dyDescent="0.25">
      <c r="A211" s="7">
        <f>Données!A211</f>
        <v>5748</v>
      </c>
      <c r="B211" s="27" t="str">
        <f>Données!B211</f>
        <v>Bretonnières</v>
      </c>
      <c r="C211" s="8">
        <f>Données!C211+Données!D211</f>
        <v>433032.94</v>
      </c>
      <c r="D211" s="8">
        <f>+Données!G211+Données!H211+Données!S211</f>
        <v>3046.34</v>
      </c>
      <c r="E211" s="8">
        <f>+Données!E211</f>
        <v>0</v>
      </c>
      <c r="F211" s="8">
        <f>+Données!I211</f>
        <v>0</v>
      </c>
      <c r="G211" s="8">
        <f>+Données!J211</f>
        <v>407.17</v>
      </c>
      <c r="H211" s="8">
        <f>Données!U211</f>
        <v>-1012</v>
      </c>
      <c r="I211" s="213">
        <f>Données!V211</f>
        <v>0</v>
      </c>
      <c r="J211" s="213">
        <f>Données!W211</f>
        <v>0</v>
      </c>
      <c r="K211" s="8">
        <f>+Données!Q211</f>
        <v>706.77</v>
      </c>
      <c r="L211" s="450">
        <f t="shared" si="10"/>
        <v>436181.22000000003</v>
      </c>
      <c r="M211" s="8">
        <f>+Données!F211</f>
        <v>2100</v>
      </c>
      <c r="N211" s="8">
        <f>+Données!K211</f>
        <v>0</v>
      </c>
      <c r="O211" s="8">
        <f>(Données!L211/Données!Y211)*1</f>
        <v>38473.333333333336</v>
      </c>
      <c r="P211" s="450">
        <f t="shared" si="11"/>
        <v>476754.55333333334</v>
      </c>
      <c r="Q211" s="238">
        <f>+Données!X211</f>
        <v>70.5</v>
      </c>
      <c r="R211" s="450">
        <f t="shared" si="12"/>
        <v>6762.4759338061467</v>
      </c>
    </row>
    <row r="212" spans="1:18" x14ac:dyDescent="0.25">
      <c r="A212" s="7">
        <f>Données!A212</f>
        <v>5749</v>
      </c>
      <c r="B212" s="27" t="str">
        <f>Données!B212</f>
        <v>Chavornay</v>
      </c>
      <c r="C212" s="8">
        <f>Données!C212+Données!D212</f>
        <v>8855848.0199999996</v>
      </c>
      <c r="D212" s="8">
        <f>+Données!G212+Données!H212+Données!S212</f>
        <v>348484.9</v>
      </c>
      <c r="E212" s="8">
        <f>+Données!E212</f>
        <v>0</v>
      </c>
      <c r="F212" s="8">
        <f>+Données!I212</f>
        <v>0</v>
      </c>
      <c r="G212" s="8">
        <f>+Données!J212</f>
        <v>239200.22</v>
      </c>
      <c r="H212" s="8">
        <f>Données!U212</f>
        <v>-215484.9</v>
      </c>
      <c r="I212" s="213">
        <f>Données!V212</f>
        <v>0</v>
      </c>
      <c r="J212" s="213">
        <f>Données!W212</f>
        <v>-1707.14</v>
      </c>
      <c r="K212" s="8">
        <f>+Données!Q212</f>
        <v>31539.69</v>
      </c>
      <c r="L212" s="450">
        <f t="shared" si="10"/>
        <v>9257880.7899999991</v>
      </c>
      <c r="M212" s="8">
        <f>+Données!F212</f>
        <v>0</v>
      </c>
      <c r="N212" s="8">
        <f>+Données!K212</f>
        <v>56988.7</v>
      </c>
      <c r="O212" s="8">
        <f>(Données!L212/Données!Y212)*1</f>
        <v>885922.05</v>
      </c>
      <c r="P212" s="450">
        <f t="shared" si="11"/>
        <v>10200791.539999999</v>
      </c>
      <c r="Q212" s="238">
        <f>+Données!X212</f>
        <v>70.5</v>
      </c>
      <c r="R212" s="450">
        <f t="shared" si="12"/>
        <v>144692.07858156026</v>
      </c>
    </row>
    <row r="213" spans="1:18" x14ac:dyDescent="0.25">
      <c r="A213" s="7">
        <f>Données!A213</f>
        <v>5750</v>
      </c>
      <c r="B213" s="27" t="str">
        <f>Données!B213</f>
        <v>Les Clées</v>
      </c>
      <c r="C213" s="8">
        <f>Données!C213+Données!D213</f>
        <v>424767.51999999996</v>
      </c>
      <c r="D213" s="8">
        <f>+Données!G213+Données!H213+Données!S213</f>
        <v>688.76999999999987</v>
      </c>
      <c r="E213" s="8">
        <f>+Données!E213</f>
        <v>0</v>
      </c>
      <c r="F213" s="8">
        <f>+Données!I213</f>
        <v>0</v>
      </c>
      <c r="G213" s="8">
        <f>+Données!J213</f>
        <v>-2907.97</v>
      </c>
      <c r="H213" s="8">
        <f>Données!U213</f>
        <v>-9619.86</v>
      </c>
      <c r="I213" s="213">
        <f>Données!V213</f>
        <v>0</v>
      </c>
      <c r="J213" s="213">
        <f>Données!W213</f>
        <v>-49.35</v>
      </c>
      <c r="K213" s="8">
        <f>+Données!Q213</f>
        <v>0</v>
      </c>
      <c r="L213" s="450">
        <f t="shared" si="10"/>
        <v>412879.11000000004</v>
      </c>
      <c r="M213" s="8">
        <f>+Données!F213</f>
        <v>1090</v>
      </c>
      <c r="N213" s="8">
        <f>+Données!K213</f>
        <v>-1065.55</v>
      </c>
      <c r="O213" s="8">
        <f>(Données!L213/Données!Y213)*1</f>
        <v>23932.166666666668</v>
      </c>
      <c r="P213" s="450">
        <f t="shared" si="11"/>
        <v>436835.72666666674</v>
      </c>
      <c r="Q213" s="238">
        <f>+Données!X213</f>
        <v>80</v>
      </c>
      <c r="R213" s="450">
        <f t="shared" si="12"/>
        <v>5460.4465833333343</v>
      </c>
    </row>
    <row r="214" spans="1:18" x14ac:dyDescent="0.25">
      <c r="A214" s="7">
        <f>Données!A214</f>
        <v>5752</v>
      </c>
      <c r="B214" s="27" t="str">
        <f>Données!B214</f>
        <v>Croy</v>
      </c>
      <c r="C214" s="8">
        <f>Données!C214+Données!D214</f>
        <v>690726.8</v>
      </c>
      <c r="D214" s="8">
        <f>+Données!G214+Données!H214+Données!S214</f>
        <v>4520.46</v>
      </c>
      <c r="E214" s="8">
        <f>+Données!E214</f>
        <v>0</v>
      </c>
      <c r="F214" s="8">
        <f>+Données!I214</f>
        <v>0</v>
      </c>
      <c r="G214" s="8">
        <f>+Données!J214</f>
        <v>10304.99</v>
      </c>
      <c r="H214" s="8">
        <f>Données!U214</f>
        <v>-7135.64</v>
      </c>
      <c r="I214" s="213">
        <f>Données!V214</f>
        <v>0</v>
      </c>
      <c r="J214" s="213">
        <f>Données!W214</f>
        <v>-8274.6</v>
      </c>
      <c r="K214" s="8">
        <f>+Données!Q214</f>
        <v>1915.96</v>
      </c>
      <c r="L214" s="450">
        <f t="shared" si="10"/>
        <v>692057.97</v>
      </c>
      <c r="M214" s="8">
        <f>+Données!F214</f>
        <v>0</v>
      </c>
      <c r="N214" s="8">
        <f>+Données!K214</f>
        <v>833.4</v>
      </c>
      <c r="O214" s="8">
        <f>(Données!L214/Données!Y214)*1</f>
        <v>62223.42857142858</v>
      </c>
      <c r="P214" s="450">
        <f t="shared" si="11"/>
        <v>755114.79857142852</v>
      </c>
      <c r="Q214" s="238">
        <f>+Données!X214</f>
        <v>74</v>
      </c>
      <c r="R214" s="450">
        <f t="shared" si="12"/>
        <v>10204.254034749034</v>
      </c>
    </row>
    <row r="215" spans="1:18" x14ac:dyDescent="0.25">
      <c r="A215" s="7">
        <f>Données!A215</f>
        <v>5754</v>
      </c>
      <c r="B215" s="27" t="str">
        <f>Données!B215</f>
        <v>Juriens</v>
      </c>
      <c r="C215" s="8">
        <f>Données!C215+Données!D215</f>
        <v>627499.37999999989</v>
      </c>
      <c r="D215" s="8">
        <f>+Données!G215+Données!H215+Données!S215</f>
        <v>2631.32</v>
      </c>
      <c r="E215" s="8">
        <f>+Données!E215</f>
        <v>0</v>
      </c>
      <c r="F215" s="8">
        <f>+Données!I215</f>
        <v>0</v>
      </c>
      <c r="G215" s="8">
        <f>+Données!J215</f>
        <v>-869.9</v>
      </c>
      <c r="H215" s="8">
        <f>Données!U215</f>
        <v>-248.65</v>
      </c>
      <c r="I215" s="213">
        <f>Données!V215</f>
        <v>0</v>
      </c>
      <c r="J215" s="213">
        <f>Données!W215</f>
        <v>-84.8</v>
      </c>
      <c r="K215" s="8">
        <f>+Données!Q215</f>
        <v>3104.67</v>
      </c>
      <c r="L215" s="450">
        <f t="shared" si="10"/>
        <v>632032.01999999979</v>
      </c>
      <c r="M215" s="8">
        <f>+Données!F215</f>
        <v>0</v>
      </c>
      <c r="N215" s="8">
        <f>+Données!K215</f>
        <v>2099.5</v>
      </c>
      <c r="O215" s="8">
        <f>(Données!L215/Données!Y215)*1</f>
        <v>47895.1</v>
      </c>
      <c r="P215" s="450">
        <f t="shared" si="11"/>
        <v>682026.61999999976</v>
      </c>
      <c r="Q215" s="238">
        <f>+Données!X215</f>
        <v>79</v>
      </c>
      <c r="R215" s="450">
        <f t="shared" si="12"/>
        <v>8633.2483544303759</v>
      </c>
    </row>
    <row r="216" spans="1:18" x14ac:dyDescent="0.25">
      <c r="A216" s="7">
        <f>Données!A216</f>
        <v>5755</v>
      </c>
      <c r="B216" s="27" t="str">
        <f>Données!B216</f>
        <v>Lignerolle</v>
      </c>
      <c r="C216" s="8">
        <f>Données!C216+Données!D216</f>
        <v>777704.2300000001</v>
      </c>
      <c r="D216" s="8">
        <f>+Données!G216+Données!H216+Données!S216</f>
        <v>16726.239999999998</v>
      </c>
      <c r="E216" s="8">
        <f>+Données!E216</f>
        <v>0</v>
      </c>
      <c r="F216" s="8">
        <f>+Données!I216</f>
        <v>0</v>
      </c>
      <c r="G216" s="8">
        <f>+Données!J216</f>
        <v>9770.36</v>
      </c>
      <c r="H216" s="8">
        <f>Données!U216</f>
        <v>-15066.55</v>
      </c>
      <c r="I216" s="213">
        <f>Données!V216</f>
        <v>0</v>
      </c>
      <c r="J216" s="213">
        <f>Données!W216</f>
        <v>0</v>
      </c>
      <c r="K216" s="8">
        <f>+Données!Q216</f>
        <v>1010.9</v>
      </c>
      <c r="L216" s="450">
        <f t="shared" si="10"/>
        <v>790145.18</v>
      </c>
      <c r="M216" s="8">
        <f>+Données!F216</f>
        <v>2180</v>
      </c>
      <c r="N216" s="8">
        <f>+Données!K216</f>
        <v>411.1</v>
      </c>
      <c r="O216" s="8">
        <f>(Données!L216/Données!Y216)*1</f>
        <v>64557.71428571429</v>
      </c>
      <c r="P216" s="450">
        <f t="shared" si="11"/>
        <v>857293.99428571435</v>
      </c>
      <c r="Q216" s="238">
        <f>+Données!X216</f>
        <v>78.5</v>
      </c>
      <c r="R216" s="450">
        <f t="shared" si="12"/>
        <v>10920.942602365787</v>
      </c>
    </row>
    <row r="217" spans="1:18" x14ac:dyDescent="0.25">
      <c r="A217" s="7">
        <f>Données!A217</f>
        <v>5756</v>
      </c>
      <c r="B217" s="27" t="str">
        <f>Données!B217</f>
        <v>Montcherand</v>
      </c>
      <c r="C217" s="8">
        <f>Données!C217+Données!D217</f>
        <v>1133613.8900000001</v>
      </c>
      <c r="D217" s="8">
        <f>+Données!G217+Données!H217+Données!S217</f>
        <v>34828.25</v>
      </c>
      <c r="E217" s="8">
        <f>+Données!E217</f>
        <v>0</v>
      </c>
      <c r="F217" s="8">
        <f>+Données!I217</f>
        <v>0</v>
      </c>
      <c r="G217" s="8">
        <f>+Données!J217</f>
        <v>15427.63</v>
      </c>
      <c r="H217" s="8">
        <f>Données!U217</f>
        <v>-13476.54</v>
      </c>
      <c r="I217" s="213">
        <f>Données!V217</f>
        <v>0</v>
      </c>
      <c r="J217" s="213">
        <f>Données!W217</f>
        <v>0</v>
      </c>
      <c r="K217" s="8">
        <f>+Données!Q217</f>
        <v>0</v>
      </c>
      <c r="L217" s="450">
        <f t="shared" si="10"/>
        <v>1170393.23</v>
      </c>
      <c r="M217" s="8">
        <f>+Données!F217</f>
        <v>0</v>
      </c>
      <c r="N217" s="8">
        <f>+Données!K217</f>
        <v>786.4</v>
      </c>
      <c r="O217" s="8">
        <f>(Données!L217/Données!Y217)*1</f>
        <v>89065.2</v>
      </c>
      <c r="P217" s="450">
        <f t="shared" si="11"/>
        <v>1260244.8299999998</v>
      </c>
      <c r="Q217" s="238">
        <f>+Données!X217</f>
        <v>72</v>
      </c>
      <c r="R217" s="450">
        <f t="shared" si="12"/>
        <v>17503.400416666664</v>
      </c>
    </row>
    <row r="218" spans="1:18" x14ac:dyDescent="0.25">
      <c r="A218" s="7">
        <f>Données!A218</f>
        <v>5757</v>
      </c>
      <c r="B218" s="27" t="str">
        <f>Données!B218</f>
        <v>Orbe</v>
      </c>
      <c r="C218" s="8">
        <f>Données!C218+Données!D218</f>
        <v>12872946.25</v>
      </c>
      <c r="D218" s="8">
        <f>+Données!G218+Données!H218+Données!S218</f>
        <v>1503529.0999999999</v>
      </c>
      <c r="E218" s="8">
        <f>+Données!E218</f>
        <v>0</v>
      </c>
      <c r="F218" s="8">
        <f>+Données!I218</f>
        <v>0</v>
      </c>
      <c r="G218" s="8">
        <f>+Données!J218</f>
        <v>567394.02</v>
      </c>
      <c r="H218" s="8">
        <f>Données!U218</f>
        <v>-191657.92</v>
      </c>
      <c r="I218" s="213">
        <f>Données!V218</f>
        <v>0</v>
      </c>
      <c r="J218" s="213">
        <f>Données!W218</f>
        <v>-1222.68</v>
      </c>
      <c r="K218" s="8">
        <f>+Données!Q218</f>
        <v>111662.76</v>
      </c>
      <c r="L218" s="450">
        <f t="shared" si="10"/>
        <v>14862651.529999999</v>
      </c>
      <c r="M218" s="8">
        <f>+Données!F218</f>
        <v>0</v>
      </c>
      <c r="N218" s="8">
        <f>+Données!K218</f>
        <v>66398.850000000006</v>
      </c>
      <c r="O218" s="8">
        <f>(Données!L218/Données!Y218)*1</f>
        <v>1511985.85</v>
      </c>
      <c r="P218" s="450">
        <f t="shared" si="11"/>
        <v>16441036.229999999</v>
      </c>
      <c r="Q218" s="238">
        <f>+Données!X218</f>
        <v>75.5</v>
      </c>
      <c r="R218" s="450">
        <f t="shared" si="12"/>
        <v>217762.06927152316</v>
      </c>
    </row>
    <row r="219" spans="1:18" x14ac:dyDescent="0.25">
      <c r="A219" s="7">
        <f>Données!A219</f>
        <v>5758</v>
      </c>
      <c r="B219" s="27" t="str">
        <f>Données!B219</f>
        <v>La Praz</v>
      </c>
      <c r="C219" s="8">
        <f>Données!C219+Données!D219</f>
        <v>328056.09000000003</v>
      </c>
      <c r="D219" s="8">
        <f>+Données!G219+Données!H219+Données!S219</f>
        <v>3083.01</v>
      </c>
      <c r="E219" s="8">
        <f>+Données!E219</f>
        <v>0</v>
      </c>
      <c r="F219" s="8">
        <f>+Données!I219</f>
        <v>0</v>
      </c>
      <c r="G219" s="8">
        <f>+Données!J219</f>
        <v>13593.09</v>
      </c>
      <c r="H219" s="8">
        <f>Données!U219</f>
        <v>-2515.2600000000002</v>
      </c>
      <c r="I219" s="213">
        <f>Données!V219</f>
        <v>0</v>
      </c>
      <c r="J219" s="213">
        <f>Données!W219</f>
        <v>-9.25</v>
      </c>
      <c r="K219" s="8">
        <f>+Données!Q219</f>
        <v>0</v>
      </c>
      <c r="L219" s="450">
        <f t="shared" si="10"/>
        <v>342207.68000000005</v>
      </c>
      <c r="M219" s="8">
        <f>+Données!F219</f>
        <v>0</v>
      </c>
      <c r="N219" s="8">
        <f>+Données!K219</f>
        <v>0</v>
      </c>
      <c r="O219" s="8">
        <f>(Données!L219/Données!Y219)*1</f>
        <v>31353.200000000001</v>
      </c>
      <c r="P219" s="450">
        <f t="shared" si="11"/>
        <v>373560.88000000006</v>
      </c>
      <c r="Q219" s="238">
        <f>+Données!X219</f>
        <v>83</v>
      </c>
      <c r="R219" s="450">
        <f t="shared" si="12"/>
        <v>4500.7334939759048</v>
      </c>
    </row>
    <row r="220" spans="1:18" x14ac:dyDescent="0.25">
      <c r="A220" s="7">
        <f>Données!A220</f>
        <v>5759</v>
      </c>
      <c r="B220" s="27" t="str">
        <f>Données!B220</f>
        <v>Premier</v>
      </c>
      <c r="C220" s="8">
        <f>Données!C220+Données!D220</f>
        <v>414274.49</v>
      </c>
      <c r="D220" s="8">
        <f>+Données!G220+Données!H220+Données!S220</f>
        <v>1928.74</v>
      </c>
      <c r="E220" s="8">
        <f>+Données!E220</f>
        <v>0</v>
      </c>
      <c r="F220" s="8">
        <f>+Données!I220</f>
        <v>0</v>
      </c>
      <c r="G220" s="8">
        <f>+Données!J220</f>
        <v>1262.19</v>
      </c>
      <c r="H220" s="8">
        <f>Données!U220</f>
        <v>-3557.01</v>
      </c>
      <c r="I220" s="213">
        <f>Données!V220</f>
        <v>0</v>
      </c>
      <c r="J220" s="213">
        <f>Données!W220</f>
        <v>-105.9</v>
      </c>
      <c r="K220" s="8">
        <f>+Données!Q220</f>
        <v>4322.71</v>
      </c>
      <c r="L220" s="450">
        <f t="shared" si="10"/>
        <v>418125.22</v>
      </c>
      <c r="M220" s="8">
        <f>+Données!F220</f>
        <v>0</v>
      </c>
      <c r="N220" s="8">
        <f>+Données!K220</f>
        <v>242.95</v>
      </c>
      <c r="O220" s="8">
        <f>(Données!L220/Données!Y220)*1</f>
        <v>32163.7</v>
      </c>
      <c r="P220" s="450">
        <f t="shared" si="11"/>
        <v>450531.87</v>
      </c>
      <c r="Q220" s="238">
        <f>+Données!X220</f>
        <v>79.5</v>
      </c>
      <c r="R220" s="450">
        <f t="shared" si="12"/>
        <v>5667.0675471698114</v>
      </c>
    </row>
    <row r="221" spans="1:18" x14ac:dyDescent="0.25">
      <c r="A221" s="7">
        <f>Données!A221</f>
        <v>5760</v>
      </c>
      <c r="B221" s="27" t="str">
        <f>Données!B221</f>
        <v>Rances</v>
      </c>
      <c r="C221" s="8">
        <f>Données!C221+Données!D221</f>
        <v>1148228.75</v>
      </c>
      <c r="D221" s="8">
        <f>+Données!G221+Données!H221+Données!S221</f>
        <v>6562.3099999999995</v>
      </c>
      <c r="E221" s="8">
        <f>+Données!E221</f>
        <v>0</v>
      </c>
      <c r="F221" s="8">
        <f>+Données!I221</f>
        <v>0</v>
      </c>
      <c r="G221" s="8">
        <f>+Données!J221</f>
        <v>4161.78</v>
      </c>
      <c r="H221" s="8">
        <f>Données!U221</f>
        <v>-18801.09</v>
      </c>
      <c r="I221" s="213">
        <f>Données!V221</f>
        <v>0</v>
      </c>
      <c r="J221" s="213">
        <f>Données!W221</f>
        <v>-1747.1</v>
      </c>
      <c r="K221" s="8">
        <f>+Données!Q221</f>
        <v>24041.63</v>
      </c>
      <c r="L221" s="450">
        <f t="shared" si="10"/>
        <v>1162446.2799999998</v>
      </c>
      <c r="M221" s="8">
        <f>+Données!F221</f>
        <v>0</v>
      </c>
      <c r="N221" s="8">
        <f>+Données!K221</f>
        <v>0</v>
      </c>
      <c r="O221" s="8">
        <f>(Données!L221/Données!Y221)*1</f>
        <v>85172</v>
      </c>
      <c r="P221" s="450">
        <f t="shared" si="11"/>
        <v>1247618.2799999998</v>
      </c>
      <c r="Q221" s="238">
        <f>+Données!X221</f>
        <v>76.5</v>
      </c>
      <c r="R221" s="450">
        <f t="shared" si="12"/>
        <v>16308.735686274507</v>
      </c>
    </row>
    <row r="222" spans="1:18" x14ac:dyDescent="0.25">
      <c r="A222" s="7">
        <f>Données!A222</f>
        <v>5761</v>
      </c>
      <c r="B222" s="27" t="str">
        <f>Données!B222</f>
        <v>Romainmôtier-Envy</v>
      </c>
      <c r="C222" s="8">
        <f>Données!C222+Données!D222</f>
        <v>1064386.6499999999</v>
      </c>
      <c r="D222" s="8">
        <f>+Données!G222+Données!H222+Données!S222</f>
        <v>3458.8100000000004</v>
      </c>
      <c r="E222" s="8">
        <f>+Données!E222</f>
        <v>0</v>
      </c>
      <c r="F222" s="8">
        <f>+Données!I222</f>
        <v>0</v>
      </c>
      <c r="G222" s="8">
        <f>+Données!J222</f>
        <v>14530.58</v>
      </c>
      <c r="H222" s="8">
        <f>Données!U222</f>
        <v>-6622.79</v>
      </c>
      <c r="I222" s="213">
        <f>Données!V222</f>
        <v>0</v>
      </c>
      <c r="J222" s="213">
        <f>Données!W222</f>
        <v>-32.03</v>
      </c>
      <c r="K222" s="8">
        <f>+Données!Q222</f>
        <v>0</v>
      </c>
      <c r="L222" s="450">
        <f t="shared" si="10"/>
        <v>1075721.22</v>
      </c>
      <c r="M222" s="8">
        <f>+Données!F222</f>
        <v>0</v>
      </c>
      <c r="N222" s="8">
        <f>+Données!K222</f>
        <v>810.8</v>
      </c>
      <c r="O222" s="8">
        <f>(Données!L222/Données!Y222)*1</f>
        <v>90498.090909090897</v>
      </c>
      <c r="P222" s="450">
        <f t="shared" si="11"/>
        <v>1167030.1109090908</v>
      </c>
      <c r="Q222" s="238">
        <f>+Données!X222</f>
        <v>81</v>
      </c>
      <c r="R222" s="450">
        <f t="shared" si="12"/>
        <v>14407.779147025813</v>
      </c>
    </row>
    <row r="223" spans="1:18" x14ac:dyDescent="0.25">
      <c r="A223" s="7">
        <f>Données!A223</f>
        <v>5762</v>
      </c>
      <c r="B223" s="27" t="str">
        <f>Données!B223</f>
        <v>Sergey</v>
      </c>
      <c r="C223" s="8">
        <f>Données!C223+Données!D223</f>
        <v>265603.74</v>
      </c>
      <c r="D223" s="8">
        <f>+Données!G223+Données!H223+Données!S223</f>
        <v>5230.16</v>
      </c>
      <c r="E223" s="8">
        <f>+Données!E223</f>
        <v>0</v>
      </c>
      <c r="F223" s="8">
        <f>+Données!I223</f>
        <v>0</v>
      </c>
      <c r="G223" s="8">
        <f>+Données!J223</f>
        <v>118.84</v>
      </c>
      <c r="H223" s="8">
        <f>Données!U223</f>
        <v>-41.65</v>
      </c>
      <c r="I223" s="213">
        <f>Données!V223</f>
        <v>0</v>
      </c>
      <c r="J223" s="213">
        <f>Données!W223</f>
        <v>0</v>
      </c>
      <c r="K223" s="8">
        <f>+Données!Q223</f>
        <v>0</v>
      </c>
      <c r="L223" s="450">
        <f t="shared" si="10"/>
        <v>270911.08999999997</v>
      </c>
      <c r="M223" s="8">
        <f>+Données!F223</f>
        <v>0</v>
      </c>
      <c r="N223" s="8">
        <f>+Données!K223</f>
        <v>-416.55</v>
      </c>
      <c r="O223" s="8">
        <f>(Données!L223/Données!Y223)*1</f>
        <v>21338.6</v>
      </c>
      <c r="P223" s="450">
        <f t="shared" si="11"/>
        <v>291833.13999999996</v>
      </c>
      <c r="Q223" s="238">
        <f>+Données!X223</f>
        <v>78</v>
      </c>
      <c r="R223" s="450">
        <f t="shared" si="12"/>
        <v>3741.4505128205124</v>
      </c>
    </row>
    <row r="224" spans="1:18" x14ac:dyDescent="0.25">
      <c r="A224" s="7">
        <f>Données!A224</f>
        <v>5763</v>
      </c>
      <c r="B224" s="27" t="str">
        <f>Données!B224</f>
        <v>Valeyres-sous-Rances</v>
      </c>
      <c r="C224" s="8">
        <f>Données!C224+Données!D224</f>
        <v>1409195.85</v>
      </c>
      <c r="D224" s="8">
        <f>+Données!G224+Données!H224+Données!S224</f>
        <v>35955.51</v>
      </c>
      <c r="E224" s="8">
        <f>+Données!E224</f>
        <v>0</v>
      </c>
      <c r="F224" s="8">
        <f>+Données!I224</f>
        <v>0</v>
      </c>
      <c r="G224" s="8">
        <f>+Données!J224</f>
        <v>37540.949999999997</v>
      </c>
      <c r="H224" s="8">
        <f>Données!U224</f>
        <v>-1635.89</v>
      </c>
      <c r="I224" s="213">
        <f>Données!V224</f>
        <v>0</v>
      </c>
      <c r="J224" s="213">
        <f>Données!W224</f>
        <v>-316.05</v>
      </c>
      <c r="K224" s="8">
        <f>+Données!Q224</f>
        <v>2712.46</v>
      </c>
      <c r="L224" s="450">
        <f t="shared" si="10"/>
        <v>1483452.83</v>
      </c>
      <c r="M224" s="8">
        <f>+Données!F224</f>
        <v>3370</v>
      </c>
      <c r="N224" s="8">
        <f>+Données!K224</f>
        <v>4048.65</v>
      </c>
      <c r="O224" s="8">
        <f>(Données!L224/Données!Y224)*1</f>
        <v>92119</v>
      </c>
      <c r="P224" s="450">
        <f t="shared" si="11"/>
        <v>1582990.48</v>
      </c>
      <c r="Q224" s="238">
        <f>+Données!X224</f>
        <v>71</v>
      </c>
      <c r="R224" s="450">
        <f t="shared" si="12"/>
        <v>22295.640563380282</v>
      </c>
    </row>
    <row r="225" spans="1:18" x14ac:dyDescent="0.25">
      <c r="A225" s="7">
        <f>Données!A225</f>
        <v>5764</v>
      </c>
      <c r="B225" s="27" t="str">
        <f>Données!B225</f>
        <v>Vallorbe</v>
      </c>
      <c r="C225" s="8">
        <f>Données!C225+Données!D225</f>
        <v>5071648</v>
      </c>
      <c r="D225" s="8">
        <f>+Données!G225+Données!H225+Données!S225</f>
        <v>256144.85</v>
      </c>
      <c r="E225" s="8">
        <f>+Données!E225</f>
        <v>0</v>
      </c>
      <c r="F225" s="8">
        <f>+Données!I225</f>
        <v>0</v>
      </c>
      <c r="G225" s="8">
        <f>+Données!J225</f>
        <v>260379.88</v>
      </c>
      <c r="H225" s="8">
        <f>Données!U225</f>
        <v>-260287.12</v>
      </c>
      <c r="I225" s="213">
        <f>Données!V225</f>
        <v>0</v>
      </c>
      <c r="J225" s="213">
        <f>Données!W225</f>
        <v>-482.6</v>
      </c>
      <c r="K225" s="8">
        <f>+Données!Q225</f>
        <v>105396.26</v>
      </c>
      <c r="L225" s="450">
        <f t="shared" si="10"/>
        <v>5432799.2699999996</v>
      </c>
      <c r="M225" s="8">
        <f>+Données!F225</f>
        <v>0</v>
      </c>
      <c r="N225" s="8">
        <f>+Données!K225</f>
        <v>37379.1</v>
      </c>
      <c r="O225" s="8">
        <f>(Données!L225/Données!Y225)*1</f>
        <v>515595.35</v>
      </c>
      <c r="P225" s="450">
        <f t="shared" si="11"/>
        <v>5985773.7199999988</v>
      </c>
      <c r="Q225" s="238">
        <f>+Données!X225</f>
        <v>71.5</v>
      </c>
      <c r="R225" s="450">
        <f t="shared" si="12"/>
        <v>83717.114965034954</v>
      </c>
    </row>
    <row r="226" spans="1:18" x14ac:dyDescent="0.25">
      <c r="A226" s="7">
        <f>Données!A226</f>
        <v>5765</v>
      </c>
      <c r="B226" s="27" t="str">
        <f>Données!B226</f>
        <v>Vaulion</v>
      </c>
      <c r="C226" s="8">
        <f>Données!C226+Données!D226</f>
        <v>687050.85</v>
      </c>
      <c r="D226" s="8">
        <f>+Données!G226+Données!H226+Données!S226</f>
        <v>23539.659999999996</v>
      </c>
      <c r="E226" s="8">
        <f>+Données!E226</f>
        <v>0</v>
      </c>
      <c r="F226" s="8">
        <f>+Données!I226</f>
        <v>0</v>
      </c>
      <c r="G226" s="8">
        <f>+Données!J226</f>
        <v>20240.09</v>
      </c>
      <c r="H226" s="8">
        <f>Données!U226</f>
        <v>-19249.3</v>
      </c>
      <c r="I226" s="213">
        <f>Données!V226</f>
        <v>0</v>
      </c>
      <c r="J226" s="213">
        <f>Données!W226</f>
        <v>0</v>
      </c>
      <c r="K226" s="8">
        <f>+Données!Q226</f>
        <v>1242.99</v>
      </c>
      <c r="L226" s="450">
        <f t="shared" si="10"/>
        <v>712824.28999999992</v>
      </c>
      <c r="M226" s="8">
        <f>+Données!F226</f>
        <v>0</v>
      </c>
      <c r="N226" s="8">
        <f>+Données!K226</f>
        <v>0</v>
      </c>
      <c r="O226" s="8">
        <f>(Données!L226/Données!Y226)*1</f>
        <v>67047.8</v>
      </c>
      <c r="P226" s="450">
        <f t="shared" si="11"/>
        <v>779872.09</v>
      </c>
      <c r="Q226" s="238">
        <f>+Données!X226</f>
        <v>81</v>
      </c>
      <c r="R226" s="450">
        <f t="shared" si="12"/>
        <v>9628.0504938271606</v>
      </c>
    </row>
    <row r="227" spans="1:18" x14ac:dyDescent="0.25">
      <c r="A227" s="7">
        <f>Données!A227</f>
        <v>5766</v>
      </c>
      <c r="B227" s="27" t="str">
        <f>Données!B227</f>
        <v>Vuiteboeuf</v>
      </c>
      <c r="C227" s="8">
        <f>Données!C227+Données!D227</f>
        <v>997865.33000000007</v>
      </c>
      <c r="D227" s="8">
        <f>+Données!G227+Données!H227+Données!S227</f>
        <v>59258.14</v>
      </c>
      <c r="E227" s="8">
        <f>+Données!E227</f>
        <v>0</v>
      </c>
      <c r="F227" s="8">
        <f>+Données!I227</f>
        <v>0</v>
      </c>
      <c r="G227" s="8">
        <f>+Données!J227</f>
        <v>29025.47</v>
      </c>
      <c r="H227" s="8">
        <f>Données!U227</f>
        <v>-17642.419999999998</v>
      </c>
      <c r="I227" s="213">
        <f>Données!V227</f>
        <v>0</v>
      </c>
      <c r="J227" s="213">
        <f>Données!W227</f>
        <v>-16.63</v>
      </c>
      <c r="K227" s="8">
        <f>+Données!Q227</f>
        <v>2160.98</v>
      </c>
      <c r="L227" s="450">
        <f t="shared" si="10"/>
        <v>1070650.8700000001</v>
      </c>
      <c r="M227" s="8">
        <f>+Données!F227</f>
        <v>3670</v>
      </c>
      <c r="N227" s="8">
        <f>+Données!K227</f>
        <v>-11427.7</v>
      </c>
      <c r="O227" s="8">
        <f>(Données!L227/Données!Y227)*1</f>
        <v>93813.857142857145</v>
      </c>
      <c r="P227" s="450">
        <f t="shared" si="11"/>
        <v>1156707.0271428572</v>
      </c>
      <c r="Q227" s="238">
        <f>+Données!X227</f>
        <v>75</v>
      </c>
      <c r="R227" s="450">
        <f t="shared" si="12"/>
        <v>15422.760361904762</v>
      </c>
    </row>
    <row r="228" spans="1:18" x14ac:dyDescent="0.25">
      <c r="A228" s="7">
        <f>Données!A228</f>
        <v>5785</v>
      </c>
      <c r="B228" s="27" t="str">
        <f>Données!B228</f>
        <v>Corcelles-le-Jorat</v>
      </c>
      <c r="C228" s="8">
        <f>Données!C228+Données!D228</f>
        <v>1077233.8799999999</v>
      </c>
      <c r="D228" s="8">
        <f>+Données!G228+Données!H228+Données!S228</f>
        <v>16450.330000000002</v>
      </c>
      <c r="E228" s="8">
        <f>+Données!E228</f>
        <v>0</v>
      </c>
      <c r="F228" s="8">
        <f>+Données!I228</f>
        <v>0</v>
      </c>
      <c r="G228" s="8">
        <f>+Données!J228</f>
        <v>26475.4</v>
      </c>
      <c r="H228" s="8">
        <f>Données!U228</f>
        <v>-38928.74</v>
      </c>
      <c r="I228" s="213">
        <f>Données!V228</f>
        <v>0</v>
      </c>
      <c r="J228" s="213">
        <f>Données!W228</f>
        <v>-1826.55</v>
      </c>
      <c r="K228" s="8">
        <f>+Données!Q228</f>
        <v>0</v>
      </c>
      <c r="L228" s="450">
        <f t="shared" si="10"/>
        <v>1079404.3199999998</v>
      </c>
      <c r="M228" s="8">
        <f>+Données!F228</f>
        <v>0</v>
      </c>
      <c r="N228" s="8">
        <f>+Données!K228</f>
        <v>989.6</v>
      </c>
      <c r="O228" s="8">
        <f>(Données!L228/Données!Y228)*1</f>
        <v>79253.75</v>
      </c>
      <c r="P228" s="450">
        <f t="shared" si="11"/>
        <v>1159647.67</v>
      </c>
      <c r="Q228" s="238">
        <f>+Données!X228</f>
        <v>75</v>
      </c>
      <c r="R228" s="450">
        <f t="shared" si="12"/>
        <v>15461.968933333332</v>
      </c>
    </row>
    <row r="229" spans="1:18" x14ac:dyDescent="0.25">
      <c r="A229" s="7">
        <f>Données!A229</f>
        <v>5790</v>
      </c>
      <c r="B229" s="27" t="str">
        <f>Données!B229</f>
        <v>Maracon</v>
      </c>
      <c r="C229" s="8">
        <f>Données!C229+Données!D229</f>
        <v>1054038.76</v>
      </c>
      <c r="D229" s="8">
        <f>+Données!G229+Données!H229+Données!S229</f>
        <v>34639.1</v>
      </c>
      <c r="E229" s="8">
        <f>+Données!E229</f>
        <v>0</v>
      </c>
      <c r="F229" s="8">
        <f>+Données!I229</f>
        <v>0</v>
      </c>
      <c r="G229" s="8">
        <f>+Données!J229</f>
        <v>32004.46</v>
      </c>
      <c r="H229" s="8">
        <f>Données!U229</f>
        <v>-5158.51</v>
      </c>
      <c r="I229" s="213">
        <f>Données!V229</f>
        <v>0</v>
      </c>
      <c r="J229" s="213">
        <f>Données!W229</f>
        <v>-1283.99</v>
      </c>
      <c r="K229" s="8">
        <f>+Données!Q229</f>
        <v>2840.85</v>
      </c>
      <c r="L229" s="450">
        <f t="shared" si="10"/>
        <v>1117080.6700000002</v>
      </c>
      <c r="M229" s="8">
        <f>+Données!F229</f>
        <v>0</v>
      </c>
      <c r="N229" s="8">
        <f>+Données!K229</f>
        <v>923.6</v>
      </c>
      <c r="O229" s="8">
        <f>(Données!L229/Données!Y229)*1</f>
        <v>98334.7</v>
      </c>
      <c r="P229" s="450">
        <f t="shared" si="11"/>
        <v>1216338.9700000002</v>
      </c>
      <c r="Q229" s="238">
        <f>+Données!X229</f>
        <v>74.5</v>
      </c>
      <c r="R229" s="450">
        <f t="shared" si="12"/>
        <v>16326.697583892621</v>
      </c>
    </row>
    <row r="230" spans="1:18" x14ac:dyDescent="0.25">
      <c r="A230" s="7">
        <f>Données!A230</f>
        <v>5792</v>
      </c>
      <c r="B230" s="27" t="str">
        <f>Données!B230</f>
        <v>Montpreveyres</v>
      </c>
      <c r="C230" s="8">
        <f>Données!C230+Données!D230</f>
        <v>1325254.1000000001</v>
      </c>
      <c r="D230" s="8">
        <f>+Données!G230+Données!H230+Données!S230</f>
        <v>14995.149999999998</v>
      </c>
      <c r="E230" s="8">
        <f>+Données!E230</f>
        <v>0</v>
      </c>
      <c r="F230" s="8">
        <f>+Données!I230</f>
        <v>0</v>
      </c>
      <c r="G230" s="8">
        <f>+Données!J230</f>
        <v>4966.45</v>
      </c>
      <c r="H230" s="8">
        <f>Données!U230</f>
        <v>-17354.32</v>
      </c>
      <c r="I230" s="213">
        <f>Données!V230</f>
        <v>0</v>
      </c>
      <c r="J230" s="213">
        <f>Données!W230</f>
        <v>0</v>
      </c>
      <c r="K230" s="8">
        <f>+Données!Q230</f>
        <v>6827.94</v>
      </c>
      <c r="L230" s="450">
        <f t="shared" si="10"/>
        <v>1334689.3199999998</v>
      </c>
      <c r="M230" s="8">
        <f>+Données!F230</f>
        <v>0</v>
      </c>
      <c r="N230" s="8">
        <f>+Données!K230</f>
        <v>3467.5</v>
      </c>
      <c r="O230" s="8">
        <f>(Données!L230/Données!Y230)*1</f>
        <v>123761.9</v>
      </c>
      <c r="P230" s="450">
        <f t="shared" si="11"/>
        <v>1461918.7199999997</v>
      </c>
      <c r="Q230" s="238">
        <f>+Données!X230</f>
        <v>75.5</v>
      </c>
      <c r="R230" s="450">
        <f t="shared" si="12"/>
        <v>19363.161854304632</v>
      </c>
    </row>
    <row r="231" spans="1:18" x14ac:dyDescent="0.25">
      <c r="A231" s="7">
        <f>Données!A231</f>
        <v>5798</v>
      </c>
      <c r="B231" s="27" t="str">
        <f>Données!B231</f>
        <v>Ropraz</v>
      </c>
      <c r="C231" s="8">
        <f>Données!C231+Données!D231</f>
        <v>1150069.02</v>
      </c>
      <c r="D231" s="8">
        <f>+Données!G231+Données!H231+Données!S231</f>
        <v>24827.4</v>
      </c>
      <c r="E231" s="8">
        <f>+Données!E231</f>
        <v>0</v>
      </c>
      <c r="F231" s="8">
        <f>+Données!I231</f>
        <v>0</v>
      </c>
      <c r="G231" s="8">
        <f>+Données!J231</f>
        <v>13253.26</v>
      </c>
      <c r="H231" s="8">
        <f>Données!U231</f>
        <v>-11912.48</v>
      </c>
      <c r="I231" s="213">
        <f>Données!V231</f>
        <v>-29696.85</v>
      </c>
      <c r="J231" s="213">
        <f>Données!W231</f>
        <v>0</v>
      </c>
      <c r="K231" s="8">
        <f>+Données!Q231</f>
        <v>3880.81</v>
      </c>
      <c r="L231" s="450">
        <f t="shared" si="10"/>
        <v>1150421.1599999999</v>
      </c>
      <c r="M231" s="8">
        <f>+Données!F231</f>
        <v>0</v>
      </c>
      <c r="N231" s="8">
        <f>+Données!K231</f>
        <v>6916.55</v>
      </c>
      <c r="O231" s="8">
        <f>(Données!L231/Données!Y231)*1</f>
        <v>98809.5</v>
      </c>
      <c r="P231" s="450">
        <f t="shared" si="11"/>
        <v>1256147.21</v>
      </c>
      <c r="Q231" s="238">
        <f>+Données!X231</f>
        <v>77.5</v>
      </c>
      <c r="R231" s="450">
        <f t="shared" si="12"/>
        <v>16208.351096774193</v>
      </c>
    </row>
    <row r="232" spans="1:18" x14ac:dyDescent="0.25">
      <c r="A232" s="7">
        <f>Données!A232</f>
        <v>5799</v>
      </c>
      <c r="B232" s="27" t="str">
        <f>Données!B232</f>
        <v>Servion</v>
      </c>
      <c r="C232" s="8">
        <f>Données!C232+Données!D232</f>
        <v>4503428.59</v>
      </c>
      <c r="D232" s="8">
        <f>+Données!G232+Données!H232+Données!S232</f>
        <v>61525.63</v>
      </c>
      <c r="E232" s="8">
        <f>+Données!E232</f>
        <v>0</v>
      </c>
      <c r="F232" s="8">
        <f>+Données!I232</f>
        <v>0</v>
      </c>
      <c r="G232" s="8">
        <f>+Données!J232</f>
        <v>58215.24</v>
      </c>
      <c r="H232" s="8">
        <f>Données!U232</f>
        <v>-29334.799999999999</v>
      </c>
      <c r="I232" s="213">
        <f>Données!V232</f>
        <v>0</v>
      </c>
      <c r="J232" s="213">
        <f>Données!W232</f>
        <v>-233.5</v>
      </c>
      <c r="K232" s="8">
        <f>+Données!Q232</f>
        <v>4516.9399999999996</v>
      </c>
      <c r="L232" s="450">
        <f t="shared" si="10"/>
        <v>4598118.1000000006</v>
      </c>
      <c r="M232" s="8">
        <f>+Données!F232</f>
        <v>0</v>
      </c>
      <c r="N232" s="8">
        <f>+Données!K232</f>
        <v>11166.75</v>
      </c>
      <c r="O232" s="8">
        <f>(Données!L232/Données!Y232)*1</f>
        <v>439494.7</v>
      </c>
      <c r="P232" s="450">
        <f t="shared" si="11"/>
        <v>5048779.5500000007</v>
      </c>
      <c r="Q232" s="238">
        <f>+Données!X232</f>
        <v>69</v>
      </c>
      <c r="R232" s="450">
        <f t="shared" si="12"/>
        <v>73170.718115942043</v>
      </c>
    </row>
    <row r="233" spans="1:18" x14ac:dyDescent="0.25">
      <c r="A233" s="7">
        <f>Données!A233</f>
        <v>5803</v>
      </c>
      <c r="B233" s="27" t="str">
        <f>Données!B233</f>
        <v>Vulliens</v>
      </c>
      <c r="C233" s="8">
        <f>Données!C233+Données!D233</f>
        <v>1107174.5</v>
      </c>
      <c r="D233" s="8">
        <f>+Données!G233+Données!H233+Données!S233</f>
        <v>7264.7699999999995</v>
      </c>
      <c r="E233" s="8">
        <f>+Données!E233</f>
        <v>0</v>
      </c>
      <c r="F233" s="8">
        <f>+Données!I233</f>
        <v>0</v>
      </c>
      <c r="G233" s="8">
        <f>+Données!J233</f>
        <v>25407.47</v>
      </c>
      <c r="H233" s="8">
        <f>Données!U233</f>
        <v>-23277.01</v>
      </c>
      <c r="I233" s="213">
        <f>Données!V233</f>
        <v>0</v>
      </c>
      <c r="J233" s="213">
        <f>Données!W233</f>
        <v>-540.85</v>
      </c>
      <c r="K233" s="8">
        <f>+Données!Q233</f>
        <v>-336.85</v>
      </c>
      <c r="L233" s="450">
        <f t="shared" si="10"/>
        <v>1115692.0299999998</v>
      </c>
      <c r="M233" s="8">
        <f>+Données!F233</f>
        <v>0</v>
      </c>
      <c r="N233" s="8">
        <f>+Données!K233</f>
        <v>0</v>
      </c>
      <c r="O233" s="8">
        <f>(Données!L233/Données!Y233)*1</f>
        <v>111048.45</v>
      </c>
      <c r="P233" s="450">
        <f t="shared" si="11"/>
        <v>1226740.4799999997</v>
      </c>
      <c r="Q233" s="238">
        <f>+Données!X233</f>
        <v>74</v>
      </c>
      <c r="R233" s="450">
        <f t="shared" si="12"/>
        <v>16577.57405405405</v>
      </c>
    </row>
    <row r="234" spans="1:18" x14ac:dyDescent="0.25">
      <c r="A234" s="7">
        <f>Données!A234</f>
        <v>5804</v>
      </c>
      <c r="B234" s="27" t="str">
        <f>Données!B234</f>
        <v>Jorat-Menthue</v>
      </c>
      <c r="C234" s="8">
        <f>Données!C234+Données!D234</f>
        <v>2882487.18</v>
      </c>
      <c r="D234" s="8">
        <f>+Données!G234+Données!H234+Données!S234</f>
        <v>22051.72</v>
      </c>
      <c r="E234" s="8">
        <f>+Données!E234</f>
        <v>0</v>
      </c>
      <c r="F234" s="8">
        <f>+Données!I234</f>
        <v>0</v>
      </c>
      <c r="G234" s="8">
        <f>+Données!J234</f>
        <v>45799.15</v>
      </c>
      <c r="H234" s="8">
        <f>Données!U234</f>
        <v>-57096.959999999999</v>
      </c>
      <c r="I234" s="213">
        <f>Données!V234</f>
        <v>0</v>
      </c>
      <c r="J234" s="213">
        <f>Données!W234</f>
        <v>-1791.86</v>
      </c>
      <c r="K234" s="8">
        <f>+Données!Q234</f>
        <v>3920.01</v>
      </c>
      <c r="L234" s="450">
        <f t="shared" si="10"/>
        <v>2895369.24</v>
      </c>
      <c r="M234" s="8">
        <f>+Données!F234</f>
        <v>0</v>
      </c>
      <c r="N234" s="8">
        <f>+Données!K234</f>
        <v>3988.3</v>
      </c>
      <c r="O234" s="8">
        <f>(Données!L234/Données!Y234)*1</f>
        <v>281979.34999999998</v>
      </c>
      <c r="P234" s="450">
        <f t="shared" si="11"/>
        <v>3181336.89</v>
      </c>
      <c r="Q234" s="238">
        <f>+Données!X234</f>
        <v>70.5</v>
      </c>
      <c r="R234" s="450">
        <f t="shared" si="12"/>
        <v>45125.345957446807</v>
      </c>
    </row>
    <row r="235" spans="1:18" x14ac:dyDescent="0.25">
      <c r="A235" s="7">
        <f>Données!A235</f>
        <v>5805</v>
      </c>
      <c r="B235" s="27" t="str">
        <f>Données!B235</f>
        <v>Oron</v>
      </c>
      <c r="C235" s="8">
        <f>Données!C235+Données!D235</f>
        <v>10205563.369999999</v>
      </c>
      <c r="D235" s="8">
        <f>+Données!G235+Données!H235+Données!S235</f>
        <v>531012.32999999996</v>
      </c>
      <c r="E235" s="8">
        <f>+Données!E235</f>
        <v>0</v>
      </c>
      <c r="F235" s="8">
        <f>+Données!I235</f>
        <v>74370.649999999994</v>
      </c>
      <c r="G235" s="8">
        <f>+Données!J235</f>
        <v>203413.32</v>
      </c>
      <c r="H235" s="8">
        <f>Données!U235</f>
        <v>-118672.78</v>
      </c>
      <c r="I235" s="213">
        <f>Données!V235</f>
        <v>0</v>
      </c>
      <c r="J235" s="213">
        <f>Données!W235</f>
        <v>-4816.6099999999997</v>
      </c>
      <c r="K235" s="8">
        <f>+Données!Q235</f>
        <v>18132.93</v>
      </c>
      <c r="L235" s="450">
        <f t="shared" si="10"/>
        <v>10909003.210000001</v>
      </c>
      <c r="M235" s="8">
        <f>+Données!F235</f>
        <v>0</v>
      </c>
      <c r="N235" s="8">
        <f>+Données!K235</f>
        <v>64003.6</v>
      </c>
      <c r="O235" s="8">
        <f>(Données!L235/Données!Y235)*1</f>
        <v>1068171.5454545454</v>
      </c>
      <c r="P235" s="450">
        <f t="shared" si="11"/>
        <v>12041178.355454545</v>
      </c>
      <c r="Q235" s="238">
        <f>+Données!X235</f>
        <v>69</v>
      </c>
      <c r="R235" s="450">
        <f t="shared" si="12"/>
        <v>174509.83123847167</v>
      </c>
    </row>
    <row r="236" spans="1:18" x14ac:dyDescent="0.25">
      <c r="A236" s="7">
        <f>Données!A236</f>
        <v>5806</v>
      </c>
      <c r="B236" s="27" t="str">
        <f>Données!B236</f>
        <v>Jorat-Mézières</v>
      </c>
      <c r="C236" s="8">
        <f>Données!C236+Données!D236</f>
        <v>6694153.7699999996</v>
      </c>
      <c r="D236" s="8">
        <f>+Données!G236+Données!H236+Données!S236</f>
        <v>116598.47</v>
      </c>
      <c r="E236" s="8">
        <f>+Données!E236</f>
        <v>0</v>
      </c>
      <c r="F236" s="8">
        <f>+Données!I236</f>
        <v>53357.25</v>
      </c>
      <c r="G236" s="8">
        <f>+Données!J236</f>
        <v>100414.72</v>
      </c>
      <c r="H236" s="8">
        <f>Données!U236</f>
        <v>-53150.83</v>
      </c>
      <c r="I236" s="213">
        <f>Données!V236</f>
        <v>0</v>
      </c>
      <c r="J236" s="213">
        <f>Données!W236</f>
        <v>-372.8</v>
      </c>
      <c r="K236" s="8">
        <f>+Données!Q236</f>
        <v>2128.75</v>
      </c>
      <c r="L236" s="450">
        <f t="shared" si="10"/>
        <v>6913129.3299999991</v>
      </c>
      <c r="M236" s="8">
        <f>+Données!F236</f>
        <v>0</v>
      </c>
      <c r="N236" s="8">
        <f>+Données!K236</f>
        <v>25727.55</v>
      </c>
      <c r="O236" s="8">
        <f>(Données!L236/Données!Y236)*1</f>
        <v>578527.15</v>
      </c>
      <c r="P236" s="450">
        <f t="shared" si="11"/>
        <v>7517384.0299999993</v>
      </c>
      <c r="Q236" s="238">
        <f>+Données!X236</f>
        <v>73</v>
      </c>
      <c r="R236" s="450">
        <f t="shared" si="12"/>
        <v>102977.86342465752</v>
      </c>
    </row>
    <row r="237" spans="1:18" x14ac:dyDescent="0.25">
      <c r="A237" s="7">
        <f>Données!A237</f>
        <v>5812</v>
      </c>
      <c r="B237" s="27" t="str">
        <f>Données!B237</f>
        <v>Champtauroz</v>
      </c>
      <c r="C237" s="8">
        <f>Données!C237+Données!D237</f>
        <v>252757.31</v>
      </c>
      <c r="D237" s="8">
        <f>+Données!G237+Données!H237+Données!S237</f>
        <v>1952.99</v>
      </c>
      <c r="E237" s="8">
        <f>+Données!E237</f>
        <v>0</v>
      </c>
      <c r="F237" s="8">
        <f>+Données!I237</f>
        <v>0</v>
      </c>
      <c r="G237" s="8">
        <f>+Données!J237</f>
        <v>3612.06</v>
      </c>
      <c r="H237" s="8">
        <f>Données!U237</f>
        <v>-71.84</v>
      </c>
      <c r="I237" s="213">
        <f>Données!V237</f>
        <v>0</v>
      </c>
      <c r="J237" s="213">
        <f>Données!W237</f>
        <v>-59.45</v>
      </c>
      <c r="K237" s="8">
        <f>+Données!Q237</f>
        <v>0</v>
      </c>
      <c r="L237" s="450">
        <f t="shared" si="10"/>
        <v>258191.06999999998</v>
      </c>
      <c r="M237" s="8">
        <f>+Données!F237</f>
        <v>0</v>
      </c>
      <c r="N237" s="8">
        <f>+Données!K237</f>
        <v>490.75</v>
      </c>
      <c r="O237" s="8">
        <f>(Données!L237/Données!Y237)*1</f>
        <v>18742.75</v>
      </c>
      <c r="P237" s="450">
        <f t="shared" si="11"/>
        <v>277424.56999999995</v>
      </c>
      <c r="Q237" s="238">
        <f>+Données!X237</f>
        <v>77</v>
      </c>
      <c r="R237" s="450">
        <f t="shared" si="12"/>
        <v>3602.9164935064928</v>
      </c>
    </row>
    <row r="238" spans="1:18" x14ac:dyDescent="0.25">
      <c r="A238" s="7">
        <f>Données!A238</f>
        <v>5813</v>
      </c>
      <c r="B238" s="27" t="str">
        <f>Données!B238</f>
        <v>Chevroux</v>
      </c>
      <c r="C238" s="8">
        <f>Données!C238+Données!D238</f>
        <v>1005724.8</v>
      </c>
      <c r="D238" s="8">
        <f>+Données!G238+Données!H238+Données!S238</f>
        <v>109950.60999999999</v>
      </c>
      <c r="E238" s="8">
        <f>+Données!E238</f>
        <v>0</v>
      </c>
      <c r="F238" s="8">
        <f>+Données!I238</f>
        <v>0</v>
      </c>
      <c r="G238" s="8">
        <f>+Données!J238</f>
        <v>10013.49</v>
      </c>
      <c r="H238" s="8">
        <f>Données!U238</f>
        <v>-31566.49</v>
      </c>
      <c r="I238" s="213">
        <f>Données!V238</f>
        <v>0</v>
      </c>
      <c r="J238" s="213">
        <f>Données!W238</f>
        <v>0</v>
      </c>
      <c r="K238" s="8">
        <f>+Données!Q238</f>
        <v>5003.75</v>
      </c>
      <c r="L238" s="450">
        <f t="shared" si="10"/>
        <v>1099126.1600000001</v>
      </c>
      <c r="M238" s="8">
        <f>+Données!F238</f>
        <v>3290</v>
      </c>
      <c r="N238" s="8">
        <f>+Données!K238</f>
        <v>0</v>
      </c>
      <c r="O238" s="8">
        <f>(Données!L238/Données!Y238)*1</f>
        <v>96251.833333333328</v>
      </c>
      <c r="P238" s="450">
        <f t="shared" si="11"/>
        <v>1198667.9933333334</v>
      </c>
      <c r="Q238" s="238">
        <f>+Données!X238</f>
        <v>68.5</v>
      </c>
      <c r="R238" s="450">
        <f t="shared" si="12"/>
        <v>17498.80282238443</v>
      </c>
    </row>
    <row r="239" spans="1:18" x14ac:dyDescent="0.25">
      <c r="A239" s="7">
        <f>Données!A239</f>
        <v>5816</v>
      </c>
      <c r="B239" s="27" t="str">
        <f>Données!B239</f>
        <v>Corcelles-près-Payerne</v>
      </c>
      <c r="C239" s="8">
        <f>Données!C239+Données!D239</f>
        <v>3807922.63</v>
      </c>
      <c r="D239" s="8">
        <f>+Données!G239+Données!H239+Données!S239</f>
        <v>188633.63</v>
      </c>
      <c r="E239" s="8">
        <f>+Données!E239</f>
        <v>0</v>
      </c>
      <c r="F239" s="8">
        <f>+Données!I239</f>
        <v>0</v>
      </c>
      <c r="G239" s="8">
        <f>+Données!J239</f>
        <v>167122.35</v>
      </c>
      <c r="H239" s="8">
        <f>Données!U239</f>
        <v>-100909.65</v>
      </c>
      <c r="I239" s="213">
        <f>Données!V239</f>
        <v>0</v>
      </c>
      <c r="J239" s="213">
        <f>Données!W239</f>
        <v>-170.93</v>
      </c>
      <c r="K239" s="8">
        <f>+Données!Q239</f>
        <v>-12056.37</v>
      </c>
      <c r="L239" s="450">
        <f t="shared" si="10"/>
        <v>4050541.6599999997</v>
      </c>
      <c r="M239" s="8">
        <f>+Données!F239</f>
        <v>0</v>
      </c>
      <c r="N239" s="8">
        <f>+Données!K239</f>
        <v>39104.400000000001</v>
      </c>
      <c r="O239" s="8">
        <f>(Données!L239/Données!Y239)*1</f>
        <v>410923.7857142858</v>
      </c>
      <c r="P239" s="450">
        <f t="shared" si="11"/>
        <v>4500569.845714285</v>
      </c>
      <c r="Q239" s="238">
        <f>+Données!X239</f>
        <v>68.5</v>
      </c>
      <c r="R239" s="450">
        <f t="shared" si="12"/>
        <v>65701.749572471308</v>
      </c>
    </row>
    <row r="240" spans="1:18" x14ac:dyDescent="0.25">
      <c r="A240" s="7">
        <f>Données!A240</f>
        <v>5817</v>
      </c>
      <c r="B240" s="27" t="str">
        <f>Données!B240</f>
        <v>Grandcour</v>
      </c>
      <c r="C240" s="8">
        <f>Données!C240+Données!D240</f>
        <v>1701027.11</v>
      </c>
      <c r="D240" s="8">
        <f>+Données!G240+Données!H240+Données!S240</f>
        <v>33478.379999999997</v>
      </c>
      <c r="E240" s="8">
        <f>+Données!E240</f>
        <v>0</v>
      </c>
      <c r="F240" s="8">
        <f>+Données!I240</f>
        <v>0</v>
      </c>
      <c r="G240" s="8">
        <f>+Données!J240</f>
        <v>39594.879999999997</v>
      </c>
      <c r="H240" s="8">
        <f>Données!U240</f>
        <v>-63071.83</v>
      </c>
      <c r="I240" s="213">
        <f>Données!V240</f>
        <v>0</v>
      </c>
      <c r="J240" s="213">
        <f>Données!W240</f>
        <v>-63.3</v>
      </c>
      <c r="K240" s="8">
        <f>+Données!Q240</f>
        <v>47850.87</v>
      </c>
      <c r="L240" s="450">
        <f t="shared" si="10"/>
        <v>1758816.1099999999</v>
      </c>
      <c r="M240" s="8">
        <f>+Données!F240</f>
        <v>5780</v>
      </c>
      <c r="N240" s="8">
        <f>+Données!K240</f>
        <v>4344.6499999999996</v>
      </c>
      <c r="O240" s="8">
        <f>(Données!L240/Données!Y240)*1</f>
        <v>135951.20000000001</v>
      </c>
      <c r="P240" s="450">
        <f t="shared" si="11"/>
        <v>1904891.9599999997</v>
      </c>
      <c r="Q240" s="238">
        <f>+Données!X240</f>
        <v>73.5</v>
      </c>
      <c r="R240" s="450">
        <f t="shared" si="12"/>
        <v>25916.897414965984</v>
      </c>
    </row>
    <row r="241" spans="1:18" x14ac:dyDescent="0.25">
      <c r="A241" s="7">
        <f>Données!A241</f>
        <v>5819</v>
      </c>
      <c r="B241" s="27" t="str">
        <f>Données!B241</f>
        <v>Henniez</v>
      </c>
      <c r="C241" s="8">
        <f>Données!C241+Données!D241</f>
        <v>596768.12</v>
      </c>
      <c r="D241" s="8">
        <f>+Données!G241+Données!H241+Données!S241</f>
        <v>23439.64</v>
      </c>
      <c r="E241" s="8">
        <f>+Données!E241</f>
        <v>0</v>
      </c>
      <c r="F241" s="8">
        <f>+Données!I241</f>
        <v>0</v>
      </c>
      <c r="G241" s="8">
        <f>+Données!J241</f>
        <v>18058.77</v>
      </c>
      <c r="H241" s="8">
        <f>Données!U241</f>
        <v>-24581.52</v>
      </c>
      <c r="I241" s="213">
        <f>Données!V241</f>
        <v>0</v>
      </c>
      <c r="J241" s="213">
        <f>Données!W241</f>
        <v>-0.01</v>
      </c>
      <c r="K241" s="8">
        <f>+Données!Q241</f>
        <v>1369.25</v>
      </c>
      <c r="L241" s="450">
        <f t="shared" si="10"/>
        <v>615054.25</v>
      </c>
      <c r="M241" s="8">
        <f>+Données!F241</f>
        <v>0</v>
      </c>
      <c r="N241" s="8">
        <f>+Données!K241</f>
        <v>2089.35</v>
      </c>
      <c r="O241" s="8">
        <f>(Données!L241/Données!Y241)*1</f>
        <v>91883.55</v>
      </c>
      <c r="P241" s="450">
        <f t="shared" si="11"/>
        <v>709027.15</v>
      </c>
      <c r="Q241" s="238">
        <f>+Données!X241</f>
        <v>69</v>
      </c>
      <c r="R241" s="450">
        <f t="shared" si="12"/>
        <v>10275.75579710145</v>
      </c>
    </row>
    <row r="242" spans="1:18" x14ac:dyDescent="0.25">
      <c r="A242" s="7">
        <f>Données!A242</f>
        <v>5821</v>
      </c>
      <c r="B242" s="27" t="str">
        <f>Données!B242</f>
        <v>Missy</v>
      </c>
      <c r="C242" s="8">
        <f>Données!C242+Données!D242</f>
        <v>537500.08000000007</v>
      </c>
      <c r="D242" s="8">
        <f>+Données!G242+Données!H242+Données!S242</f>
        <v>5515.29</v>
      </c>
      <c r="E242" s="8">
        <f>+Données!E242</f>
        <v>0</v>
      </c>
      <c r="F242" s="8">
        <f>+Données!I242</f>
        <v>0</v>
      </c>
      <c r="G242" s="8">
        <f>+Données!J242</f>
        <v>10203.67</v>
      </c>
      <c r="H242" s="8">
        <f>Données!U242</f>
        <v>-7359.76</v>
      </c>
      <c r="I242" s="213">
        <f>Données!V242</f>
        <v>0</v>
      </c>
      <c r="J242" s="213">
        <f>Données!W242</f>
        <v>0</v>
      </c>
      <c r="K242" s="8">
        <f>+Données!Q242</f>
        <v>0</v>
      </c>
      <c r="L242" s="450">
        <f t="shared" si="10"/>
        <v>545859.28000000014</v>
      </c>
      <c r="M242" s="8">
        <f>+Données!F242</f>
        <v>2190</v>
      </c>
      <c r="N242" s="8">
        <f>+Données!K242</f>
        <v>1305</v>
      </c>
      <c r="O242" s="8">
        <f>(Données!L242/Données!Y242)*1</f>
        <v>53715.199999999997</v>
      </c>
      <c r="P242" s="450">
        <f t="shared" si="11"/>
        <v>603069.4800000001</v>
      </c>
      <c r="Q242" s="238">
        <f>+Données!X242</f>
        <v>72</v>
      </c>
      <c r="R242" s="450">
        <f t="shared" si="12"/>
        <v>8375.965000000002</v>
      </c>
    </row>
    <row r="243" spans="1:18" x14ac:dyDescent="0.25">
      <c r="A243" s="7">
        <f>Données!A243</f>
        <v>5822</v>
      </c>
      <c r="B243" s="27" t="str">
        <f>Données!B243</f>
        <v>Payerne</v>
      </c>
      <c r="C243" s="8">
        <f>Données!C243+Données!D243</f>
        <v>13374395.760000002</v>
      </c>
      <c r="D243" s="8">
        <f>+Données!G243+Données!H243+Données!S243</f>
        <v>1361604.05</v>
      </c>
      <c r="E243" s="8">
        <f>+Données!E243</f>
        <v>0</v>
      </c>
      <c r="F243" s="8">
        <f>+Données!I243</f>
        <v>0</v>
      </c>
      <c r="G243" s="8">
        <f>+Données!J243</f>
        <v>766046.68</v>
      </c>
      <c r="H243" s="8">
        <f>Données!U243</f>
        <v>-818205.67</v>
      </c>
      <c r="I243" s="213">
        <f>Données!V243</f>
        <v>0</v>
      </c>
      <c r="J243" s="213">
        <f>Données!W243</f>
        <v>-1463.71</v>
      </c>
      <c r="K243" s="8">
        <f>+Données!Q243</f>
        <v>127056.52</v>
      </c>
      <c r="L243" s="450">
        <f t="shared" si="10"/>
        <v>14809433.630000001</v>
      </c>
      <c r="M243" s="8">
        <f>+Données!F243</f>
        <v>0</v>
      </c>
      <c r="N243" s="8">
        <f>+Données!K243</f>
        <v>194676.8</v>
      </c>
      <c r="O243" s="8">
        <f>(Données!L243/Données!Y243)*1</f>
        <v>1560264.6</v>
      </c>
      <c r="P243" s="450">
        <f t="shared" si="11"/>
        <v>16564375.030000001</v>
      </c>
      <c r="Q243" s="238">
        <f>+Données!X243</f>
        <v>73</v>
      </c>
      <c r="R243" s="450">
        <f t="shared" si="12"/>
        <v>226909.24698630138</v>
      </c>
    </row>
    <row r="244" spans="1:18" x14ac:dyDescent="0.25">
      <c r="A244" s="7">
        <f>Données!A244</f>
        <v>5827</v>
      </c>
      <c r="B244" s="27" t="str">
        <f>Données!B244</f>
        <v>Trey</v>
      </c>
      <c r="C244" s="8">
        <f>Données!C244+Données!D244</f>
        <v>532111.83000000007</v>
      </c>
      <c r="D244" s="8">
        <f>+Données!G244+Données!H244+Données!S244</f>
        <v>27731.25</v>
      </c>
      <c r="E244" s="8">
        <f>+Données!E244</f>
        <v>0</v>
      </c>
      <c r="F244" s="8">
        <f>+Données!I244</f>
        <v>0</v>
      </c>
      <c r="G244" s="8">
        <f>+Données!J244</f>
        <v>9815.5499999999993</v>
      </c>
      <c r="H244" s="8">
        <f>Données!U244</f>
        <v>-17655.27</v>
      </c>
      <c r="I244" s="213">
        <f>Données!V244</f>
        <v>0</v>
      </c>
      <c r="J244" s="213">
        <f>Données!W244</f>
        <v>0</v>
      </c>
      <c r="K244" s="8">
        <f>+Données!Q244</f>
        <v>0</v>
      </c>
      <c r="L244" s="450">
        <f t="shared" si="10"/>
        <v>552003.3600000001</v>
      </c>
      <c r="M244" s="8">
        <f>+Données!F244</f>
        <v>1500</v>
      </c>
      <c r="N244" s="8">
        <f>+Données!K244</f>
        <v>1522.35</v>
      </c>
      <c r="O244" s="8">
        <f>(Données!L244/Données!Y244)*1</f>
        <v>46764.25</v>
      </c>
      <c r="P244" s="450">
        <f t="shared" si="11"/>
        <v>601789.96000000008</v>
      </c>
      <c r="Q244" s="238">
        <f>+Données!X244</f>
        <v>78</v>
      </c>
      <c r="R244" s="450">
        <f t="shared" si="12"/>
        <v>7715.2558974358981</v>
      </c>
    </row>
    <row r="245" spans="1:18" x14ac:dyDescent="0.25">
      <c r="A245" s="7">
        <f>Données!A245</f>
        <v>5828</v>
      </c>
      <c r="B245" s="27" t="str">
        <f>Données!B245</f>
        <v>Treytorrens (Payerne)</v>
      </c>
      <c r="C245" s="8">
        <f>Données!C245+Données!D245</f>
        <v>220034.63</v>
      </c>
      <c r="D245" s="8">
        <f>+Données!G245+Données!H245+Données!S245</f>
        <v>284.69</v>
      </c>
      <c r="E245" s="8">
        <f>+Données!E245</f>
        <v>0</v>
      </c>
      <c r="F245" s="8">
        <f>+Données!I245</f>
        <v>0</v>
      </c>
      <c r="G245" s="8">
        <f>+Données!J245</f>
        <v>214.17</v>
      </c>
      <c r="H245" s="8">
        <f>Données!U245</f>
        <v>-4867.42</v>
      </c>
      <c r="I245" s="213">
        <f>Données!V245</f>
        <v>0</v>
      </c>
      <c r="J245" s="213">
        <f>Données!W245</f>
        <v>0</v>
      </c>
      <c r="K245" s="8">
        <f>+Données!Q245</f>
        <v>0</v>
      </c>
      <c r="L245" s="450">
        <f t="shared" si="10"/>
        <v>215666.07</v>
      </c>
      <c r="M245" s="8">
        <f>+Données!F245</f>
        <v>0</v>
      </c>
      <c r="N245" s="8">
        <f>+Données!K245</f>
        <v>0</v>
      </c>
      <c r="O245" s="8">
        <f>(Données!L245/Données!Y245)*1</f>
        <v>17815.666666666668</v>
      </c>
      <c r="P245" s="450">
        <f t="shared" si="11"/>
        <v>233481.73666666666</v>
      </c>
      <c r="Q245" s="238">
        <f>+Données!X245</f>
        <v>81.5</v>
      </c>
      <c r="R245" s="450">
        <f t="shared" si="12"/>
        <v>2864.8065848670758</v>
      </c>
    </row>
    <row r="246" spans="1:18" x14ac:dyDescent="0.25">
      <c r="A246" s="7">
        <f>Données!A246</f>
        <v>5830</v>
      </c>
      <c r="B246" s="27" t="str">
        <f>Données!B246</f>
        <v>Villarzel</v>
      </c>
      <c r="C246" s="8">
        <f>Données!C246+Données!D246</f>
        <v>855904.53</v>
      </c>
      <c r="D246" s="8">
        <f>+Données!G246+Données!H246+Données!S246</f>
        <v>10757.38</v>
      </c>
      <c r="E246" s="8">
        <f>+Données!E246</f>
        <v>0</v>
      </c>
      <c r="F246" s="8">
        <f>+Données!I246</f>
        <v>0</v>
      </c>
      <c r="G246" s="8">
        <f>+Données!J246</f>
        <v>11408.04</v>
      </c>
      <c r="H246" s="8">
        <f>Données!U246</f>
        <v>-5927.43</v>
      </c>
      <c r="I246" s="213">
        <f>Données!V246</f>
        <v>0</v>
      </c>
      <c r="J246" s="213">
        <f>Données!W246</f>
        <v>-0.01</v>
      </c>
      <c r="K246" s="8">
        <f>+Données!Q246</f>
        <v>510.34</v>
      </c>
      <c r="L246" s="450">
        <f t="shared" si="10"/>
        <v>872652.85</v>
      </c>
      <c r="M246" s="8">
        <f>+Données!F246</f>
        <v>0</v>
      </c>
      <c r="N246" s="8">
        <f>+Données!K246</f>
        <v>705.4</v>
      </c>
      <c r="O246" s="8">
        <f>(Données!L246/Données!Y246)*1</f>
        <v>62205.3</v>
      </c>
      <c r="P246" s="450">
        <f t="shared" si="11"/>
        <v>935563.55</v>
      </c>
      <c r="Q246" s="238">
        <f>+Données!X246</f>
        <v>75</v>
      </c>
      <c r="R246" s="450">
        <f t="shared" si="12"/>
        <v>12474.180666666667</v>
      </c>
    </row>
    <row r="247" spans="1:18" x14ac:dyDescent="0.25">
      <c r="A247" s="7">
        <f>Données!A247</f>
        <v>5831</v>
      </c>
      <c r="B247" s="27" t="str">
        <f>Données!B247</f>
        <v>Valbroye</v>
      </c>
      <c r="C247" s="8">
        <f>Données!C247+Données!D247</f>
        <v>5028362.3899999997</v>
      </c>
      <c r="D247" s="8">
        <f>+Données!G247+Données!H247+Données!S247</f>
        <v>482835.02999999997</v>
      </c>
      <c r="E247" s="8">
        <f>+Données!E247</f>
        <v>0</v>
      </c>
      <c r="F247" s="8">
        <f>+Données!I247</f>
        <v>0</v>
      </c>
      <c r="G247" s="8">
        <f>+Données!J247</f>
        <v>180872.61</v>
      </c>
      <c r="H247" s="8">
        <f>Données!U247</f>
        <v>-94076.25</v>
      </c>
      <c r="I247" s="213">
        <f>Données!V247</f>
        <v>0</v>
      </c>
      <c r="J247" s="213">
        <f>Données!W247</f>
        <v>-565.36</v>
      </c>
      <c r="K247" s="8">
        <f>+Données!Q247</f>
        <v>22808.86</v>
      </c>
      <c r="L247" s="450">
        <f t="shared" si="10"/>
        <v>5620237.2800000003</v>
      </c>
      <c r="M247" s="8">
        <f>+Données!F247</f>
        <v>0</v>
      </c>
      <c r="N247" s="8">
        <f>+Données!K247</f>
        <v>3858.6</v>
      </c>
      <c r="O247" s="8">
        <f>(Données!L247/Données!Y247)*1</f>
        <v>543044.41666666674</v>
      </c>
      <c r="P247" s="450">
        <f t="shared" si="11"/>
        <v>6167140.2966666669</v>
      </c>
      <c r="Q247" s="238">
        <f>+Données!X247</f>
        <v>70.5</v>
      </c>
      <c r="R247" s="450">
        <f t="shared" si="12"/>
        <v>87477.16732860521</v>
      </c>
    </row>
    <row r="248" spans="1:18" x14ac:dyDescent="0.25">
      <c r="A248" s="7">
        <f>Données!A248</f>
        <v>5841</v>
      </c>
      <c r="B248" s="27" t="str">
        <f>Données!B248</f>
        <v>Château-d'Oex</v>
      </c>
      <c r="C248" s="8">
        <f>Données!C248+Données!D248</f>
        <v>7437954.4899999993</v>
      </c>
      <c r="D248" s="8">
        <f>+Données!G248+Données!H248+Données!S248</f>
        <v>305321.71999999997</v>
      </c>
      <c r="E248" s="8">
        <f>+Données!E248</f>
        <v>0</v>
      </c>
      <c r="F248" s="8">
        <f>+Données!I248</f>
        <v>853965.84</v>
      </c>
      <c r="G248" s="8">
        <f>+Données!J248</f>
        <v>417082.16</v>
      </c>
      <c r="H248" s="8">
        <f>Données!U248</f>
        <v>-45201.77</v>
      </c>
      <c r="I248" s="213">
        <f>Données!V248</f>
        <v>0</v>
      </c>
      <c r="J248" s="213">
        <f>Données!W248</f>
        <v>-17655.37</v>
      </c>
      <c r="K248" s="8">
        <f>+Données!Q248</f>
        <v>78734.740000000005</v>
      </c>
      <c r="L248" s="450">
        <f t="shared" si="10"/>
        <v>9030201.8100000005</v>
      </c>
      <c r="M248" s="8">
        <f>+Données!F248</f>
        <v>0</v>
      </c>
      <c r="N248" s="8">
        <f>+Données!K248</f>
        <v>12287.95</v>
      </c>
      <c r="O248" s="8">
        <f>(Données!L248/Données!Y248)*1</f>
        <v>1049572.7466666668</v>
      </c>
      <c r="P248" s="450">
        <f t="shared" si="11"/>
        <v>10092062.506666666</v>
      </c>
      <c r="Q248" s="238">
        <f>+Données!X248</f>
        <v>81.5</v>
      </c>
      <c r="R248" s="450">
        <f t="shared" si="12"/>
        <v>123828.98781186093</v>
      </c>
    </row>
    <row r="249" spans="1:18" x14ac:dyDescent="0.25">
      <c r="A249" s="7">
        <f>Données!A249</f>
        <v>5842</v>
      </c>
      <c r="B249" s="27" t="str">
        <f>Données!B249</f>
        <v>Rossinière</v>
      </c>
      <c r="C249" s="8">
        <f>Données!C249+Données!D249</f>
        <v>1061928.52</v>
      </c>
      <c r="D249" s="8">
        <f>+Données!G249+Données!H249+Données!S249</f>
        <v>112593.7</v>
      </c>
      <c r="E249" s="8">
        <f>+Données!E249</f>
        <v>0</v>
      </c>
      <c r="F249" s="8">
        <f>+Données!I249</f>
        <v>44271.34</v>
      </c>
      <c r="G249" s="8">
        <f>+Données!J249</f>
        <v>17955.78</v>
      </c>
      <c r="H249" s="8">
        <f>Données!U249</f>
        <v>-2991.73</v>
      </c>
      <c r="I249" s="213">
        <f>Données!V249</f>
        <v>0</v>
      </c>
      <c r="J249" s="213">
        <f>Données!W249</f>
        <v>-49.67</v>
      </c>
      <c r="K249" s="8">
        <f>+Données!Q249</f>
        <v>2762.52</v>
      </c>
      <c r="L249" s="450">
        <f t="shared" si="10"/>
        <v>1236470.4600000002</v>
      </c>
      <c r="M249" s="8">
        <f>+Données!F249</f>
        <v>0</v>
      </c>
      <c r="N249" s="8">
        <f>+Données!K249</f>
        <v>687.35</v>
      </c>
      <c r="O249" s="8">
        <f>(Données!L249/Données!Y249)*1</f>
        <v>97253.933333333334</v>
      </c>
      <c r="P249" s="450">
        <f t="shared" si="11"/>
        <v>1334411.7433333336</v>
      </c>
      <c r="Q249" s="238">
        <f>+Données!X249</f>
        <v>81</v>
      </c>
      <c r="R249" s="450">
        <f t="shared" si="12"/>
        <v>16474.219053497945</v>
      </c>
    </row>
    <row r="250" spans="1:18" x14ac:dyDescent="0.25">
      <c r="A250" s="7">
        <f>Données!A250</f>
        <v>5843</v>
      </c>
      <c r="B250" s="27" t="str">
        <f>Données!B250</f>
        <v>Rougemont</v>
      </c>
      <c r="C250" s="8">
        <f>Données!C250+Données!D250</f>
        <v>4842814.38</v>
      </c>
      <c r="D250" s="8">
        <f>+Données!G250+Données!H250+Données!S250</f>
        <v>156589.12</v>
      </c>
      <c r="E250" s="8">
        <f>+Données!E250</f>
        <v>0</v>
      </c>
      <c r="F250" s="8">
        <f>+Données!I250</f>
        <v>1159560.9099999999</v>
      </c>
      <c r="G250" s="8">
        <f>+Données!J250</f>
        <v>119291.12</v>
      </c>
      <c r="H250" s="8">
        <f>Données!U250</f>
        <v>-18068.29</v>
      </c>
      <c r="I250" s="213">
        <f>Données!V250</f>
        <v>0</v>
      </c>
      <c r="J250" s="213">
        <f>Données!W250</f>
        <v>-19678.599999999999</v>
      </c>
      <c r="K250" s="8">
        <f>+Données!Q250</f>
        <v>0</v>
      </c>
      <c r="L250" s="450">
        <f t="shared" si="10"/>
        <v>6240508.6400000006</v>
      </c>
      <c r="M250" s="8">
        <f>+Données!F250</f>
        <v>0</v>
      </c>
      <c r="N250" s="8">
        <f>+Données!K250</f>
        <v>30953.05</v>
      </c>
      <c r="O250" s="8">
        <f>(Données!L250/Données!Y250)*1</f>
        <v>817747.43333333323</v>
      </c>
      <c r="P250" s="450">
        <f t="shared" si="11"/>
        <v>7089209.123333334</v>
      </c>
      <c r="Q250" s="238">
        <f>+Données!X250</f>
        <v>79</v>
      </c>
      <c r="R250" s="450">
        <f t="shared" si="12"/>
        <v>89736.824345991568</v>
      </c>
    </row>
    <row r="251" spans="1:18" x14ac:dyDescent="0.25">
      <c r="A251" s="7">
        <f>Données!A251</f>
        <v>5851</v>
      </c>
      <c r="B251" s="27" t="str">
        <f>Données!B251</f>
        <v>Allaman</v>
      </c>
      <c r="C251" s="8">
        <f>Données!C251+Données!D251</f>
        <v>1117482.56</v>
      </c>
      <c r="D251" s="8">
        <f>+Données!G251+Données!H251+Données!S251</f>
        <v>130060.43</v>
      </c>
      <c r="E251" s="8">
        <f>+Données!E251</f>
        <v>0</v>
      </c>
      <c r="F251" s="8">
        <f>+Données!I251</f>
        <v>79456.45</v>
      </c>
      <c r="G251" s="8">
        <f>+Données!J251</f>
        <v>70206.69</v>
      </c>
      <c r="H251" s="8">
        <f>Données!U251</f>
        <v>-22469.91</v>
      </c>
      <c r="I251" s="213">
        <f>Données!V251</f>
        <v>0</v>
      </c>
      <c r="J251" s="213">
        <f>Données!W251</f>
        <v>-899.9</v>
      </c>
      <c r="K251" s="8">
        <f>+Données!Q251</f>
        <v>522.39</v>
      </c>
      <c r="L251" s="450">
        <f t="shared" si="10"/>
        <v>1374358.71</v>
      </c>
      <c r="M251" s="8">
        <f>+Données!F251</f>
        <v>0</v>
      </c>
      <c r="N251" s="8">
        <f>+Données!K251</f>
        <v>10918.4</v>
      </c>
      <c r="O251" s="8">
        <f>(Données!L251/Données!Y251)*1</f>
        <v>202810.41666666669</v>
      </c>
      <c r="P251" s="450">
        <f t="shared" si="11"/>
        <v>1588087.5266666666</v>
      </c>
      <c r="Q251" s="238">
        <f>+Données!X251</f>
        <v>65</v>
      </c>
      <c r="R251" s="450">
        <f t="shared" si="12"/>
        <v>24432.115794871796</v>
      </c>
    </row>
    <row r="252" spans="1:18" x14ac:dyDescent="0.25">
      <c r="A252" s="7">
        <f>Données!A252</f>
        <v>5852</v>
      </c>
      <c r="B252" s="27" t="str">
        <f>Données!B252</f>
        <v>Bursinel</v>
      </c>
      <c r="C252" s="8">
        <f>Données!C252+Données!D252</f>
        <v>1729325.43</v>
      </c>
      <c r="D252" s="8">
        <f>+Données!G252+Données!H252+Données!S252</f>
        <v>48750.65</v>
      </c>
      <c r="E252" s="8">
        <f>+Données!E252</f>
        <v>0</v>
      </c>
      <c r="F252" s="8">
        <f>+Données!I252</f>
        <v>249327.18</v>
      </c>
      <c r="G252" s="8">
        <f>+Données!J252</f>
        <v>27293.119999999999</v>
      </c>
      <c r="H252" s="8">
        <f>Données!U252</f>
        <v>-16711.259999999998</v>
      </c>
      <c r="I252" s="213">
        <f>Données!V252</f>
        <v>0</v>
      </c>
      <c r="J252" s="213">
        <f>Données!W252</f>
        <v>-33207.4</v>
      </c>
      <c r="K252" s="8">
        <f>+Données!Q252</f>
        <v>0</v>
      </c>
      <c r="L252" s="450">
        <f t="shared" si="10"/>
        <v>2004777.72</v>
      </c>
      <c r="M252" s="8">
        <f>+Données!F252</f>
        <v>0</v>
      </c>
      <c r="N252" s="8">
        <f>+Données!K252</f>
        <v>11969.35</v>
      </c>
      <c r="O252" s="8">
        <f>(Données!L252/Données!Y252)*1</f>
        <v>193527.80000000002</v>
      </c>
      <c r="P252" s="450">
        <f t="shared" si="11"/>
        <v>2210274.87</v>
      </c>
      <c r="Q252" s="238">
        <f>+Données!X252</f>
        <v>62</v>
      </c>
      <c r="R252" s="450">
        <f t="shared" si="12"/>
        <v>35649.594677419358</v>
      </c>
    </row>
    <row r="253" spans="1:18" x14ac:dyDescent="0.25">
      <c r="A253" s="7">
        <f>Données!A253</f>
        <v>5853</v>
      </c>
      <c r="B253" s="27" t="str">
        <f>Données!B253</f>
        <v>Bursins</v>
      </c>
      <c r="C253" s="8">
        <f>Données!C253+Données!D253</f>
        <v>2809190.6999999997</v>
      </c>
      <c r="D253" s="8">
        <f>+Données!G253+Données!H253+Données!S253</f>
        <v>46073.380000000005</v>
      </c>
      <c r="E253" s="8">
        <f>+Données!E253</f>
        <v>0</v>
      </c>
      <c r="F253" s="8">
        <f>+Données!I253</f>
        <v>323945.40000000002</v>
      </c>
      <c r="G253" s="8">
        <f>+Données!J253</f>
        <v>-18891.330000000002</v>
      </c>
      <c r="H253" s="8">
        <f>Données!U253</f>
        <v>-21887.99</v>
      </c>
      <c r="I253" s="213">
        <f>Données!V253</f>
        <v>0</v>
      </c>
      <c r="J253" s="213">
        <f>Données!W253</f>
        <v>-1991.1</v>
      </c>
      <c r="K253" s="8">
        <f>+Données!Q253</f>
        <v>1673.99</v>
      </c>
      <c r="L253" s="450">
        <f t="shared" si="10"/>
        <v>3138113.0499999993</v>
      </c>
      <c r="M253" s="8">
        <f>+Données!F253</f>
        <v>0</v>
      </c>
      <c r="N253" s="8">
        <f>+Données!K253</f>
        <v>12308.25</v>
      </c>
      <c r="O253" s="8">
        <f>(Données!L253/Données!Y253)*1</f>
        <v>224651.2</v>
      </c>
      <c r="P253" s="450">
        <f t="shared" si="11"/>
        <v>3375072.4999999995</v>
      </c>
      <c r="Q253" s="238">
        <f>+Données!X253</f>
        <v>71</v>
      </c>
      <c r="R253" s="450">
        <f t="shared" si="12"/>
        <v>47536.23239436619</v>
      </c>
    </row>
    <row r="254" spans="1:18" x14ac:dyDescent="0.25">
      <c r="A254" s="7">
        <f>Données!A254</f>
        <v>5854</v>
      </c>
      <c r="B254" s="27" t="str">
        <f>Données!B254</f>
        <v>Burtigny</v>
      </c>
      <c r="C254" s="8">
        <f>Données!C254+Données!D254</f>
        <v>1132330.56</v>
      </c>
      <c r="D254" s="8">
        <f>+Données!G254+Données!H254+Données!S254</f>
        <v>5540.6900000000005</v>
      </c>
      <c r="E254" s="8">
        <f>+Données!E254</f>
        <v>0</v>
      </c>
      <c r="F254" s="8">
        <f>+Données!I254</f>
        <v>0</v>
      </c>
      <c r="G254" s="8">
        <f>+Données!J254</f>
        <v>-5462.51</v>
      </c>
      <c r="H254" s="8">
        <f>Données!U254</f>
        <v>-15984.02</v>
      </c>
      <c r="I254" s="213">
        <f>Données!V254</f>
        <v>0</v>
      </c>
      <c r="J254" s="213">
        <f>Données!W254</f>
        <v>-703.74</v>
      </c>
      <c r="K254" s="8">
        <f>+Données!Q254</f>
        <v>0</v>
      </c>
      <c r="L254" s="450">
        <f t="shared" si="10"/>
        <v>1115720.98</v>
      </c>
      <c r="M254" s="8">
        <f>+Données!F254</f>
        <v>0</v>
      </c>
      <c r="N254" s="8">
        <f>+Données!K254</f>
        <v>3396.9</v>
      </c>
      <c r="O254" s="8">
        <f>(Données!L254/Données!Y254)*1</f>
        <v>78861.46666666666</v>
      </c>
      <c r="P254" s="450">
        <f t="shared" si="11"/>
        <v>1197979.3466666664</v>
      </c>
      <c r="Q254" s="238">
        <f>+Données!X254</f>
        <v>78.5</v>
      </c>
      <c r="R254" s="450">
        <f t="shared" si="12"/>
        <v>15260.883397027597</v>
      </c>
    </row>
    <row r="255" spans="1:18" x14ac:dyDescent="0.25">
      <c r="A255" s="7">
        <f>Données!A255</f>
        <v>5855</v>
      </c>
      <c r="B255" s="27" t="str">
        <f>Données!B255</f>
        <v>Dully</v>
      </c>
      <c r="C255" s="8">
        <f>Données!C255+Données!D255</f>
        <v>3052470.86</v>
      </c>
      <c r="D255" s="8">
        <f>+Données!G255+Données!H255+Données!S255</f>
        <v>38051.31</v>
      </c>
      <c r="E255" s="8">
        <f>+Données!E255</f>
        <v>0</v>
      </c>
      <c r="F255" s="8">
        <f>+Données!I255</f>
        <v>901132.28</v>
      </c>
      <c r="G255" s="8">
        <f>+Données!J255</f>
        <v>-6793.38</v>
      </c>
      <c r="H255" s="8">
        <f>Données!U255</f>
        <v>-1344.77</v>
      </c>
      <c r="I255" s="213">
        <f>Données!V255</f>
        <v>0</v>
      </c>
      <c r="J255" s="213">
        <f>Données!W255</f>
        <v>-18880.830000000002</v>
      </c>
      <c r="K255" s="8">
        <f>+Données!Q255</f>
        <v>0</v>
      </c>
      <c r="L255" s="450">
        <f t="shared" si="10"/>
        <v>3964635.47</v>
      </c>
      <c r="M255" s="8">
        <f>+Données!F255</f>
        <v>0</v>
      </c>
      <c r="N255" s="8">
        <f>+Données!K255</f>
        <v>24306</v>
      </c>
      <c r="O255" s="8">
        <f>(Données!L255/Données!Y255)*1</f>
        <v>387368.7</v>
      </c>
      <c r="P255" s="450">
        <f t="shared" si="11"/>
        <v>4376310.17</v>
      </c>
      <c r="Q255" s="238">
        <f>+Données!X255</f>
        <v>53</v>
      </c>
      <c r="R255" s="450">
        <f t="shared" si="12"/>
        <v>82571.89</v>
      </c>
    </row>
    <row r="256" spans="1:18" x14ac:dyDescent="0.25">
      <c r="A256" s="7">
        <f>Données!A256</f>
        <v>5856</v>
      </c>
      <c r="B256" s="27" t="str">
        <f>Données!B256</f>
        <v>Essertines-sur-Rolle</v>
      </c>
      <c r="C256" s="8">
        <f>Données!C256+Données!D256</f>
        <v>2007334.27</v>
      </c>
      <c r="D256" s="8">
        <f>+Données!G256+Données!H256+Données!S256</f>
        <v>6407.23</v>
      </c>
      <c r="E256" s="8">
        <f>+Données!E256</f>
        <v>0</v>
      </c>
      <c r="F256" s="8">
        <f>+Données!I256</f>
        <v>211283.6</v>
      </c>
      <c r="G256" s="8">
        <f>+Données!J256</f>
        <v>23463.119999999999</v>
      </c>
      <c r="H256" s="8">
        <f>Données!U256</f>
        <v>-10033.66</v>
      </c>
      <c r="I256" s="213">
        <f>Données!V256</f>
        <v>0</v>
      </c>
      <c r="J256" s="213">
        <f>Données!W256</f>
        <v>-1888.65</v>
      </c>
      <c r="K256" s="8">
        <f>+Données!Q256</f>
        <v>0</v>
      </c>
      <c r="L256" s="450">
        <f t="shared" si="10"/>
        <v>2236565.91</v>
      </c>
      <c r="M256" s="8">
        <f>+Données!F256</f>
        <v>0</v>
      </c>
      <c r="N256" s="8">
        <f>+Données!K256</f>
        <v>1841.65</v>
      </c>
      <c r="O256" s="8">
        <f>(Données!L256/Données!Y256)*1</f>
        <v>201352</v>
      </c>
      <c r="P256" s="450">
        <f t="shared" si="11"/>
        <v>2439759.56</v>
      </c>
      <c r="Q256" s="238">
        <f>+Données!X256</f>
        <v>66.5</v>
      </c>
      <c r="R256" s="450">
        <f t="shared" si="12"/>
        <v>36688.113684210526</v>
      </c>
    </row>
    <row r="257" spans="1:18" x14ac:dyDescent="0.25">
      <c r="A257" s="7">
        <f>Données!A257</f>
        <v>5857</v>
      </c>
      <c r="B257" s="27" t="str">
        <f>Données!B257</f>
        <v>Gilly</v>
      </c>
      <c r="C257" s="8">
        <f>Données!C257+Données!D257</f>
        <v>5197056.59</v>
      </c>
      <c r="D257" s="8">
        <f>+Données!G257+Données!H257+Données!S257</f>
        <v>-128263.25</v>
      </c>
      <c r="E257" s="8">
        <f>+Données!E257</f>
        <v>0</v>
      </c>
      <c r="F257" s="8">
        <f>+Données!I257</f>
        <v>0</v>
      </c>
      <c r="G257" s="8">
        <f>+Données!J257</f>
        <v>122367.82</v>
      </c>
      <c r="H257" s="8">
        <f>Données!U257</f>
        <v>-32334.42</v>
      </c>
      <c r="I257" s="213">
        <f>Données!V257</f>
        <v>0</v>
      </c>
      <c r="J257" s="213">
        <f>Données!W257</f>
        <v>-858.55</v>
      </c>
      <c r="K257" s="8">
        <f>+Données!Q257</f>
        <v>13.25</v>
      </c>
      <c r="L257" s="450">
        <f t="shared" si="10"/>
        <v>5157981.4400000004</v>
      </c>
      <c r="M257" s="8">
        <f>+Données!F257</f>
        <v>0</v>
      </c>
      <c r="N257" s="8">
        <f>+Données!K257</f>
        <v>18053.400000000001</v>
      </c>
      <c r="O257" s="8">
        <f>(Données!L257/Données!Y257)*1</f>
        <v>424415.65</v>
      </c>
      <c r="P257" s="450">
        <f t="shared" si="11"/>
        <v>5600450.4900000012</v>
      </c>
      <c r="Q257" s="238">
        <f>+Données!X257</f>
        <v>64.5</v>
      </c>
      <c r="R257" s="450">
        <f t="shared" si="12"/>
        <v>86828.689767441872</v>
      </c>
    </row>
    <row r="258" spans="1:18" x14ac:dyDescent="0.25">
      <c r="A258" s="7">
        <f>Données!A258</f>
        <v>5858</v>
      </c>
      <c r="B258" s="27" t="str">
        <f>Données!B258</f>
        <v>Luins</v>
      </c>
      <c r="C258" s="8">
        <f>Données!C258+Données!D258</f>
        <v>2297225.67</v>
      </c>
      <c r="D258" s="8">
        <f>+Données!G258+Données!H258+Données!S258</f>
        <v>-130.83000000000004</v>
      </c>
      <c r="E258" s="8">
        <f>+Données!E258</f>
        <v>0</v>
      </c>
      <c r="F258" s="8">
        <f>+Données!I258</f>
        <v>9528</v>
      </c>
      <c r="G258" s="8">
        <f>+Données!J258</f>
        <v>-49788.35</v>
      </c>
      <c r="H258" s="8">
        <f>Données!U258</f>
        <v>-7650.13</v>
      </c>
      <c r="I258" s="213">
        <f>Données!V258</f>
        <v>0</v>
      </c>
      <c r="J258" s="213">
        <f>Données!W258</f>
        <v>-2228.8000000000002</v>
      </c>
      <c r="K258" s="8">
        <f>+Données!Q258</f>
        <v>0</v>
      </c>
      <c r="L258" s="450">
        <f t="shared" si="10"/>
        <v>2246955.56</v>
      </c>
      <c r="M258" s="8">
        <f>+Données!F258</f>
        <v>0</v>
      </c>
      <c r="N258" s="8">
        <f>+Données!K258</f>
        <v>1257.9000000000001</v>
      </c>
      <c r="O258" s="8">
        <f>(Données!L258/Données!Y258)*1</f>
        <v>160704.86666666667</v>
      </c>
      <c r="P258" s="450">
        <f t="shared" si="11"/>
        <v>2408918.3266666667</v>
      </c>
      <c r="Q258" s="238">
        <f>+Données!X258</f>
        <v>58.5</v>
      </c>
      <c r="R258" s="450">
        <f t="shared" si="12"/>
        <v>41178.091054131051</v>
      </c>
    </row>
    <row r="259" spans="1:18" x14ac:dyDescent="0.25">
      <c r="A259" s="7">
        <f>Données!A259</f>
        <v>5859</v>
      </c>
      <c r="B259" s="27" t="str">
        <f>Données!B259</f>
        <v>Mont-sur-Rolle</v>
      </c>
      <c r="C259" s="8">
        <f>Données!C259+Données!D259</f>
        <v>8702186.8300000001</v>
      </c>
      <c r="D259" s="8">
        <f>+Données!G259+Données!H259+Données!S259</f>
        <v>313714.07999999996</v>
      </c>
      <c r="E259" s="8">
        <f>+Données!E259</f>
        <v>0</v>
      </c>
      <c r="F259" s="8">
        <f>+Données!I259</f>
        <v>327716.25</v>
      </c>
      <c r="G259" s="8">
        <f>+Données!J259</f>
        <v>65015.519999999997</v>
      </c>
      <c r="H259" s="8">
        <f>Données!U259</f>
        <v>-95986.17</v>
      </c>
      <c r="I259" s="213">
        <f>Données!V259</f>
        <v>0</v>
      </c>
      <c r="J259" s="213">
        <f>Données!W259</f>
        <v>-8201.41</v>
      </c>
      <c r="K259" s="8">
        <f>+Données!Q259</f>
        <v>48842.239999999998</v>
      </c>
      <c r="L259" s="450">
        <f t="shared" si="10"/>
        <v>9353287.3399999999</v>
      </c>
      <c r="M259" s="8">
        <f>+Données!F259</f>
        <v>0</v>
      </c>
      <c r="N259" s="8">
        <f>+Données!K259</f>
        <v>5880.6</v>
      </c>
      <c r="O259" s="8">
        <f>(Données!L259/Données!Y259)*1</f>
        <v>701887.45</v>
      </c>
      <c r="P259" s="450">
        <f t="shared" si="11"/>
        <v>10061055.389999999</v>
      </c>
      <c r="Q259" s="238">
        <f>+Données!X259</f>
        <v>63.5</v>
      </c>
      <c r="R259" s="450">
        <f t="shared" si="12"/>
        <v>158441.81716535432</v>
      </c>
    </row>
    <row r="260" spans="1:18" x14ac:dyDescent="0.25">
      <c r="A260" s="7">
        <f>Données!A260</f>
        <v>5860</v>
      </c>
      <c r="B260" s="27" t="str">
        <f>Données!B260</f>
        <v>Perroy</v>
      </c>
      <c r="C260" s="8">
        <f>Données!C260+Données!D260</f>
        <v>6763611.5099999998</v>
      </c>
      <c r="D260" s="8">
        <f>+Données!G260+Données!H260+Données!S260</f>
        <v>148405.67000000001</v>
      </c>
      <c r="E260" s="8">
        <f>+Données!E260</f>
        <v>0</v>
      </c>
      <c r="F260" s="8">
        <f>+Données!I260</f>
        <v>317639.3</v>
      </c>
      <c r="G260" s="8">
        <f>+Données!J260</f>
        <v>84515.83</v>
      </c>
      <c r="H260" s="8">
        <f>Données!U260</f>
        <v>-111920.79</v>
      </c>
      <c r="I260" s="213">
        <f>Données!V260</f>
        <v>0</v>
      </c>
      <c r="J260" s="213">
        <f>Données!W260</f>
        <v>-36858.93</v>
      </c>
      <c r="K260" s="8">
        <f>+Données!Q260</f>
        <v>0</v>
      </c>
      <c r="L260" s="450">
        <f t="shared" si="10"/>
        <v>7165392.5899999999</v>
      </c>
      <c r="M260" s="8">
        <f>+Données!F260</f>
        <v>0</v>
      </c>
      <c r="N260" s="8">
        <f>+Données!K260</f>
        <v>24838.400000000001</v>
      </c>
      <c r="O260" s="8">
        <f>(Données!L260/Données!Y260)*1</f>
        <v>553705.76923076925</v>
      </c>
      <c r="P260" s="450">
        <f t="shared" si="11"/>
        <v>7743936.7592307692</v>
      </c>
      <c r="Q260" s="238">
        <f>+Données!X260</f>
        <v>58.5</v>
      </c>
      <c r="R260" s="450">
        <f t="shared" si="12"/>
        <v>132374.98733727811</v>
      </c>
    </row>
    <row r="261" spans="1:18" x14ac:dyDescent="0.25">
      <c r="A261" s="7">
        <f>Données!A261</f>
        <v>5861</v>
      </c>
      <c r="B261" s="27" t="str">
        <f>Données!B261</f>
        <v>Rolle</v>
      </c>
      <c r="C261" s="8">
        <f>Données!C261+Données!D261</f>
        <v>18437097.23</v>
      </c>
      <c r="D261" s="8">
        <f>+Données!G261+Données!H261+Données!S261</f>
        <v>31333458.810000002</v>
      </c>
      <c r="E261" s="8">
        <f>+Données!E261</f>
        <v>0</v>
      </c>
      <c r="F261" s="8">
        <f>+Données!I261</f>
        <v>344467.67</v>
      </c>
      <c r="G261" s="8">
        <f>+Données!J261</f>
        <v>1339455.58</v>
      </c>
      <c r="H261" s="8">
        <f>Données!U261</f>
        <v>-97474.64</v>
      </c>
      <c r="I261" s="213">
        <f>Données!V261</f>
        <v>0</v>
      </c>
      <c r="J261" s="213">
        <f>Données!W261</f>
        <v>-228761.65</v>
      </c>
      <c r="K261" s="8">
        <f>+Données!Q261</f>
        <v>10425.290000000001</v>
      </c>
      <c r="L261" s="450">
        <f t="shared" si="10"/>
        <v>51138668.290000007</v>
      </c>
      <c r="M261" s="8">
        <f>+Données!F261</f>
        <v>0</v>
      </c>
      <c r="N261" s="8">
        <f>+Données!K261</f>
        <v>346635.6</v>
      </c>
      <c r="O261" s="8">
        <f>(Données!L261/Données!Y261)*1</f>
        <v>1916767.1</v>
      </c>
      <c r="P261" s="450">
        <f t="shared" si="11"/>
        <v>53402070.99000001</v>
      </c>
      <c r="Q261" s="238">
        <f>+Données!X261</f>
        <v>59.5</v>
      </c>
      <c r="R261" s="450">
        <f t="shared" si="12"/>
        <v>897513.79815126071</v>
      </c>
    </row>
    <row r="262" spans="1:18" x14ac:dyDescent="0.25">
      <c r="A262" s="7">
        <f>Données!A262</f>
        <v>5862</v>
      </c>
      <c r="B262" s="27" t="str">
        <f>Données!B262</f>
        <v>Tartegnin</v>
      </c>
      <c r="C262" s="8">
        <f>Données!C262+Données!D262</f>
        <v>707477.12</v>
      </c>
      <c r="D262" s="8">
        <f>+Données!G262+Données!H262+Données!S262</f>
        <v>11022.96</v>
      </c>
      <c r="E262" s="8">
        <f>+Données!E262</f>
        <v>0</v>
      </c>
      <c r="F262" s="8">
        <f>+Données!I262</f>
        <v>0</v>
      </c>
      <c r="G262" s="8">
        <f>+Données!J262</f>
        <v>56362.67</v>
      </c>
      <c r="H262" s="8">
        <f>Données!U262</f>
        <v>-6136.95</v>
      </c>
      <c r="I262" s="213">
        <f>Données!V262</f>
        <v>0</v>
      </c>
      <c r="J262" s="213">
        <f>Données!W262</f>
        <v>0</v>
      </c>
      <c r="K262" s="8">
        <f>+Données!Q262</f>
        <v>0</v>
      </c>
      <c r="L262" s="450">
        <f t="shared" si="10"/>
        <v>768725.8</v>
      </c>
      <c r="M262" s="8">
        <f>+Données!F262</f>
        <v>0</v>
      </c>
      <c r="N262" s="8">
        <f>+Données!K262</f>
        <v>0</v>
      </c>
      <c r="O262" s="8">
        <f>(Données!L262/Données!Y262)*1</f>
        <v>50622.5</v>
      </c>
      <c r="P262" s="450">
        <f t="shared" si="11"/>
        <v>819348.3</v>
      </c>
      <c r="Q262" s="238">
        <f>+Données!X262</f>
        <v>79</v>
      </c>
      <c r="R262" s="450">
        <f t="shared" si="12"/>
        <v>10371.497468354431</v>
      </c>
    </row>
    <row r="263" spans="1:18" x14ac:dyDescent="0.25">
      <c r="A263" s="7">
        <f>Données!A263</f>
        <v>5863</v>
      </c>
      <c r="B263" s="27" t="str">
        <f>Données!B263</f>
        <v>Vinzel</v>
      </c>
      <c r="C263" s="8">
        <f>Données!C263+Données!D263</f>
        <v>1343478.66</v>
      </c>
      <c r="D263" s="8">
        <f>+Données!G263+Données!H263+Données!S263</f>
        <v>89621.53</v>
      </c>
      <c r="E263" s="8">
        <f>+Données!E263</f>
        <v>0</v>
      </c>
      <c r="F263" s="8">
        <f>+Données!I263</f>
        <v>42873.3</v>
      </c>
      <c r="G263" s="8">
        <f>+Données!J263</f>
        <v>12152.93</v>
      </c>
      <c r="H263" s="8">
        <f>Données!U263</f>
        <v>-1314.72</v>
      </c>
      <c r="I263" s="213">
        <f>Données!V263</f>
        <v>0</v>
      </c>
      <c r="J263" s="213">
        <f>Données!W263</f>
        <v>-1373.95</v>
      </c>
      <c r="K263" s="8">
        <f>+Données!Q263</f>
        <v>1074.53</v>
      </c>
      <c r="L263" s="450">
        <f t="shared" ref="L263:L305" si="13">SUM(C263:K263)</f>
        <v>1486512.28</v>
      </c>
      <c r="M263" s="8">
        <f>+Données!F263</f>
        <v>0</v>
      </c>
      <c r="N263" s="8">
        <f>+Données!K263</f>
        <v>2534.9</v>
      </c>
      <c r="O263" s="8">
        <f>(Données!L263/Données!Y263)*1</f>
        <v>96302.1</v>
      </c>
      <c r="P263" s="450">
        <f t="shared" ref="P263:P305" si="14">SUM(L263:O263)</f>
        <v>1585349.28</v>
      </c>
      <c r="Q263" s="238">
        <f>+Données!X263</f>
        <v>67</v>
      </c>
      <c r="R263" s="450">
        <f t="shared" ref="R263:R305" si="15">P263/Q263</f>
        <v>23661.929552238806</v>
      </c>
    </row>
    <row r="264" spans="1:18" x14ac:dyDescent="0.25">
      <c r="A264" s="7">
        <f>Données!A264</f>
        <v>5871</v>
      </c>
      <c r="B264" s="27" t="str">
        <f>Données!B264</f>
        <v>L'Abbaye</v>
      </c>
      <c r="C264" s="8">
        <f>Données!C264+Données!D264</f>
        <v>3432361.56</v>
      </c>
      <c r="D264" s="8">
        <f>+Données!G264+Données!H264+Données!S264</f>
        <v>90975.71</v>
      </c>
      <c r="E264" s="8">
        <f>+Données!E264</f>
        <v>0</v>
      </c>
      <c r="F264" s="8">
        <f>+Données!I264</f>
        <v>0</v>
      </c>
      <c r="G264" s="8">
        <f>+Données!J264</f>
        <v>114138.05</v>
      </c>
      <c r="H264" s="8">
        <f>Données!U264</f>
        <v>-63747.31</v>
      </c>
      <c r="I264" s="213">
        <f>Données!V264</f>
        <v>0</v>
      </c>
      <c r="J264" s="213">
        <f>Données!W264</f>
        <v>-240.08</v>
      </c>
      <c r="K264" s="8">
        <f>+Données!Q264</f>
        <v>9753.34</v>
      </c>
      <c r="L264" s="450">
        <f t="shared" si="13"/>
        <v>3583241.2699999996</v>
      </c>
      <c r="M264" s="8">
        <f>+Données!F264</f>
        <v>0</v>
      </c>
      <c r="N264" s="8">
        <f>+Données!K264</f>
        <v>5570.65</v>
      </c>
      <c r="O264" s="8">
        <f>(Données!L264/Données!Y264)*1</f>
        <v>294470.8</v>
      </c>
      <c r="P264" s="450">
        <f t="shared" si="14"/>
        <v>3883282.7199999993</v>
      </c>
      <c r="Q264" s="238">
        <f>+Données!X264</f>
        <v>77.3</v>
      </c>
      <c r="R264" s="450">
        <f t="shared" si="15"/>
        <v>50236.516429495467</v>
      </c>
    </row>
    <row r="265" spans="1:18" x14ac:dyDescent="0.25">
      <c r="A265" s="7">
        <f>Données!A265</f>
        <v>5872</v>
      </c>
      <c r="B265" s="27" t="str">
        <f>Données!B265</f>
        <v>Le Chenit</v>
      </c>
      <c r="C265" s="8">
        <f>Données!C265+Données!D265</f>
        <v>7759464.1499999994</v>
      </c>
      <c r="D265" s="8">
        <f>+Données!G265+Données!H265+Données!S265</f>
        <v>12124826.66</v>
      </c>
      <c r="E265" s="8">
        <f>+Données!E265</f>
        <v>0</v>
      </c>
      <c r="F265" s="8">
        <f>+Données!I265</f>
        <v>0</v>
      </c>
      <c r="G265" s="8">
        <f>+Données!J265</f>
        <v>568916.32999999996</v>
      </c>
      <c r="H265" s="8">
        <f>Données!U265</f>
        <v>-132586.73000000001</v>
      </c>
      <c r="I265" s="213">
        <f>Données!V265</f>
        <v>0</v>
      </c>
      <c r="J265" s="213">
        <f>Données!W265</f>
        <v>-8147.58</v>
      </c>
      <c r="K265" s="8">
        <f>+Données!Q265</f>
        <v>6210.09</v>
      </c>
      <c r="L265" s="450">
        <f t="shared" si="13"/>
        <v>20318682.919999998</v>
      </c>
      <c r="M265" s="8">
        <f>+Données!F265</f>
        <v>0</v>
      </c>
      <c r="N265" s="8">
        <f>+Données!K265</f>
        <v>66792.75</v>
      </c>
      <c r="O265" s="8">
        <f>(Données!L265/Données!Y265)*1</f>
        <v>803935.1</v>
      </c>
      <c r="P265" s="450">
        <f t="shared" si="14"/>
        <v>21189410.77</v>
      </c>
      <c r="Q265" s="238">
        <f>+Données!X265</f>
        <v>66.83</v>
      </c>
      <c r="R265" s="450">
        <f t="shared" si="15"/>
        <v>317064.3538829867</v>
      </c>
    </row>
    <row r="266" spans="1:18" x14ac:dyDescent="0.25">
      <c r="A266" s="7">
        <f>Données!A266</f>
        <v>5873</v>
      </c>
      <c r="B266" s="27" t="str">
        <f>Données!B266</f>
        <v>Le Lieu</v>
      </c>
      <c r="C266" s="8">
        <f>Données!C266+Données!D266</f>
        <v>1970893.71</v>
      </c>
      <c r="D266" s="8">
        <f>+Données!G266+Données!H266+Données!S266</f>
        <v>311903.69</v>
      </c>
      <c r="E266" s="8">
        <f>+Données!E266</f>
        <v>0</v>
      </c>
      <c r="F266" s="8">
        <f>+Données!I266</f>
        <v>0</v>
      </c>
      <c r="G266" s="8">
        <f>+Données!J266</f>
        <v>57658.89</v>
      </c>
      <c r="H266" s="8">
        <f>Données!U266</f>
        <v>-31339.03</v>
      </c>
      <c r="I266" s="213">
        <f>Données!V266</f>
        <v>0</v>
      </c>
      <c r="J266" s="213">
        <f>Données!W266</f>
        <v>-421.75</v>
      </c>
      <c r="K266" s="8">
        <f>+Données!Q266</f>
        <v>4338.42</v>
      </c>
      <c r="L266" s="450">
        <f t="shared" si="13"/>
        <v>2313033.9300000002</v>
      </c>
      <c r="M266" s="8">
        <f>+Données!F266</f>
        <v>0</v>
      </c>
      <c r="N266" s="8">
        <f>+Données!K266</f>
        <v>0</v>
      </c>
      <c r="O266" s="8">
        <f>(Données!L266/Données!Y266)*1</f>
        <v>151457.875</v>
      </c>
      <c r="P266" s="450">
        <f t="shared" si="14"/>
        <v>2464491.8050000002</v>
      </c>
      <c r="Q266" s="238">
        <f>+Données!X266</f>
        <v>70</v>
      </c>
      <c r="R266" s="450">
        <f t="shared" si="15"/>
        <v>35207.025785714286</v>
      </c>
    </row>
    <row r="267" spans="1:18" x14ac:dyDescent="0.25">
      <c r="A267" s="7">
        <f>Données!A267</f>
        <v>5882</v>
      </c>
      <c r="B267" s="27" t="str">
        <f>Données!B267</f>
        <v>Chardonne</v>
      </c>
      <c r="C267" s="8">
        <f>Données!C267+Données!D267</f>
        <v>10667214.68</v>
      </c>
      <c r="D267" s="8">
        <f>+Données!G267+Données!H267+Données!S267</f>
        <v>149005.86000000002</v>
      </c>
      <c r="E267" s="8">
        <f>+Données!E267</f>
        <v>0</v>
      </c>
      <c r="F267" s="8">
        <f>+Données!I267</f>
        <v>1150791.94</v>
      </c>
      <c r="G267" s="8">
        <f>+Données!J267</f>
        <v>700760.93</v>
      </c>
      <c r="H267" s="8">
        <f>Données!U267</f>
        <v>-59054.11</v>
      </c>
      <c r="I267" s="213">
        <f>Données!V267</f>
        <v>0</v>
      </c>
      <c r="J267" s="213">
        <f>Données!W267</f>
        <v>-16408.09</v>
      </c>
      <c r="K267" s="8">
        <f>+Données!Q267</f>
        <v>19119.43</v>
      </c>
      <c r="L267" s="450">
        <f t="shared" si="13"/>
        <v>12611430.639999999</v>
      </c>
      <c r="M267" s="8">
        <f>+Données!F267</f>
        <v>0</v>
      </c>
      <c r="N267" s="8">
        <f>+Données!K267</f>
        <v>67255.75</v>
      </c>
      <c r="O267" s="8">
        <f>(Données!L267/Données!Y267)*1</f>
        <v>1038610.14</v>
      </c>
      <c r="P267" s="450">
        <f t="shared" si="14"/>
        <v>13717296.529999999</v>
      </c>
      <c r="Q267" s="238">
        <f>+Données!X267</f>
        <v>68</v>
      </c>
      <c r="R267" s="450">
        <f t="shared" si="15"/>
        <v>201724.94897058822</v>
      </c>
    </row>
    <row r="268" spans="1:18" x14ac:dyDescent="0.25">
      <c r="A268" s="7">
        <f>Données!A268</f>
        <v>5883</v>
      </c>
      <c r="B268" s="27" t="str">
        <f>Données!B268</f>
        <v>Corseaux</v>
      </c>
      <c r="C268" s="8">
        <f>Données!C268+Données!D268</f>
        <v>10912376.129999999</v>
      </c>
      <c r="D268" s="8">
        <f>+Données!G268+Données!H268+Données!S268</f>
        <v>91571.040000000008</v>
      </c>
      <c r="E268" s="8">
        <f>+Données!E268</f>
        <v>0</v>
      </c>
      <c r="F268" s="8">
        <f>+Données!I268</f>
        <v>473368.28</v>
      </c>
      <c r="G268" s="8">
        <f>+Données!J268</f>
        <v>4940.47</v>
      </c>
      <c r="H268" s="8">
        <f>Données!U268</f>
        <v>-23324.94</v>
      </c>
      <c r="I268" s="213">
        <f>Données!V268</f>
        <v>0</v>
      </c>
      <c r="J268" s="213">
        <f>Données!W268</f>
        <v>-9731.92</v>
      </c>
      <c r="K268" s="8">
        <f>+Données!Q268</f>
        <v>12807.99</v>
      </c>
      <c r="L268" s="450">
        <f t="shared" si="13"/>
        <v>11462007.049999999</v>
      </c>
      <c r="M268" s="8">
        <f>+Données!F268</f>
        <v>0</v>
      </c>
      <c r="N268" s="8">
        <f>+Données!K268</f>
        <v>20863.8</v>
      </c>
      <c r="O268" s="8">
        <f>(Données!L268/Données!Y268)*1</f>
        <v>727626.3</v>
      </c>
      <c r="P268" s="450">
        <f t="shared" si="14"/>
        <v>12210497.15</v>
      </c>
      <c r="Q268" s="238">
        <f>+Données!X268</f>
        <v>67.5</v>
      </c>
      <c r="R268" s="450">
        <f t="shared" si="15"/>
        <v>180896.25407407407</v>
      </c>
    </row>
    <row r="269" spans="1:18" x14ac:dyDescent="0.25">
      <c r="A269" s="7">
        <f>Données!A269</f>
        <v>5884</v>
      </c>
      <c r="B269" s="27" t="str">
        <f>Données!B269</f>
        <v>Corsier-sur-Vevey</v>
      </c>
      <c r="C269" s="8">
        <f>Données!C269+Données!D269</f>
        <v>6137684.6799999997</v>
      </c>
      <c r="D269" s="8">
        <f>+Données!G269+Données!H269+Données!S269</f>
        <v>905518.64999999991</v>
      </c>
      <c r="E269" s="8">
        <f>+Données!E269</f>
        <v>0</v>
      </c>
      <c r="F269" s="8">
        <f>+Données!I269</f>
        <v>30676.95</v>
      </c>
      <c r="G269" s="8">
        <f>+Données!J269</f>
        <v>194817.97</v>
      </c>
      <c r="H269" s="8">
        <f>Données!U269</f>
        <v>-38609.71</v>
      </c>
      <c r="I269" s="213">
        <f>Données!V269</f>
        <v>0</v>
      </c>
      <c r="J269" s="213">
        <f>Données!W269</f>
        <v>-3866.58</v>
      </c>
      <c r="K269" s="8">
        <f>+Données!Q269</f>
        <v>58543.24</v>
      </c>
      <c r="L269" s="450">
        <f t="shared" si="13"/>
        <v>7284765.2000000002</v>
      </c>
      <c r="M269" s="8">
        <f>+Données!F269</f>
        <v>0</v>
      </c>
      <c r="N269" s="8">
        <f>+Données!K269</f>
        <v>169043.45</v>
      </c>
      <c r="O269" s="8">
        <f>(Données!L269/Données!Y269)*1</f>
        <v>805498.83333333337</v>
      </c>
      <c r="P269" s="450">
        <f t="shared" si="14"/>
        <v>8259307.4833333334</v>
      </c>
      <c r="Q269" s="238">
        <f>+Données!X269</f>
        <v>64.5</v>
      </c>
      <c r="R269" s="450">
        <f t="shared" si="15"/>
        <v>128051.27881136951</v>
      </c>
    </row>
    <row r="270" spans="1:18" x14ac:dyDescent="0.25">
      <c r="A270" s="7">
        <f>Données!A270</f>
        <v>5885</v>
      </c>
      <c r="B270" s="27" t="str">
        <f>Données!B270</f>
        <v>Jongny</v>
      </c>
      <c r="C270" s="8">
        <f>Données!C270+Données!D270</f>
        <v>6199820.9299999997</v>
      </c>
      <c r="D270" s="8">
        <f>+Données!G270+Données!H270+Données!S270</f>
        <v>231663.6</v>
      </c>
      <c r="E270" s="8">
        <f>+Données!E270</f>
        <v>0</v>
      </c>
      <c r="F270" s="8">
        <f>+Données!I270</f>
        <v>196351.71</v>
      </c>
      <c r="G270" s="8">
        <f>+Données!J270</f>
        <v>130817.43</v>
      </c>
      <c r="H270" s="8">
        <f>Données!U270</f>
        <v>-23195.72</v>
      </c>
      <c r="I270" s="213">
        <f>Données!V270</f>
        <v>0</v>
      </c>
      <c r="J270" s="213">
        <f>Données!W270</f>
        <v>-2175.87</v>
      </c>
      <c r="K270" s="8">
        <f>+Données!Q270</f>
        <v>0</v>
      </c>
      <c r="L270" s="450">
        <f t="shared" si="13"/>
        <v>6733282.0799999991</v>
      </c>
      <c r="M270" s="8">
        <f>+Données!F270</f>
        <v>0</v>
      </c>
      <c r="N270" s="8">
        <f>+Données!K270</f>
        <v>3306.65</v>
      </c>
      <c r="O270" s="8">
        <f>(Données!L270/Données!Y270)*1</f>
        <v>497760.95833333337</v>
      </c>
      <c r="P270" s="450">
        <f t="shared" si="14"/>
        <v>7234349.6883333325</v>
      </c>
      <c r="Q270" s="238">
        <f>+Données!X270</f>
        <v>69.5</v>
      </c>
      <c r="R270" s="450">
        <f t="shared" si="15"/>
        <v>104091.36242206233</v>
      </c>
    </row>
    <row r="271" spans="1:18" x14ac:dyDescent="0.25">
      <c r="A271" s="7">
        <f>Données!A271</f>
        <v>5886</v>
      </c>
      <c r="B271" s="27" t="str">
        <f>Données!B271</f>
        <v>Montreux</v>
      </c>
      <c r="C271" s="8">
        <f>Données!C271+Données!D271</f>
        <v>57225438.199999996</v>
      </c>
      <c r="D271" s="8">
        <f>+Données!G271+Données!H271+Données!S271</f>
        <v>4425346.0500000007</v>
      </c>
      <c r="E271" s="8">
        <f>+Données!E271</f>
        <v>0</v>
      </c>
      <c r="F271" s="8">
        <f>+Données!I271</f>
        <v>3915210.38</v>
      </c>
      <c r="G271" s="8">
        <f>+Données!J271</f>
        <v>2357491.62</v>
      </c>
      <c r="H271" s="8">
        <f>Données!U271</f>
        <v>-2091798.36</v>
      </c>
      <c r="I271" s="213">
        <f>Données!V271</f>
        <v>0</v>
      </c>
      <c r="J271" s="213">
        <f>Données!W271</f>
        <v>-63535.86</v>
      </c>
      <c r="K271" s="8">
        <f>+Données!Q271</f>
        <v>1092404.32</v>
      </c>
      <c r="L271" s="450">
        <f t="shared" si="13"/>
        <v>66860556.350000001</v>
      </c>
      <c r="M271" s="8">
        <f>+Données!F271</f>
        <v>0</v>
      </c>
      <c r="N271" s="8">
        <f>+Données!K271</f>
        <v>774006.2</v>
      </c>
      <c r="O271" s="8">
        <f>(Données!L271/Données!Y271)*1</f>
        <v>7317764</v>
      </c>
      <c r="P271" s="450">
        <f t="shared" si="14"/>
        <v>74952326.549999997</v>
      </c>
      <c r="Q271" s="238">
        <f>+Données!X271</f>
        <v>65</v>
      </c>
      <c r="R271" s="450">
        <f t="shared" si="15"/>
        <v>1153112.7161538461</v>
      </c>
    </row>
    <row r="272" spans="1:18" x14ac:dyDescent="0.25">
      <c r="A272" s="7">
        <f>Données!A272</f>
        <v>5889</v>
      </c>
      <c r="B272" s="27" t="str">
        <f>Données!B272</f>
        <v>La Tour-de-Peilz</v>
      </c>
      <c r="C272" s="8">
        <f>Données!C272+Données!D272</f>
        <v>34238968.859999999</v>
      </c>
      <c r="D272" s="8">
        <f>+Données!G272+Données!H272+Données!S272</f>
        <v>7334658.3600000003</v>
      </c>
      <c r="E272" s="8">
        <f>+Données!E272</f>
        <v>0</v>
      </c>
      <c r="F272" s="8">
        <f>+Données!I272</f>
        <v>678936.31</v>
      </c>
      <c r="G272" s="8">
        <f>+Données!J272</f>
        <v>445309.48</v>
      </c>
      <c r="H272" s="8">
        <f>Données!U272</f>
        <v>-330764.75</v>
      </c>
      <c r="I272" s="213">
        <f>Données!V272</f>
        <v>0</v>
      </c>
      <c r="J272" s="213">
        <f>Données!W272</f>
        <v>-101064.1</v>
      </c>
      <c r="K272" s="8">
        <f>+Données!Q272</f>
        <v>206090.58</v>
      </c>
      <c r="L272" s="450">
        <f t="shared" si="13"/>
        <v>42472134.739999995</v>
      </c>
      <c r="M272" s="8">
        <f>+Données!F272</f>
        <v>0</v>
      </c>
      <c r="N272" s="8">
        <f>+Données!K272</f>
        <v>279936.90000000002</v>
      </c>
      <c r="O272" s="8">
        <f>(Données!L272/Données!Y272)*1</f>
        <v>2635407.791666667</v>
      </c>
      <c r="P272" s="450">
        <f t="shared" si="14"/>
        <v>45387479.431666657</v>
      </c>
      <c r="Q272" s="238">
        <f>+Données!X272</f>
        <v>64</v>
      </c>
      <c r="R272" s="450">
        <f t="shared" si="15"/>
        <v>709179.36611979152</v>
      </c>
    </row>
    <row r="273" spans="1:18" x14ac:dyDescent="0.25">
      <c r="A273" s="7">
        <f>Données!A273</f>
        <v>5890</v>
      </c>
      <c r="B273" s="27" t="str">
        <f>Données!B273</f>
        <v>Vevey</v>
      </c>
      <c r="C273" s="8">
        <f>Données!C273+Données!D273</f>
        <v>41573038.560000002</v>
      </c>
      <c r="D273" s="8">
        <f>+Données!G273+Données!H273+Données!S273</f>
        <v>20025661.969999999</v>
      </c>
      <c r="E273" s="8">
        <f>+Données!E273</f>
        <v>0</v>
      </c>
      <c r="F273" s="8">
        <f>+Données!I273</f>
        <v>919618.72</v>
      </c>
      <c r="G273" s="8">
        <f>+Données!J273</f>
        <v>3661901.96</v>
      </c>
      <c r="H273" s="8">
        <f>Données!U273</f>
        <v>-754239.37</v>
      </c>
      <c r="I273" s="213">
        <f>Données!V273</f>
        <v>0</v>
      </c>
      <c r="J273" s="213">
        <f>Données!W273</f>
        <v>-37273.660000000003</v>
      </c>
      <c r="K273" s="8">
        <f>+Données!Q273</f>
        <v>259229.85</v>
      </c>
      <c r="L273" s="450">
        <f t="shared" si="13"/>
        <v>65647938.030000009</v>
      </c>
      <c r="M273" s="8">
        <f>+Données!F273</f>
        <v>0</v>
      </c>
      <c r="N273" s="8">
        <f>+Données!K273</f>
        <v>793893.9</v>
      </c>
      <c r="O273" s="8">
        <f>(Données!L273/Données!Y273)*1</f>
        <v>3967202.0133333332</v>
      </c>
      <c r="P273" s="450">
        <f t="shared" si="14"/>
        <v>70409033.943333343</v>
      </c>
      <c r="Q273" s="238">
        <f>+Données!X273</f>
        <v>74.5</v>
      </c>
      <c r="R273" s="450">
        <f t="shared" si="15"/>
        <v>945087.70393736032</v>
      </c>
    </row>
    <row r="274" spans="1:18" x14ac:dyDescent="0.25">
      <c r="A274" s="7">
        <f>Données!A274</f>
        <v>5891</v>
      </c>
      <c r="B274" s="27" t="str">
        <f>Données!B274</f>
        <v>Veytaux</v>
      </c>
      <c r="C274" s="8">
        <f>Données!C274+Données!D274</f>
        <v>2436979.5</v>
      </c>
      <c r="D274" s="8">
        <f>+Données!G274+Données!H274+Données!S274</f>
        <v>52474.380000000005</v>
      </c>
      <c r="E274" s="8">
        <f>+Données!E274</f>
        <v>0</v>
      </c>
      <c r="F274" s="8">
        <f>+Données!I274</f>
        <v>0</v>
      </c>
      <c r="G274" s="8">
        <f>+Données!J274</f>
        <v>88527.94</v>
      </c>
      <c r="H274" s="8">
        <f>Données!U274</f>
        <v>-60757.16</v>
      </c>
      <c r="I274" s="213">
        <f>Données!V274</f>
        <v>0</v>
      </c>
      <c r="J274" s="213">
        <f>Données!W274</f>
        <v>-1372.73</v>
      </c>
      <c r="K274" s="8">
        <f>+Données!Q274</f>
        <v>26436.43</v>
      </c>
      <c r="L274" s="450">
        <f t="shared" si="13"/>
        <v>2542288.36</v>
      </c>
      <c r="M274" s="8">
        <f>+Données!F274</f>
        <v>0</v>
      </c>
      <c r="N274" s="8">
        <f>+Données!K274</f>
        <v>15304.85</v>
      </c>
      <c r="O274" s="8">
        <f>(Données!L274/Données!Y274)*1</f>
        <v>299782.26666666666</v>
      </c>
      <c r="P274" s="450">
        <f t="shared" si="14"/>
        <v>2857375.4766666666</v>
      </c>
      <c r="Q274" s="238">
        <f>+Données!X274</f>
        <v>69.5</v>
      </c>
      <c r="R274" s="450">
        <f t="shared" si="15"/>
        <v>41113.316211031175</v>
      </c>
    </row>
    <row r="275" spans="1:18" x14ac:dyDescent="0.25">
      <c r="A275" s="7">
        <f>Données!A275</f>
        <v>5892</v>
      </c>
      <c r="B275" s="27" t="str">
        <f>Données!B275</f>
        <v>Blonay-Saint-Légier</v>
      </c>
      <c r="C275" s="8">
        <f>Données!C275+Données!D275</f>
        <v>45860912.460000001</v>
      </c>
      <c r="D275" s="8">
        <f>+Données!G275+Données!H275+Données!S275</f>
        <v>1150921.2999999998</v>
      </c>
      <c r="E275" s="8">
        <f>+Données!E275</f>
        <v>0</v>
      </c>
      <c r="F275" s="8">
        <f>+Données!I275</f>
        <v>883133.52</v>
      </c>
      <c r="G275" s="8">
        <f>+Données!J275</f>
        <v>206658.69</v>
      </c>
      <c r="H275" s="8">
        <f>Données!U275</f>
        <v>-250192.7</v>
      </c>
      <c r="I275" s="213">
        <f>Données!V275</f>
        <v>0</v>
      </c>
      <c r="J275" s="213">
        <f>Données!W275</f>
        <v>-177839.7</v>
      </c>
      <c r="K275" s="8">
        <f>+Données!Q275</f>
        <v>40891.57</v>
      </c>
      <c r="L275" s="450">
        <f t="shared" si="13"/>
        <v>47714485.139999993</v>
      </c>
      <c r="M275" s="8">
        <f>+Données!F275</f>
        <v>0</v>
      </c>
      <c r="N275" s="8">
        <f>+Données!K275</f>
        <v>134932.1</v>
      </c>
      <c r="O275" s="8">
        <f>(Données!L275/Données!Y275)*1</f>
        <v>3507406.75</v>
      </c>
      <c r="P275" s="450">
        <f t="shared" si="14"/>
        <v>51356823.989999995</v>
      </c>
      <c r="Q275" s="238">
        <f>+Données!X275</f>
        <v>68.5</v>
      </c>
      <c r="R275" s="450">
        <f t="shared" si="15"/>
        <v>749734.6567883211</v>
      </c>
    </row>
    <row r="276" spans="1:18" x14ac:dyDescent="0.25">
      <c r="A276" s="7">
        <f>Données!A276</f>
        <v>5902</v>
      </c>
      <c r="B276" s="27" t="str">
        <f>Données!B276</f>
        <v>Belmont-sur-Yverdon</v>
      </c>
      <c r="C276" s="8">
        <f>Données!C276+Données!D276</f>
        <v>739717.73</v>
      </c>
      <c r="D276" s="8">
        <f>+Données!G276+Données!H276+Données!S276</f>
        <v>27025.969999999998</v>
      </c>
      <c r="E276" s="8">
        <f>+Données!E276</f>
        <v>0</v>
      </c>
      <c r="F276" s="8">
        <f>+Données!I276</f>
        <v>0</v>
      </c>
      <c r="G276" s="8">
        <f>+Données!J276</f>
        <v>-266.57</v>
      </c>
      <c r="H276" s="8">
        <f>Données!U276</f>
        <v>-410.43</v>
      </c>
      <c r="I276" s="213">
        <f>Données!V276</f>
        <v>-1527.65</v>
      </c>
      <c r="J276" s="213">
        <f>Données!W276</f>
        <v>-56.85</v>
      </c>
      <c r="K276" s="8">
        <f>+Données!Q276</f>
        <v>0</v>
      </c>
      <c r="L276" s="450">
        <f t="shared" si="13"/>
        <v>764482.2</v>
      </c>
      <c r="M276" s="8">
        <f>+Données!F276</f>
        <v>0</v>
      </c>
      <c r="N276" s="8">
        <f>+Données!K276</f>
        <v>0</v>
      </c>
      <c r="O276" s="8">
        <f>(Données!L276/Données!Y276)*1</f>
        <v>69778.5</v>
      </c>
      <c r="P276" s="450">
        <f t="shared" si="14"/>
        <v>834260.7</v>
      </c>
      <c r="Q276" s="238">
        <f>+Données!X276</f>
        <v>70</v>
      </c>
      <c r="R276" s="450">
        <f t="shared" si="15"/>
        <v>11918.01</v>
      </c>
    </row>
    <row r="277" spans="1:18" x14ac:dyDescent="0.25">
      <c r="A277" s="7">
        <f>Données!A277</f>
        <v>5903</v>
      </c>
      <c r="B277" s="27" t="str">
        <f>Données!B277</f>
        <v>Bioley-Magnoux</v>
      </c>
      <c r="C277" s="8">
        <f>Données!C277+Données!D277</f>
        <v>410369.19</v>
      </c>
      <c r="D277" s="8">
        <f>+Données!G277+Données!H277+Données!S277</f>
        <v>5701.68</v>
      </c>
      <c r="E277" s="8">
        <f>+Données!E277</f>
        <v>0</v>
      </c>
      <c r="F277" s="8">
        <f>+Données!I277</f>
        <v>0</v>
      </c>
      <c r="G277" s="8">
        <f>+Données!J277</f>
        <v>-219.75</v>
      </c>
      <c r="H277" s="8">
        <f>Données!U277</f>
        <v>-3689.38</v>
      </c>
      <c r="I277" s="213">
        <f>Données!V277</f>
        <v>0</v>
      </c>
      <c r="J277" s="213">
        <f>Données!W277</f>
        <v>0</v>
      </c>
      <c r="K277" s="8">
        <f>+Données!Q277</f>
        <v>195.53</v>
      </c>
      <c r="L277" s="450">
        <f t="shared" si="13"/>
        <v>412357.27</v>
      </c>
      <c r="M277" s="8">
        <f>+Données!F277</f>
        <v>0</v>
      </c>
      <c r="N277" s="8">
        <f>+Données!K277</f>
        <v>0</v>
      </c>
      <c r="O277" s="8">
        <f>(Données!L277/Données!Y277)*1</f>
        <v>39473.785714285717</v>
      </c>
      <c r="P277" s="450">
        <f t="shared" si="14"/>
        <v>451831.05571428576</v>
      </c>
      <c r="Q277" s="238">
        <f>+Données!X277</f>
        <v>72</v>
      </c>
      <c r="R277" s="450">
        <f t="shared" si="15"/>
        <v>6275.4313293650803</v>
      </c>
    </row>
    <row r="278" spans="1:18" x14ac:dyDescent="0.25">
      <c r="A278" s="7">
        <f>Données!A278</f>
        <v>5904</v>
      </c>
      <c r="B278" s="27" t="str">
        <f>Données!B278</f>
        <v>Chamblon</v>
      </c>
      <c r="C278" s="8">
        <f>Données!C278+Données!D278</f>
        <v>1106187.56</v>
      </c>
      <c r="D278" s="8">
        <f>+Données!G278+Données!H278+Données!S278</f>
        <v>27994.35</v>
      </c>
      <c r="E278" s="8">
        <f>+Données!E278</f>
        <v>0</v>
      </c>
      <c r="F278" s="8">
        <f>+Données!I278</f>
        <v>0</v>
      </c>
      <c r="G278" s="8">
        <f>+Données!J278</f>
        <v>18399.05</v>
      </c>
      <c r="H278" s="8">
        <f>Données!U278</f>
        <v>-10101.14</v>
      </c>
      <c r="I278" s="213">
        <f>Données!V278</f>
        <v>0</v>
      </c>
      <c r="J278" s="213">
        <f>Données!W278</f>
        <v>-135.85</v>
      </c>
      <c r="K278" s="8">
        <f>+Données!Q278</f>
        <v>0</v>
      </c>
      <c r="L278" s="450">
        <f t="shared" si="13"/>
        <v>1142343.9700000002</v>
      </c>
      <c r="M278" s="8">
        <f>+Données!F278</f>
        <v>0</v>
      </c>
      <c r="N278" s="8">
        <f>+Données!K278</f>
        <v>3596.65</v>
      </c>
      <c r="O278" s="8">
        <f>(Données!L278/Données!Y278)*1</f>
        <v>100815.9</v>
      </c>
      <c r="P278" s="450">
        <f t="shared" si="14"/>
        <v>1246756.52</v>
      </c>
      <c r="Q278" s="238">
        <f>+Données!X278</f>
        <v>66</v>
      </c>
      <c r="R278" s="450">
        <f t="shared" si="15"/>
        <v>18890.250303030305</v>
      </c>
    </row>
    <row r="279" spans="1:18" x14ac:dyDescent="0.25">
      <c r="A279" s="7">
        <f>Données!A279</f>
        <v>5905</v>
      </c>
      <c r="B279" s="27" t="str">
        <f>Données!B279</f>
        <v>Champvent</v>
      </c>
      <c r="C279" s="8">
        <f>Données!C279+Données!D279</f>
        <v>1237186.5600000001</v>
      </c>
      <c r="D279" s="8">
        <f>+Données!G279+Données!H279+Données!S279</f>
        <v>135337.94</v>
      </c>
      <c r="E279" s="8">
        <f>+Données!E279</f>
        <v>0</v>
      </c>
      <c r="F279" s="8">
        <f>+Données!I279</f>
        <v>0</v>
      </c>
      <c r="G279" s="8">
        <f>+Données!J279</f>
        <v>25768.46</v>
      </c>
      <c r="H279" s="8">
        <f>Données!U279</f>
        <v>-4130.54</v>
      </c>
      <c r="I279" s="213">
        <f>Données!V279</f>
        <v>0</v>
      </c>
      <c r="J279" s="213">
        <f>Données!W279</f>
        <v>-43.55</v>
      </c>
      <c r="K279" s="8">
        <f>+Données!Q279</f>
        <v>747.02</v>
      </c>
      <c r="L279" s="450">
        <f t="shared" si="13"/>
        <v>1394865.89</v>
      </c>
      <c r="M279" s="8">
        <f>+Données!F279</f>
        <v>0</v>
      </c>
      <c r="N279" s="8">
        <f>+Données!K279</f>
        <v>3170.25</v>
      </c>
      <c r="O279" s="8">
        <f>(Données!L279/Données!Y279)*1</f>
        <v>109356.3</v>
      </c>
      <c r="P279" s="450">
        <f t="shared" si="14"/>
        <v>1507392.44</v>
      </c>
      <c r="Q279" s="238">
        <f>+Données!X279</f>
        <v>70</v>
      </c>
      <c r="R279" s="450">
        <f t="shared" si="15"/>
        <v>21534.177714285714</v>
      </c>
    </row>
    <row r="280" spans="1:18" x14ac:dyDescent="0.25">
      <c r="A280" s="7">
        <f>Données!A280</f>
        <v>5907</v>
      </c>
      <c r="B280" s="27" t="str">
        <f>Données!B280</f>
        <v>Chavannes-le-Chêne</v>
      </c>
      <c r="C280" s="8">
        <f>Données!C280+Données!D280</f>
        <v>575016.81999999995</v>
      </c>
      <c r="D280" s="8">
        <f>+Données!G280+Données!H280+Données!S280</f>
        <v>1963.3100000000002</v>
      </c>
      <c r="E280" s="8">
        <f>+Données!E280</f>
        <v>0</v>
      </c>
      <c r="F280" s="8">
        <f>+Données!I280</f>
        <v>0</v>
      </c>
      <c r="G280" s="8">
        <f>+Données!J280</f>
        <v>-48.95</v>
      </c>
      <c r="H280" s="8">
        <f>Données!U280</f>
        <v>-1157.4100000000001</v>
      </c>
      <c r="I280" s="213">
        <f>Données!V280</f>
        <v>0</v>
      </c>
      <c r="J280" s="213">
        <f>Données!W280</f>
        <v>0</v>
      </c>
      <c r="K280" s="8">
        <f>+Données!Q280</f>
        <v>5889.78</v>
      </c>
      <c r="L280" s="450">
        <f t="shared" si="13"/>
        <v>581663.55000000005</v>
      </c>
      <c r="M280" s="8">
        <f>+Données!F280</f>
        <v>1980</v>
      </c>
      <c r="N280" s="8">
        <f>+Données!K280</f>
        <v>520.70000000000005</v>
      </c>
      <c r="O280" s="8">
        <f>(Données!L280/Données!Y280)*1</f>
        <v>49846.2</v>
      </c>
      <c r="P280" s="450">
        <f t="shared" si="14"/>
        <v>634010.44999999995</v>
      </c>
      <c r="Q280" s="238">
        <f>+Données!X280</f>
        <v>75</v>
      </c>
      <c r="R280" s="450">
        <f t="shared" si="15"/>
        <v>8453.4726666666666</v>
      </c>
    </row>
    <row r="281" spans="1:18" x14ac:dyDescent="0.25">
      <c r="A281" s="7">
        <f>Données!A281</f>
        <v>5908</v>
      </c>
      <c r="B281" s="27" t="str">
        <f>Données!B281</f>
        <v>Chêne-Pâquier</v>
      </c>
      <c r="C281" s="8">
        <f>Données!C281+Données!D281</f>
        <v>353667.03</v>
      </c>
      <c r="D281" s="8">
        <f>+Données!G281+Données!H281+Données!S281</f>
        <v>14936.390000000001</v>
      </c>
      <c r="E281" s="8">
        <f>+Données!E281</f>
        <v>0</v>
      </c>
      <c r="F281" s="8">
        <f>+Données!I281</f>
        <v>0</v>
      </c>
      <c r="G281" s="8">
        <f>+Données!J281</f>
        <v>-23437.49</v>
      </c>
      <c r="H281" s="8">
        <f>Données!U281</f>
        <v>174.07</v>
      </c>
      <c r="I281" s="213">
        <f>Données!V281</f>
        <v>0</v>
      </c>
      <c r="J281" s="213">
        <f>Données!W281</f>
        <v>-50.85</v>
      </c>
      <c r="K281" s="8">
        <f>+Données!Q281</f>
        <v>0</v>
      </c>
      <c r="L281" s="450">
        <f t="shared" si="13"/>
        <v>345289.15000000008</v>
      </c>
      <c r="M281" s="8">
        <f>+Données!F281</f>
        <v>0</v>
      </c>
      <c r="N281" s="8">
        <f>+Données!K281</f>
        <v>92.95</v>
      </c>
      <c r="O281" s="8">
        <f>(Données!L281/Données!Y281)*1</f>
        <v>23463.15</v>
      </c>
      <c r="P281" s="450">
        <f t="shared" si="14"/>
        <v>368845.25000000012</v>
      </c>
      <c r="Q281" s="238">
        <f>+Données!X281</f>
        <v>75</v>
      </c>
      <c r="R281" s="450">
        <f t="shared" si="15"/>
        <v>4917.9366666666683</v>
      </c>
    </row>
    <row r="282" spans="1:18" x14ac:dyDescent="0.25">
      <c r="A282" s="7">
        <f>Données!A282</f>
        <v>5909</v>
      </c>
      <c r="B282" s="27" t="str">
        <f>Données!B282</f>
        <v>Cheseaux-Noréaz</v>
      </c>
      <c r="C282" s="8">
        <f>Données!C282+Données!D282</f>
        <v>2096788.8</v>
      </c>
      <c r="D282" s="8">
        <f>+Données!G282+Données!H282+Données!S282</f>
        <v>-3424.6799999999994</v>
      </c>
      <c r="E282" s="8">
        <f>+Données!E282</f>
        <v>0</v>
      </c>
      <c r="F282" s="8">
        <f>+Données!I282</f>
        <v>0</v>
      </c>
      <c r="G282" s="8">
        <f>+Données!J282</f>
        <v>26919.72</v>
      </c>
      <c r="H282" s="8">
        <f>Données!U282</f>
        <v>-2679.65</v>
      </c>
      <c r="I282" s="213">
        <f>Données!V282</f>
        <v>0</v>
      </c>
      <c r="J282" s="213">
        <f>Données!W282</f>
        <v>-962.95</v>
      </c>
      <c r="K282" s="8">
        <f>+Données!Q282</f>
        <v>0</v>
      </c>
      <c r="L282" s="450">
        <f t="shared" si="13"/>
        <v>2116641.2400000002</v>
      </c>
      <c r="M282" s="8">
        <f>+Données!F282</f>
        <v>0</v>
      </c>
      <c r="N282" s="8">
        <f>+Données!K282</f>
        <v>788.1</v>
      </c>
      <c r="O282" s="8">
        <f>(Données!L282/Données!Y282)*1</f>
        <v>172607.2</v>
      </c>
      <c r="P282" s="450">
        <f t="shared" si="14"/>
        <v>2290036.5400000005</v>
      </c>
      <c r="Q282" s="238">
        <f>+Données!X282</f>
        <v>67</v>
      </c>
      <c r="R282" s="450">
        <f t="shared" si="15"/>
        <v>34179.649850746275</v>
      </c>
    </row>
    <row r="283" spans="1:18" x14ac:dyDescent="0.25">
      <c r="A283" s="7">
        <f>Données!A283</f>
        <v>5910</v>
      </c>
      <c r="B283" s="27" t="str">
        <f>Données!B283</f>
        <v>Cronay</v>
      </c>
      <c r="C283" s="8">
        <f>Données!C283+Données!D283</f>
        <v>737018.63</v>
      </c>
      <c r="D283" s="8">
        <f>+Données!G283+Données!H283+Données!S283</f>
        <v>17253.309999999998</v>
      </c>
      <c r="E283" s="8">
        <f>+Données!E283</f>
        <v>0</v>
      </c>
      <c r="F283" s="8">
        <f>+Données!I283</f>
        <v>0</v>
      </c>
      <c r="G283" s="8">
        <f>+Données!J283</f>
        <v>2816.74</v>
      </c>
      <c r="H283" s="8">
        <f>Données!U283</f>
        <v>-11753.56</v>
      </c>
      <c r="I283" s="213">
        <f>Données!V283</f>
        <v>0</v>
      </c>
      <c r="J283" s="213">
        <f>Données!W283</f>
        <v>0</v>
      </c>
      <c r="K283" s="8">
        <f>+Données!Q283</f>
        <v>5804.99</v>
      </c>
      <c r="L283" s="450">
        <f t="shared" si="13"/>
        <v>751140.10999999987</v>
      </c>
      <c r="M283" s="8">
        <f>+Données!F283</f>
        <v>2270</v>
      </c>
      <c r="N283" s="8">
        <f>+Données!K283</f>
        <v>0</v>
      </c>
      <c r="O283" s="8">
        <f>(Données!L283/Données!Y283)*1</f>
        <v>64331.7</v>
      </c>
      <c r="P283" s="450">
        <f t="shared" si="14"/>
        <v>817741.80999999982</v>
      </c>
      <c r="Q283" s="238">
        <f>+Données!X283</f>
        <v>77</v>
      </c>
      <c r="R283" s="450">
        <f t="shared" si="15"/>
        <v>10620.023506493504</v>
      </c>
    </row>
    <row r="284" spans="1:18" x14ac:dyDescent="0.25">
      <c r="A284" s="7">
        <f>Données!A284</f>
        <v>5911</v>
      </c>
      <c r="B284" s="27" t="str">
        <f>Données!B284</f>
        <v>Cuarny</v>
      </c>
      <c r="C284" s="8">
        <f>Données!C284+Données!D284</f>
        <v>529828.66999999993</v>
      </c>
      <c r="D284" s="8">
        <f>+Données!G284+Données!H284+Données!S284</f>
        <v>3906.03</v>
      </c>
      <c r="E284" s="8">
        <f>+Données!E284</f>
        <v>0</v>
      </c>
      <c r="F284" s="8">
        <f>+Données!I284</f>
        <v>0</v>
      </c>
      <c r="G284" s="8">
        <f>+Données!J284</f>
        <v>15883.11</v>
      </c>
      <c r="H284" s="8">
        <f>Données!U284</f>
        <v>-2053.27</v>
      </c>
      <c r="I284" s="213">
        <f>Données!V284</f>
        <v>0</v>
      </c>
      <c r="J284" s="213">
        <f>Données!W284</f>
        <v>-559.65</v>
      </c>
      <c r="K284" s="8">
        <f>+Données!Q284</f>
        <v>266.35000000000002</v>
      </c>
      <c r="L284" s="450">
        <f t="shared" si="13"/>
        <v>547271.23999999987</v>
      </c>
      <c r="M284" s="8">
        <f>+Données!F284</f>
        <v>1520</v>
      </c>
      <c r="N284" s="8">
        <f>+Données!K284</f>
        <v>2201.5</v>
      </c>
      <c r="O284" s="8">
        <f>(Données!L284/Données!Y284)*1</f>
        <v>36573.1</v>
      </c>
      <c r="P284" s="450">
        <f t="shared" si="14"/>
        <v>587565.83999999985</v>
      </c>
      <c r="Q284" s="238">
        <f>+Données!X284</f>
        <v>77</v>
      </c>
      <c r="R284" s="450">
        <f t="shared" si="15"/>
        <v>7630.7251948051926</v>
      </c>
    </row>
    <row r="285" spans="1:18" x14ac:dyDescent="0.25">
      <c r="A285" s="7">
        <f>Données!A285</f>
        <v>5912</v>
      </c>
      <c r="B285" s="27" t="str">
        <f>Données!B285</f>
        <v>Démoret</v>
      </c>
      <c r="C285" s="8">
        <f>Données!C285+Données!D285</f>
        <v>214313.87</v>
      </c>
      <c r="D285" s="8">
        <f>+Données!G285+Données!H285+Données!S285</f>
        <v>3116.6899999999996</v>
      </c>
      <c r="E285" s="8">
        <f>+Données!E285</f>
        <v>0</v>
      </c>
      <c r="F285" s="8">
        <f>+Données!I285</f>
        <v>0</v>
      </c>
      <c r="G285" s="8">
        <f>+Données!J285</f>
        <v>3771.49</v>
      </c>
      <c r="H285" s="8">
        <f>Données!U285</f>
        <v>-9386.1</v>
      </c>
      <c r="I285" s="213">
        <f>Données!V285</f>
        <v>0</v>
      </c>
      <c r="J285" s="213">
        <f>Données!W285</f>
        <v>0</v>
      </c>
      <c r="K285" s="8">
        <f>+Données!Q285</f>
        <v>1559.41</v>
      </c>
      <c r="L285" s="450">
        <f t="shared" si="13"/>
        <v>213375.35999999999</v>
      </c>
      <c r="M285" s="8">
        <f>+Données!F285</f>
        <v>940</v>
      </c>
      <c r="N285" s="8">
        <f>+Données!K285</f>
        <v>0</v>
      </c>
      <c r="O285" s="8">
        <f>(Données!L285/Données!Y285)*1</f>
        <v>22461.4</v>
      </c>
      <c r="P285" s="450">
        <f t="shared" si="14"/>
        <v>236776.75999999998</v>
      </c>
      <c r="Q285" s="238">
        <f>+Données!X285</f>
        <v>78</v>
      </c>
      <c r="R285" s="450">
        <f t="shared" si="15"/>
        <v>3035.5994871794869</v>
      </c>
    </row>
    <row r="286" spans="1:18" x14ac:dyDescent="0.25">
      <c r="A286" s="7">
        <f>Données!A286</f>
        <v>5913</v>
      </c>
      <c r="B286" s="27" t="str">
        <f>Données!B286</f>
        <v>Donneloye</v>
      </c>
      <c r="C286" s="8">
        <f>Données!C286+Données!D286</f>
        <v>1455979.7</v>
      </c>
      <c r="D286" s="8">
        <f>+Données!G286+Données!H286+Données!S286</f>
        <v>1005.65</v>
      </c>
      <c r="E286" s="8">
        <f>+Données!E286</f>
        <v>0</v>
      </c>
      <c r="F286" s="8">
        <f>+Données!I286</f>
        <v>0</v>
      </c>
      <c r="G286" s="8">
        <f>+Données!J286</f>
        <v>33828.449999999997</v>
      </c>
      <c r="H286" s="8">
        <f>Données!U286</f>
        <v>-17967.88</v>
      </c>
      <c r="I286" s="213">
        <f>Données!V286</f>
        <v>0</v>
      </c>
      <c r="J286" s="213">
        <f>Données!W286</f>
        <v>-892.99</v>
      </c>
      <c r="K286" s="8">
        <f>+Données!Q286</f>
        <v>3564.09</v>
      </c>
      <c r="L286" s="450">
        <f t="shared" si="13"/>
        <v>1475517.02</v>
      </c>
      <c r="M286" s="8">
        <f>+Données!F286</f>
        <v>0</v>
      </c>
      <c r="N286" s="8">
        <f>+Données!K286</f>
        <v>-5581.95</v>
      </c>
      <c r="O286" s="8">
        <f>(Données!L286/Données!Y286)*1</f>
        <v>126441</v>
      </c>
      <c r="P286" s="450">
        <f t="shared" si="14"/>
        <v>1596376.07</v>
      </c>
      <c r="Q286" s="238">
        <f>+Données!X286</f>
        <v>73</v>
      </c>
      <c r="R286" s="450">
        <f t="shared" si="15"/>
        <v>21868.165342465756</v>
      </c>
    </row>
    <row r="287" spans="1:18" x14ac:dyDescent="0.25">
      <c r="A287" s="7">
        <f>Données!A287</f>
        <v>5914</v>
      </c>
      <c r="B287" s="27" t="str">
        <f>Données!B287</f>
        <v>Ependes</v>
      </c>
      <c r="C287" s="8">
        <f>Données!C287+Données!D287</f>
        <v>632788.80999999994</v>
      </c>
      <c r="D287" s="8">
        <f>+Données!G287+Données!H287+Données!S287</f>
        <v>14041.57</v>
      </c>
      <c r="E287" s="8">
        <f>+Données!E287</f>
        <v>0</v>
      </c>
      <c r="F287" s="8">
        <f>+Données!I287</f>
        <v>0</v>
      </c>
      <c r="G287" s="8">
        <f>+Données!J287</f>
        <v>14779.43</v>
      </c>
      <c r="H287" s="8">
        <f>Données!U287</f>
        <v>-15389.64</v>
      </c>
      <c r="I287" s="213">
        <f>Données!V287</f>
        <v>0</v>
      </c>
      <c r="J287" s="213">
        <f>Données!W287</f>
        <v>0</v>
      </c>
      <c r="K287" s="8">
        <f>+Données!Q287</f>
        <v>2264.35</v>
      </c>
      <c r="L287" s="450">
        <f t="shared" si="13"/>
        <v>648484.5199999999</v>
      </c>
      <c r="M287" s="8">
        <f>+Données!F287</f>
        <v>2270</v>
      </c>
      <c r="N287" s="8">
        <f>+Données!K287</f>
        <v>7301.35</v>
      </c>
      <c r="O287" s="8">
        <f>(Données!L287/Données!Y287)*1</f>
        <v>64165.7</v>
      </c>
      <c r="P287" s="450">
        <f t="shared" si="14"/>
        <v>722221.56999999983</v>
      </c>
      <c r="Q287" s="238">
        <f>+Données!X287</f>
        <v>73.5</v>
      </c>
      <c r="R287" s="450">
        <f t="shared" si="15"/>
        <v>9826.1438095238063</v>
      </c>
    </row>
    <row r="288" spans="1:18" x14ac:dyDescent="0.25">
      <c r="A288" s="7">
        <f>Données!A288</f>
        <v>5919</v>
      </c>
      <c r="B288" s="27" t="str">
        <f>Données!B288</f>
        <v>Mathod</v>
      </c>
      <c r="C288" s="8">
        <f>Données!C288+Données!D288</f>
        <v>1310636.17</v>
      </c>
      <c r="D288" s="8">
        <f>+Données!G288+Données!H288+Données!S288</f>
        <v>42391.18</v>
      </c>
      <c r="E288" s="8">
        <f>+Données!E288</f>
        <v>0</v>
      </c>
      <c r="F288" s="8">
        <f>+Données!I288</f>
        <v>0</v>
      </c>
      <c r="G288" s="8">
        <f>+Données!J288</f>
        <v>23986.73</v>
      </c>
      <c r="H288" s="8">
        <f>Données!U288</f>
        <v>-22232.55</v>
      </c>
      <c r="I288" s="213">
        <f>Données!V288</f>
        <v>0</v>
      </c>
      <c r="J288" s="213">
        <f>Données!W288</f>
        <v>0</v>
      </c>
      <c r="K288" s="8">
        <f>+Données!Q288</f>
        <v>7673.07</v>
      </c>
      <c r="L288" s="450">
        <f t="shared" si="13"/>
        <v>1362454.5999999999</v>
      </c>
      <c r="M288" s="8">
        <f>+Données!F288</f>
        <v>3960</v>
      </c>
      <c r="N288" s="8">
        <f>+Données!K288</f>
        <v>11383.75</v>
      </c>
      <c r="O288" s="8">
        <f>(Données!L288/Données!Y288)*1</f>
        <v>123717.29166666667</v>
      </c>
      <c r="P288" s="450">
        <f t="shared" si="14"/>
        <v>1501515.6416666666</v>
      </c>
      <c r="Q288" s="238">
        <f>+Données!X288</f>
        <v>72</v>
      </c>
      <c r="R288" s="450">
        <f t="shared" si="15"/>
        <v>20854.383912037036</v>
      </c>
    </row>
    <row r="289" spans="1:18" x14ac:dyDescent="0.25">
      <c r="A289" s="7">
        <f>Données!A289</f>
        <v>5921</v>
      </c>
      <c r="B289" s="27" t="str">
        <f>Données!B289</f>
        <v>Molondin</v>
      </c>
      <c r="C289" s="8">
        <f>Données!C289+Données!D289</f>
        <v>371854.19</v>
      </c>
      <c r="D289" s="8">
        <f>+Données!G289+Données!H289+Données!S289</f>
        <v>950.76</v>
      </c>
      <c r="E289" s="8">
        <f>+Données!E289</f>
        <v>0</v>
      </c>
      <c r="F289" s="8">
        <f>+Données!I289</f>
        <v>0</v>
      </c>
      <c r="G289" s="8">
        <f>+Données!J289</f>
        <v>6939.28</v>
      </c>
      <c r="H289" s="8">
        <f>Données!U289</f>
        <v>-7190.13</v>
      </c>
      <c r="I289" s="213">
        <f>Données!V289</f>
        <v>0</v>
      </c>
      <c r="J289" s="213">
        <f>Données!W289</f>
        <v>0</v>
      </c>
      <c r="K289" s="8">
        <f>+Données!Q289</f>
        <v>2503.8200000000002</v>
      </c>
      <c r="L289" s="450">
        <f t="shared" si="13"/>
        <v>375057.92000000004</v>
      </c>
      <c r="M289" s="8">
        <f>+Données!F289</f>
        <v>1421.7</v>
      </c>
      <c r="N289" s="8">
        <f>+Données!K289</f>
        <v>0</v>
      </c>
      <c r="O289" s="8">
        <f>(Données!L289/Données!Y289)*1</f>
        <v>35888.75</v>
      </c>
      <c r="P289" s="450">
        <f t="shared" si="14"/>
        <v>412368.37000000005</v>
      </c>
      <c r="Q289" s="238">
        <f>+Données!X289</f>
        <v>81</v>
      </c>
      <c r="R289" s="450">
        <f t="shared" si="15"/>
        <v>5090.9675308641981</v>
      </c>
    </row>
    <row r="290" spans="1:18" x14ac:dyDescent="0.25">
      <c r="A290" s="7">
        <f>Données!A290</f>
        <v>5922</v>
      </c>
      <c r="B290" s="27" t="str">
        <f>Données!B290</f>
        <v>Montagny-près-Yverdon</v>
      </c>
      <c r="C290" s="8">
        <f>Données!C290+Données!D290</f>
        <v>1566459.89</v>
      </c>
      <c r="D290" s="8">
        <f>+Données!G290+Données!H290+Données!S290</f>
        <v>532030.9</v>
      </c>
      <c r="E290" s="8">
        <f>+Données!E290</f>
        <v>0</v>
      </c>
      <c r="F290" s="8">
        <f>+Données!I290</f>
        <v>0</v>
      </c>
      <c r="G290" s="8">
        <f>+Données!J290</f>
        <v>85313.26</v>
      </c>
      <c r="H290" s="8">
        <f>Données!U290</f>
        <v>-18199.62</v>
      </c>
      <c r="I290" s="213">
        <f>Données!V290</f>
        <v>0</v>
      </c>
      <c r="J290" s="213">
        <f>Données!W290</f>
        <v>-254.07</v>
      </c>
      <c r="K290" s="8">
        <f>+Données!Q290</f>
        <v>0</v>
      </c>
      <c r="L290" s="450">
        <f t="shared" si="13"/>
        <v>2165350.36</v>
      </c>
      <c r="M290" s="8">
        <f>+Données!F290</f>
        <v>0</v>
      </c>
      <c r="N290" s="8">
        <f>+Données!K290</f>
        <v>65824.350000000006</v>
      </c>
      <c r="O290" s="8">
        <f>(Données!L290/Données!Y290)*1</f>
        <v>335925.06249999994</v>
      </c>
      <c r="P290" s="450">
        <f t="shared" si="14"/>
        <v>2567099.7725</v>
      </c>
      <c r="Q290" s="238">
        <f>+Données!X290</f>
        <v>64.5</v>
      </c>
      <c r="R290" s="450">
        <f t="shared" si="15"/>
        <v>39799.996472868217</v>
      </c>
    </row>
    <row r="291" spans="1:18" x14ac:dyDescent="0.25">
      <c r="A291" s="7">
        <f>Données!A291</f>
        <v>5923</v>
      </c>
      <c r="B291" s="27" t="str">
        <f>Données!B291</f>
        <v>Oppens</v>
      </c>
      <c r="C291" s="8">
        <f>Données!C291+Données!D291</f>
        <v>280536.77</v>
      </c>
      <c r="D291" s="8">
        <f>+Données!G291+Données!H291+Données!S291</f>
        <v>24565.46</v>
      </c>
      <c r="E291" s="8">
        <f>+Données!E291</f>
        <v>0</v>
      </c>
      <c r="F291" s="8">
        <f>+Données!I291</f>
        <v>0</v>
      </c>
      <c r="G291" s="8">
        <f>+Données!J291</f>
        <v>31244.639999999999</v>
      </c>
      <c r="H291" s="8">
        <f>Données!U291</f>
        <v>-6113.84</v>
      </c>
      <c r="I291" s="213">
        <f>Données!V291</f>
        <v>0</v>
      </c>
      <c r="J291" s="213">
        <f>Données!W291</f>
        <v>0</v>
      </c>
      <c r="K291" s="8">
        <f>+Données!Q291</f>
        <v>3625.14</v>
      </c>
      <c r="L291" s="450">
        <f t="shared" si="13"/>
        <v>333858.17000000004</v>
      </c>
      <c r="M291" s="8">
        <f>+Données!F291</f>
        <v>0</v>
      </c>
      <c r="N291" s="8">
        <f>+Données!K291</f>
        <v>0</v>
      </c>
      <c r="O291" s="8">
        <f>(Données!L291/Données!Y291)*1</f>
        <v>27354</v>
      </c>
      <c r="P291" s="450">
        <f t="shared" si="14"/>
        <v>361212.17000000004</v>
      </c>
      <c r="Q291" s="238">
        <f>+Données!X291</f>
        <v>81</v>
      </c>
      <c r="R291" s="450">
        <f t="shared" si="15"/>
        <v>4459.4095061728403</v>
      </c>
    </row>
    <row r="292" spans="1:18" x14ac:dyDescent="0.25">
      <c r="A292" s="7">
        <f>Données!A292</f>
        <v>5924</v>
      </c>
      <c r="B292" s="27" t="str">
        <f>Données!B292</f>
        <v>Orges</v>
      </c>
      <c r="C292" s="8">
        <f>Données!C292+Données!D292</f>
        <v>762567.89</v>
      </c>
      <c r="D292" s="8">
        <f>+Données!G292+Données!H292+Données!S292</f>
        <v>13630.09</v>
      </c>
      <c r="E292" s="8">
        <f>+Données!E292</f>
        <v>0</v>
      </c>
      <c r="F292" s="8">
        <f>+Données!I292</f>
        <v>0</v>
      </c>
      <c r="G292" s="8">
        <f>+Données!J292</f>
        <v>22949.55</v>
      </c>
      <c r="H292" s="8">
        <f>Données!U292</f>
        <v>-1325.8</v>
      </c>
      <c r="I292" s="213">
        <f>Données!V292</f>
        <v>0</v>
      </c>
      <c r="J292" s="213">
        <f>Données!W292</f>
        <v>-145.54</v>
      </c>
      <c r="K292" s="8">
        <f>+Données!Q292</f>
        <v>1748.47</v>
      </c>
      <c r="L292" s="450">
        <f t="shared" si="13"/>
        <v>799424.65999999992</v>
      </c>
      <c r="M292" s="8">
        <f>+Données!F292</f>
        <v>0</v>
      </c>
      <c r="N292" s="8">
        <f>+Données!K292</f>
        <v>0</v>
      </c>
      <c r="O292" s="8">
        <f>(Données!L292/Données!Y292)*1</f>
        <v>61757.15</v>
      </c>
      <c r="P292" s="450">
        <f t="shared" si="14"/>
        <v>861181.80999999994</v>
      </c>
      <c r="Q292" s="238">
        <f>+Données!X292</f>
        <v>74</v>
      </c>
      <c r="R292" s="450">
        <f t="shared" si="15"/>
        <v>11637.592027027025</v>
      </c>
    </row>
    <row r="293" spans="1:18" x14ac:dyDescent="0.25">
      <c r="A293" s="7">
        <f>Données!A293</f>
        <v>5925</v>
      </c>
      <c r="B293" s="27" t="str">
        <f>Données!B293</f>
        <v>Orzens</v>
      </c>
      <c r="C293" s="8">
        <f>Données!C293+Données!D293</f>
        <v>372846.97</v>
      </c>
      <c r="D293" s="8">
        <f>+Données!G293+Données!H293+Données!S293</f>
        <v>3173.52</v>
      </c>
      <c r="E293" s="8">
        <f>+Données!E293</f>
        <v>0</v>
      </c>
      <c r="F293" s="8">
        <f>+Données!I293</f>
        <v>0</v>
      </c>
      <c r="G293" s="8">
        <f>+Données!J293</f>
        <v>11747.07</v>
      </c>
      <c r="H293" s="8">
        <f>Données!U293</f>
        <v>-10323.950000000001</v>
      </c>
      <c r="I293" s="213">
        <f>Données!V293</f>
        <v>0</v>
      </c>
      <c r="J293" s="213">
        <f>Données!W293</f>
        <v>-164.65</v>
      </c>
      <c r="K293" s="8">
        <f>+Données!Q293</f>
        <v>2220.4899999999998</v>
      </c>
      <c r="L293" s="450">
        <f t="shared" si="13"/>
        <v>379499.44999999995</v>
      </c>
      <c r="M293" s="8">
        <f>+Données!F293</f>
        <v>680</v>
      </c>
      <c r="N293" s="8">
        <f>+Données!K293</f>
        <v>0</v>
      </c>
      <c r="O293" s="8">
        <f>(Données!L293/Données!Y293)*1</f>
        <v>34493.699999999997</v>
      </c>
      <c r="P293" s="450">
        <f t="shared" si="14"/>
        <v>414673.14999999997</v>
      </c>
      <c r="Q293" s="238">
        <f>+Données!X293</f>
        <v>79</v>
      </c>
      <c r="R293" s="450">
        <f t="shared" si="15"/>
        <v>5249.0272151898725</v>
      </c>
    </row>
    <row r="294" spans="1:18" x14ac:dyDescent="0.25">
      <c r="A294" s="7">
        <f>Données!A294</f>
        <v>5926</v>
      </c>
      <c r="B294" s="27" t="str">
        <f>Données!B294</f>
        <v>Pomy</v>
      </c>
      <c r="C294" s="8">
        <f>Données!C294+Données!D294</f>
        <v>1682350.7</v>
      </c>
      <c r="D294" s="8">
        <f>+Données!G294+Données!H294+Données!S294</f>
        <v>52316.490000000005</v>
      </c>
      <c r="E294" s="8">
        <f>+Données!E294</f>
        <v>0</v>
      </c>
      <c r="F294" s="8">
        <f>+Données!I294</f>
        <v>0</v>
      </c>
      <c r="G294" s="8">
        <f>+Données!J294</f>
        <v>39940.949999999997</v>
      </c>
      <c r="H294" s="8">
        <f>Données!U294</f>
        <v>-14155.75</v>
      </c>
      <c r="I294" s="213">
        <f>Données!V294</f>
        <v>0</v>
      </c>
      <c r="J294" s="213">
        <f>Données!W294</f>
        <v>-33.1</v>
      </c>
      <c r="K294" s="8">
        <f>+Données!Q294</f>
        <v>1395.7</v>
      </c>
      <c r="L294" s="450">
        <f t="shared" si="13"/>
        <v>1761814.9899999998</v>
      </c>
      <c r="M294" s="8">
        <f>+Données!F294</f>
        <v>0</v>
      </c>
      <c r="N294" s="8">
        <f>+Données!K294</f>
        <v>0</v>
      </c>
      <c r="O294" s="8">
        <f>(Données!L294/Données!Y294)*1</f>
        <v>139755.29999999999</v>
      </c>
      <c r="P294" s="450">
        <f t="shared" si="14"/>
        <v>1901570.2899999998</v>
      </c>
      <c r="Q294" s="238">
        <f>+Données!X294</f>
        <v>71</v>
      </c>
      <c r="R294" s="450">
        <f t="shared" si="15"/>
        <v>26782.680140845066</v>
      </c>
    </row>
    <row r="295" spans="1:18" x14ac:dyDescent="0.25">
      <c r="A295" s="7">
        <f>Données!A295</f>
        <v>5928</v>
      </c>
      <c r="B295" s="27" t="str">
        <f>Données!B295</f>
        <v>Rovray</v>
      </c>
      <c r="C295" s="8">
        <f>Données!C295+Données!D295</f>
        <v>331068.71000000002</v>
      </c>
      <c r="D295" s="8">
        <f>+Données!G295+Données!H295+Données!S295</f>
        <v>2120.65</v>
      </c>
      <c r="E295" s="8">
        <f>+Données!E295</f>
        <v>0</v>
      </c>
      <c r="F295" s="8">
        <f>+Données!I295</f>
        <v>0</v>
      </c>
      <c r="G295" s="8">
        <f>+Données!J295</f>
        <v>12054.8</v>
      </c>
      <c r="H295" s="8">
        <f>Données!U295</f>
        <v>-7221.21</v>
      </c>
      <c r="I295" s="213">
        <f>Données!V295</f>
        <v>0</v>
      </c>
      <c r="J295" s="213">
        <f>Données!W295</f>
        <v>0</v>
      </c>
      <c r="K295" s="8">
        <f>+Données!Q295</f>
        <v>11</v>
      </c>
      <c r="L295" s="450">
        <f t="shared" si="13"/>
        <v>338033.95</v>
      </c>
      <c r="M295" s="8">
        <f>+Données!F295</f>
        <v>0</v>
      </c>
      <c r="N295" s="8">
        <f>+Données!K295</f>
        <v>0</v>
      </c>
      <c r="O295" s="8">
        <f>(Données!L295/Données!Y295)*1</f>
        <v>26295.7</v>
      </c>
      <c r="P295" s="450">
        <f t="shared" si="14"/>
        <v>364329.65</v>
      </c>
      <c r="Q295" s="238">
        <f>+Données!X295</f>
        <v>71.5</v>
      </c>
      <c r="R295" s="450">
        <f t="shared" si="15"/>
        <v>5095.519580419581</v>
      </c>
    </row>
    <row r="296" spans="1:18" x14ac:dyDescent="0.25">
      <c r="A296" s="7">
        <f>Données!A296</f>
        <v>5929</v>
      </c>
      <c r="B296" s="27" t="str">
        <f>Données!B296</f>
        <v>Suchy</v>
      </c>
      <c r="C296" s="8">
        <f>Données!C296+Données!D296</f>
        <v>1300998.48</v>
      </c>
      <c r="D296" s="8">
        <f>+Données!G296+Données!H296+Données!S296</f>
        <v>36980.49</v>
      </c>
      <c r="E296" s="8">
        <f>+Données!E296</f>
        <v>0</v>
      </c>
      <c r="F296" s="8">
        <f>+Données!I296</f>
        <v>41100.15</v>
      </c>
      <c r="G296" s="8">
        <f>+Données!J296</f>
        <v>26464.74</v>
      </c>
      <c r="H296" s="8">
        <f>Données!U296</f>
        <v>-11366.04</v>
      </c>
      <c r="I296" s="213">
        <f>Données!V296</f>
        <v>0</v>
      </c>
      <c r="J296" s="213">
        <f>Données!W296</f>
        <v>-87.5</v>
      </c>
      <c r="K296" s="8">
        <f>+Données!Q296</f>
        <v>158.96</v>
      </c>
      <c r="L296" s="450">
        <f t="shared" si="13"/>
        <v>1394249.2799999998</v>
      </c>
      <c r="M296" s="8">
        <f>+Données!F296</f>
        <v>0</v>
      </c>
      <c r="N296" s="8">
        <f>+Données!K296</f>
        <v>0</v>
      </c>
      <c r="O296" s="8">
        <f>(Données!L296/Données!Y296)*1</f>
        <v>117965.75</v>
      </c>
      <c r="P296" s="450">
        <f t="shared" si="14"/>
        <v>1512215.0299999998</v>
      </c>
      <c r="Q296" s="238">
        <f>+Données!X296</f>
        <v>70</v>
      </c>
      <c r="R296" s="450">
        <f t="shared" si="15"/>
        <v>21603.071857142855</v>
      </c>
    </row>
    <row r="297" spans="1:18" s="217" customFormat="1" x14ac:dyDescent="0.25">
      <c r="A297" s="7">
        <f>Données!A297</f>
        <v>5930</v>
      </c>
      <c r="B297" s="27" t="str">
        <f>Données!B297</f>
        <v>Suscévaz</v>
      </c>
      <c r="C297" s="8">
        <f>Données!C297+Données!D297</f>
        <v>374593.95</v>
      </c>
      <c r="D297" s="8">
        <f>+Données!G297+Données!H297+Données!S297</f>
        <v>695.18</v>
      </c>
      <c r="E297" s="8">
        <f>+Données!E297</f>
        <v>0</v>
      </c>
      <c r="F297" s="8">
        <f>+Données!I297</f>
        <v>0</v>
      </c>
      <c r="G297" s="8">
        <f>+Données!J297</f>
        <v>6739.75</v>
      </c>
      <c r="H297" s="8">
        <f>Données!U297</f>
        <v>-42.39</v>
      </c>
      <c r="I297" s="213">
        <f>Données!V297</f>
        <v>0</v>
      </c>
      <c r="J297" s="213">
        <f>Données!W297</f>
        <v>-396.7</v>
      </c>
      <c r="K297" s="8">
        <f>+Données!Q297</f>
        <v>0</v>
      </c>
      <c r="L297" s="450">
        <f t="shared" si="13"/>
        <v>381589.79</v>
      </c>
      <c r="M297" s="8">
        <f>+Données!F297</f>
        <v>1150</v>
      </c>
      <c r="N297" s="8">
        <f>+Données!K297</f>
        <v>228.6</v>
      </c>
      <c r="O297" s="8">
        <f>(Données!L297/Données!Y297)*1</f>
        <v>30971.5</v>
      </c>
      <c r="P297" s="450">
        <f t="shared" si="14"/>
        <v>413939.88999999996</v>
      </c>
      <c r="Q297" s="238">
        <f>+Données!X297</f>
        <v>72</v>
      </c>
      <c r="R297" s="450">
        <f t="shared" si="15"/>
        <v>5749.1651388888886</v>
      </c>
    </row>
    <row r="298" spans="1:18" x14ac:dyDescent="0.25">
      <c r="A298" s="7">
        <f>Données!A298</f>
        <v>5931</v>
      </c>
      <c r="B298" s="27" t="str">
        <f>Données!B298</f>
        <v>Treycovagnes</v>
      </c>
      <c r="C298" s="8">
        <f>Données!C298+Données!D298</f>
        <v>1130681.82</v>
      </c>
      <c r="D298" s="8">
        <f>+Données!G298+Données!H298+Données!S298</f>
        <v>14480.01</v>
      </c>
      <c r="E298" s="8">
        <f>+Données!E298</f>
        <v>0</v>
      </c>
      <c r="F298" s="8">
        <f>+Données!I298</f>
        <v>0</v>
      </c>
      <c r="G298" s="8">
        <f>+Données!J298</f>
        <v>16964.7</v>
      </c>
      <c r="H298" s="8">
        <f>Données!U298</f>
        <v>-28547.599999999999</v>
      </c>
      <c r="I298" s="213">
        <f>Données!V298</f>
        <v>0</v>
      </c>
      <c r="J298" s="213">
        <f>Données!W298</f>
        <v>-39.6</v>
      </c>
      <c r="K298" s="8">
        <f>+Données!Q298</f>
        <v>2635.73</v>
      </c>
      <c r="L298" s="450">
        <f t="shared" si="13"/>
        <v>1136175.0599999998</v>
      </c>
      <c r="M298" s="8">
        <f>+Données!F298</f>
        <v>0</v>
      </c>
      <c r="N298" s="8">
        <f>+Données!K298</f>
        <v>1295.9000000000001</v>
      </c>
      <c r="O298" s="8">
        <f>(Données!L298/Données!Y298)*1</f>
        <v>85534.8</v>
      </c>
      <c r="P298" s="450">
        <f t="shared" si="14"/>
        <v>1223005.7599999998</v>
      </c>
      <c r="Q298" s="238">
        <f>+Données!X298</f>
        <v>75</v>
      </c>
      <c r="R298" s="450">
        <f t="shared" si="15"/>
        <v>16306.743466666663</v>
      </c>
    </row>
    <row r="299" spans="1:18" x14ac:dyDescent="0.25">
      <c r="A299" s="7">
        <f>Données!A299</f>
        <v>5932</v>
      </c>
      <c r="B299" s="27" t="str">
        <f>Données!B299</f>
        <v>Ursins</v>
      </c>
      <c r="C299" s="8">
        <f>Données!C299+Données!D299</f>
        <v>516996.56</v>
      </c>
      <c r="D299" s="8">
        <f>+Données!G299+Données!H299+Données!S299</f>
        <v>661.87</v>
      </c>
      <c r="E299" s="8">
        <f>+Données!E299</f>
        <v>0</v>
      </c>
      <c r="F299" s="8">
        <f>+Données!I299</f>
        <v>40597.800000000003</v>
      </c>
      <c r="G299" s="8">
        <f>+Données!J299</f>
        <v>5920.82</v>
      </c>
      <c r="H299" s="8">
        <f>Données!U299</f>
        <v>-4106.46</v>
      </c>
      <c r="I299" s="213">
        <f>Données!V299</f>
        <v>0</v>
      </c>
      <c r="J299" s="213">
        <f>Données!W299</f>
        <v>-53.7</v>
      </c>
      <c r="K299" s="8">
        <f>+Données!Q299</f>
        <v>56.86</v>
      </c>
      <c r="L299" s="450">
        <f t="shared" si="13"/>
        <v>560073.75</v>
      </c>
      <c r="M299" s="8">
        <f>+Données!F299</f>
        <v>1350</v>
      </c>
      <c r="N299" s="8">
        <f>+Données!K299</f>
        <v>819.5</v>
      </c>
      <c r="O299" s="8">
        <f>(Données!L299/Données!Y299)*1</f>
        <v>33679.300000000003</v>
      </c>
      <c r="P299" s="450">
        <f t="shared" si="14"/>
        <v>595922.55000000005</v>
      </c>
      <c r="Q299" s="238">
        <f>+Données!X299</f>
        <v>75</v>
      </c>
      <c r="R299" s="450">
        <f t="shared" si="15"/>
        <v>7945.6340000000009</v>
      </c>
    </row>
    <row r="300" spans="1:18" x14ac:dyDescent="0.25">
      <c r="A300" s="7">
        <f>Données!A300</f>
        <v>5933</v>
      </c>
      <c r="B300" s="27" t="str">
        <f>Données!B300</f>
        <v>Valeyres-sous-Montagny</v>
      </c>
      <c r="C300" s="8">
        <f>Données!C300+Données!D300</f>
        <v>1506193.99</v>
      </c>
      <c r="D300" s="8">
        <f>+Données!G300+Données!H300+Données!S300</f>
        <v>27733.960000000003</v>
      </c>
      <c r="E300" s="8">
        <f>+Données!E300</f>
        <v>0</v>
      </c>
      <c r="F300" s="8">
        <f>+Données!I300</f>
        <v>0</v>
      </c>
      <c r="G300" s="8">
        <f>+Données!J300</f>
        <v>15895.67</v>
      </c>
      <c r="H300" s="8">
        <f>Données!U300</f>
        <v>-21366.7</v>
      </c>
      <c r="I300" s="213">
        <f>Données!V300</f>
        <v>0</v>
      </c>
      <c r="J300" s="213">
        <f>Données!W300</f>
        <v>-0.21</v>
      </c>
      <c r="K300" s="8">
        <f>+Données!Q300</f>
        <v>153.87</v>
      </c>
      <c r="L300" s="450">
        <f t="shared" si="13"/>
        <v>1528610.58</v>
      </c>
      <c r="M300" s="8">
        <f>+Données!F300</f>
        <v>0</v>
      </c>
      <c r="N300" s="8">
        <f>+Données!K300</f>
        <v>3437.05</v>
      </c>
      <c r="O300" s="8">
        <f>(Données!L300/Données!Y300)*1</f>
        <v>123173.55</v>
      </c>
      <c r="P300" s="450">
        <f t="shared" si="14"/>
        <v>1655221.1800000002</v>
      </c>
      <c r="Q300" s="238">
        <f>+Données!X300</f>
        <v>70.5</v>
      </c>
      <c r="R300" s="450">
        <f t="shared" si="15"/>
        <v>23478.314609929079</v>
      </c>
    </row>
    <row r="301" spans="1:18" x14ac:dyDescent="0.25">
      <c r="A301" s="7">
        <f>Données!A301</f>
        <v>5934</v>
      </c>
      <c r="B301" s="27" t="str">
        <f>Données!B301</f>
        <v>Valeyres-sous-Ursins</v>
      </c>
      <c r="C301" s="8">
        <f>Données!C301+Données!D301</f>
        <v>1246913.95</v>
      </c>
      <c r="D301" s="8">
        <f>+Données!G301+Données!H301+Données!S301</f>
        <v>-80.739999999999995</v>
      </c>
      <c r="E301" s="8">
        <f>+Données!E301</f>
        <v>0</v>
      </c>
      <c r="F301" s="8">
        <f>+Données!I301</f>
        <v>0</v>
      </c>
      <c r="G301" s="8">
        <f>+Données!J301</f>
        <v>16298.23</v>
      </c>
      <c r="H301" s="8">
        <f>Données!U301</f>
        <v>-1969.43</v>
      </c>
      <c r="I301" s="213">
        <f>Données!V301</f>
        <v>0</v>
      </c>
      <c r="J301" s="213">
        <f>Données!W301</f>
        <v>0</v>
      </c>
      <c r="K301" s="8">
        <f>+Données!Q301</f>
        <v>0</v>
      </c>
      <c r="L301" s="450">
        <f t="shared" si="13"/>
        <v>1261162.01</v>
      </c>
      <c r="M301" s="8">
        <f>+Données!F301</f>
        <v>1520</v>
      </c>
      <c r="N301" s="8">
        <f>+Données!K301</f>
        <v>34.700000000000003</v>
      </c>
      <c r="O301" s="8">
        <f>(Données!L301/Données!Y301)*1</f>
        <v>29927.4</v>
      </c>
      <c r="P301" s="450">
        <f t="shared" si="14"/>
        <v>1292644.1099999999</v>
      </c>
      <c r="Q301" s="238">
        <f>+Données!X301</f>
        <v>77</v>
      </c>
      <c r="R301" s="450">
        <f t="shared" si="15"/>
        <v>16787.585844155841</v>
      </c>
    </row>
    <row r="302" spans="1:18" x14ac:dyDescent="0.25">
      <c r="A302" s="7">
        <f>Données!A302</f>
        <v>5935</v>
      </c>
      <c r="B302" s="27" t="str">
        <f>Données!B302</f>
        <v>Villars-Epeney</v>
      </c>
      <c r="C302" s="8">
        <f>Données!C302+Données!D302</f>
        <v>432217.66000000003</v>
      </c>
      <c r="D302" s="8">
        <f>+Données!G302+Données!H302+Données!S302</f>
        <v>2564.6099999999997</v>
      </c>
      <c r="E302" s="8">
        <f>+Données!E302</f>
        <v>0</v>
      </c>
      <c r="F302" s="8">
        <f>+Données!I302</f>
        <v>0</v>
      </c>
      <c r="G302" s="8">
        <f>+Données!J302</f>
        <v>1751.41</v>
      </c>
      <c r="H302" s="8">
        <f>Données!U302</f>
        <v>-14.49</v>
      </c>
      <c r="I302" s="213">
        <f>Données!V302</f>
        <v>0</v>
      </c>
      <c r="J302" s="213">
        <f>Données!W302</f>
        <v>-121.1</v>
      </c>
      <c r="K302" s="8">
        <f>+Données!Q302</f>
        <v>0</v>
      </c>
      <c r="L302" s="450">
        <f t="shared" si="13"/>
        <v>436398.09</v>
      </c>
      <c r="M302" s="8">
        <f>+Données!F302</f>
        <v>0</v>
      </c>
      <c r="N302" s="8">
        <f>+Données!K302</f>
        <v>0</v>
      </c>
      <c r="O302" s="8">
        <f>(Données!L302/Données!Y302)*1</f>
        <v>20862.05</v>
      </c>
      <c r="P302" s="450">
        <f t="shared" si="14"/>
        <v>457260.14</v>
      </c>
      <c r="Q302" s="238">
        <f>+Données!X302</f>
        <v>68</v>
      </c>
      <c r="R302" s="450">
        <f t="shared" si="15"/>
        <v>6724.4138235294122</v>
      </c>
    </row>
    <row r="303" spans="1:18" x14ac:dyDescent="0.25">
      <c r="A303" s="7">
        <f>Données!A303</f>
        <v>5937</v>
      </c>
      <c r="B303" s="27" t="str">
        <f>Données!B303</f>
        <v>Vugelles-La Mothe</v>
      </c>
      <c r="C303" s="8">
        <f>Données!C303+Données!D303</f>
        <v>215278.37000000002</v>
      </c>
      <c r="D303" s="8">
        <f>+Données!G303+Données!H303+Données!S303</f>
        <v>1418.57</v>
      </c>
      <c r="E303" s="8">
        <f>+Données!E303</f>
        <v>0</v>
      </c>
      <c r="F303" s="8">
        <f>+Données!I303</f>
        <v>0</v>
      </c>
      <c r="G303" s="8">
        <f>+Données!J303</f>
        <v>2117.29</v>
      </c>
      <c r="H303" s="8">
        <f>Données!U303</f>
        <v>-2699.57</v>
      </c>
      <c r="I303" s="213">
        <f>Données!V303</f>
        <v>0</v>
      </c>
      <c r="J303" s="213">
        <f>Données!W303</f>
        <v>0</v>
      </c>
      <c r="K303" s="8">
        <f>+Données!Q303</f>
        <v>52.83</v>
      </c>
      <c r="L303" s="450">
        <f t="shared" si="13"/>
        <v>216167.49000000002</v>
      </c>
      <c r="M303" s="8">
        <f>+Données!F303</f>
        <v>0</v>
      </c>
      <c r="N303" s="8">
        <f>+Données!K303</f>
        <v>0</v>
      </c>
      <c r="O303" s="8">
        <f>(Données!L303/Données!Y303)*1</f>
        <v>17905.100000000002</v>
      </c>
      <c r="P303" s="450">
        <f t="shared" si="14"/>
        <v>234072.59000000003</v>
      </c>
      <c r="Q303" s="238">
        <f>+Données!X303</f>
        <v>70</v>
      </c>
      <c r="R303" s="450">
        <f t="shared" si="15"/>
        <v>3343.8941428571434</v>
      </c>
    </row>
    <row r="304" spans="1:18" x14ac:dyDescent="0.25">
      <c r="A304" s="7">
        <f>Données!A304</f>
        <v>5938</v>
      </c>
      <c r="B304" s="27" t="str">
        <f>Données!B304</f>
        <v>Yverdon-les-Bains</v>
      </c>
      <c r="C304" s="8">
        <f>Données!C304+Données!D304</f>
        <v>47378408.359999999</v>
      </c>
      <c r="D304" s="8">
        <f>+Données!G304+Données!H304+Données!S304</f>
        <v>4600979.66</v>
      </c>
      <c r="E304" s="8">
        <f>+Données!E304</f>
        <v>0</v>
      </c>
      <c r="F304" s="8">
        <f>+Données!I304</f>
        <v>0</v>
      </c>
      <c r="G304" s="8">
        <f>+Données!J304</f>
        <v>2035405.47</v>
      </c>
      <c r="H304" s="8">
        <f>Données!U304</f>
        <v>-1193782.54</v>
      </c>
      <c r="I304" s="213">
        <f>Données!V304</f>
        <v>0</v>
      </c>
      <c r="J304" s="213">
        <f>Données!W304</f>
        <v>-17227.91</v>
      </c>
      <c r="K304" s="8">
        <f>+Données!Q304</f>
        <v>309378.27</v>
      </c>
      <c r="L304" s="450">
        <f t="shared" si="13"/>
        <v>53113161.310000002</v>
      </c>
      <c r="M304" s="8">
        <f>+Données!F304</f>
        <v>0</v>
      </c>
      <c r="N304" s="8">
        <f>+Données!K304</f>
        <v>733178.2</v>
      </c>
      <c r="O304" s="8">
        <f>(Données!L304/Données!Y304)*1</f>
        <v>4698262.95</v>
      </c>
      <c r="P304" s="450">
        <f t="shared" si="14"/>
        <v>58544602.460000008</v>
      </c>
      <c r="Q304" s="238">
        <f>+Données!X304</f>
        <v>75</v>
      </c>
      <c r="R304" s="450">
        <f t="shared" si="15"/>
        <v>780594.69946666679</v>
      </c>
    </row>
    <row r="305" spans="1:18" x14ac:dyDescent="0.25">
      <c r="A305" s="7">
        <f>Données!A305</f>
        <v>5939</v>
      </c>
      <c r="B305" s="27" t="str">
        <f>Données!B305</f>
        <v>Yvonand</v>
      </c>
      <c r="C305" s="8">
        <f>Données!C305+Données!D305</f>
        <v>5922390.7000000002</v>
      </c>
      <c r="D305" s="8">
        <f>+Données!G305+Données!H305+Données!S305</f>
        <v>415066.29000000004</v>
      </c>
      <c r="E305" s="8">
        <f>+Données!E305</f>
        <v>0</v>
      </c>
      <c r="F305" s="8">
        <f>+Données!I305</f>
        <v>0</v>
      </c>
      <c r="G305" s="8">
        <f>+Données!J305</f>
        <v>64905.83</v>
      </c>
      <c r="H305" s="8">
        <f>Données!U305</f>
        <v>-123423.25</v>
      </c>
      <c r="I305" s="213">
        <f>Données!V305</f>
        <v>0</v>
      </c>
      <c r="J305" s="213">
        <f>Données!W305</f>
        <v>-416.3</v>
      </c>
      <c r="K305" s="8">
        <f>+Données!Q305</f>
        <v>34210.68</v>
      </c>
      <c r="L305" s="450">
        <f t="shared" si="13"/>
        <v>6312733.9500000002</v>
      </c>
      <c r="M305" s="8">
        <f>+Données!F305</f>
        <v>0</v>
      </c>
      <c r="N305" s="8">
        <f>+Données!K305</f>
        <v>53322.6</v>
      </c>
      <c r="O305" s="8">
        <f>(Données!L305/Données!Y305)*1</f>
        <v>597639.35</v>
      </c>
      <c r="P305" s="450">
        <f t="shared" si="14"/>
        <v>6963695.8999999994</v>
      </c>
      <c r="Q305" s="238">
        <f>+Données!X305</f>
        <v>71.5</v>
      </c>
      <c r="R305" s="450">
        <f t="shared" si="15"/>
        <v>97394.348251748248</v>
      </c>
    </row>
    <row r="306" spans="1:18" x14ac:dyDescent="0.25">
      <c r="A306" s="6"/>
      <c r="B306" s="19">
        <f>COUNTA(B6:B305)</f>
        <v>300</v>
      </c>
      <c r="C306" s="9">
        <f t="shared" ref="C306:P306" si="16">SUM(C6:C305)</f>
        <v>2048547099.1299999</v>
      </c>
      <c r="D306" s="9">
        <f t="shared" si="16"/>
        <v>363316447.52999973</v>
      </c>
      <c r="E306" s="9">
        <f t="shared" si="16"/>
        <v>0</v>
      </c>
      <c r="F306" s="9">
        <f t="shared" si="16"/>
        <v>40975270.140000008</v>
      </c>
      <c r="G306" s="9">
        <f t="shared" si="16"/>
        <v>80353589.530000046</v>
      </c>
      <c r="H306" s="9">
        <f t="shared" si="16"/>
        <v>-31669246.170000006</v>
      </c>
      <c r="I306" s="9">
        <f t="shared" si="16"/>
        <v>-35431.199999999997</v>
      </c>
      <c r="J306" s="9">
        <f t="shared" si="16"/>
        <v>-5868235.3999999985</v>
      </c>
      <c r="K306" s="9">
        <f t="shared" si="16"/>
        <v>9672097.6099999957</v>
      </c>
      <c r="L306" s="451">
        <f t="shared" si="16"/>
        <v>2505291591.1699982</v>
      </c>
      <c r="M306" s="62">
        <f t="shared" si="16"/>
        <v>120316.59999999999</v>
      </c>
      <c r="N306" s="9">
        <f t="shared" si="16"/>
        <v>21427695.000000004</v>
      </c>
      <c r="O306" s="9">
        <f t="shared" si="16"/>
        <v>193656482.93664944</v>
      </c>
      <c r="P306" s="451">
        <f t="shared" si="16"/>
        <v>2720496085.7066503</v>
      </c>
      <c r="Q306" s="17">
        <f>P306/R306</f>
        <v>67.554851270429381</v>
      </c>
      <c r="R306" s="451">
        <f t="shared" ref="R306" si="17">SUM(R6:R305)</f>
        <v>40270921.104040481</v>
      </c>
    </row>
    <row r="307" spans="1:18" x14ac:dyDescent="0.25">
      <c r="C307" s="5"/>
      <c r="E307" s="5"/>
      <c r="G307" s="5"/>
      <c r="H307" s="5"/>
      <c r="I307" s="5"/>
      <c r="J307" s="5"/>
      <c r="K307" s="5"/>
      <c r="L307" s="5"/>
      <c r="M307" s="5"/>
      <c r="N307" s="5"/>
      <c r="O307" s="204"/>
      <c r="P307" s="5"/>
      <c r="Q307" s="5"/>
      <c r="R307" s="5"/>
    </row>
    <row r="308" spans="1:18" x14ac:dyDescent="0.25">
      <c r="C308" s="5"/>
      <c r="H308" s="5"/>
      <c r="I308" s="5"/>
      <c r="J308" s="5"/>
      <c r="K308" s="5"/>
      <c r="L308" s="5"/>
      <c r="M308" s="5"/>
      <c r="P308" s="5"/>
      <c r="Q308" s="5"/>
      <c r="R308" s="5"/>
    </row>
    <row r="309" spans="1:18" x14ac:dyDescent="0.25">
      <c r="C309" s="5"/>
      <c r="I309" s="5"/>
      <c r="P309" s="5"/>
    </row>
    <row r="310" spans="1:18" x14ac:dyDescent="0.25">
      <c r="C310" s="5"/>
      <c r="G310" s="5"/>
      <c r="I310" s="29"/>
      <c r="P310" s="226"/>
    </row>
    <row r="311" spans="1:18" x14ac:dyDescent="0.25">
      <c r="G311" s="5"/>
    </row>
    <row r="312" spans="1:18" x14ac:dyDescent="0.25">
      <c r="G312" s="5"/>
    </row>
    <row r="313" spans="1:18" x14ac:dyDescent="0.25">
      <c r="G313" s="5"/>
    </row>
    <row r="314" spans="1:18" x14ac:dyDescent="0.25">
      <c r="G314" s="29"/>
    </row>
    <row r="315" spans="1:18" s="5" customFormat="1" x14ac:dyDescent="0.25">
      <c r="A315" s="4"/>
    </row>
  </sheetData>
  <sheetProtection sheet="1" objects="1" scenarios="1"/>
  <mergeCells count="9">
    <mergeCell ref="O4:O5"/>
    <mergeCell ref="P4:P5"/>
    <mergeCell ref="A4:A5"/>
    <mergeCell ref="B4:B5"/>
    <mergeCell ref="K4:K5"/>
    <mergeCell ref="L4:L5"/>
    <mergeCell ref="H4:H5"/>
    <mergeCell ref="I4:I5"/>
    <mergeCell ref="J4:J5"/>
  </mergeCells>
  <phoneticPr fontId="0" type="noConversion"/>
  <hyperlinks>
    <hyperlink ref="E1" location="Données!A1" display="← Précédent" xr:uid="{BBD3D6D8-6A8D-46DD-B28F-66885CE3043A}"/>
    <hyperlink ref="F1" location="'Table des matières'!A1" display="Table des             matières" xr:uid="{A8DDC96E-1717-4FF4-AED1-4FC492DF2C51}"/>
    <hyperlink ref="G1" location="PCS!A1" display="Suivant →" xr:uid="{744A35FE-F150-4B65-9CDD-34566698A827}"/>
  </hyperlinks>
  <pageMargins left="0" right="0" top="0" bottom="0" header="0.51181102362204722" footer="0.51181102362204722"/>
  <pageSetup paperSize="8" scale="70" orientation="landscape"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rgb="FFC00000"/>
  </sheetPr>
  <dimension ref="A1:AC324"/>
  <sheetViews>
    <sheetView workbookViewId="0">
      <pane ySplit="11" topLeftCell="A12" activePane="bottomLeft" state="frozen"/>
      <selection activeCell="C3" sqref="C3:E3"/>
      <selection pane="bottomLeft" activeCell="C3" sqref="C3:E3"/>
    </sheetView>
  </sheetViews>
  <sheetFormatPr baseColWidth="10" defaultColWidth="10.75" defaultRowHeight="15" x14ac:dyDescent="0.25"/>
  <cols>
    <col min="1" max="1" width="7.25" style="11" customWidth="1"/>
    <col min="2" max="2" width="20.25" style="11" customWidth="1"/>
    <col min="3" max="3" width="16.25" style="11" customWidth="1"/>
    <col min="4" max="4" width="12.75" style="11" customWidth="1"/>
    <col min="5" max="5" width="16.125" style="11" customWidth="1"/>
    <col min="6" max="6" width="12.5" style="11" customWidth="1"/>
    <col min="7" max="7" width="12.125" style="11" customWidth="1"/>
    <col min="8" max="8" width="12.5" style="11" customWidth="1"/>
    <col min="9" max="9" width="10.75" style="217" bestFit="1" customWidth="1"/>
    <col min="10" max="10" width="14" style="11" customWidth="1"/>
    <col min="11" max="16" width="12.125" style="11" customWidth="1"/>
    <col min="17" max="19" width="8.125" style="11" customWidth="1"/>
    <col min="20" max="27" width="11" style="11" customWidth="1"/>
    <col min="28" max="28" width="9.25" style="11" customWidth="1"/>
    <col min="29" max="29" width="11" style="11" customWidth="1"/>
    <col min="30" max="16384" width="10.75" style="11"/>
  </cols>
  <sheetData>
    <row r="1" spans="1:29" s="33" customFormat="1" ht="26.25" x14ac:dyDescent="0.25">
      <c r="A1" s="278" t="s">
        <v>426</v>
      </c>
      <c r="B1" s="32"/>
      <c r="C1" s="49"/>
      <c r="D1" s="49"/>
      <c r="E1" s="404" t="s">
        <v>405</v>
      </c>
      <c r="F1" s="302" t="s">
        <v>397</v>
      </c>
      <c r="G1" s="496" t="s">
        <v>406</v>
      </c>
      <c r="H1" s="49"/>
      <c r="I1" s="219"/>
      <c r="J1" s="11"/>
      <c r="K1" s="11"/>
      <c r="L1" s="11"/>
      <c r="M1" s="11"/>
      <c r="N1" s="11"/>
      <c r="O1" s="11"/>
      <c r="P1" s="11"/>
      <c r="Q1" s="11"/>
      <c r="R1" s="11"/>
      <c r="S1" s="11"/>
      <c r="T1" s="11"/>
      <c r="U1" s="11"/>
      <c r="V1" s="11"/>
      <c r="W1" s="11"/>
      <c r="X1" s="11"/>
      <c r="Y1" s="11"/>
      <c r="Z1" s="11"/>
      <c r="AA1" s="11"/>
      <c r="AB1" s="11"/>
      <c r="AC1" s="11"/>
    </row>
    <row r="2" spans="1:29" s="33" customFormat="1" ht="15.75" x14ac:dyDescent="0.25">
      <c r="A2" s="355" t="str">
        <f>Paramètres!B4</f>
        <v>Décompte 2022</v>
      </c>
      <c r="B2" s="32"/>
      <c r="C2" s="219"/>
      <c r="D2" s="219"/>
      <c r="E2" s="219"/>
      <c r="F2" s="219"/>
      <c r="G2" s="219"/>
      <c r="H2" s="219"/>
      <c r="I2" s="219"/>
      <c r="J2" s="217"/>
      <c r="K2" s="217"/>
      <c r="L2" s="217"/>
      <c r="M2" s="217"/>
      <c r="N2" s="217"/>
      <c r="O2" s="217"/>
      <c r="P2" s="217"/>
      <c r="Q2" s="217"/>
      <c r="R2" s="217"/>
      <c r="S2" s="217"/>
      <c r="T2" s="217"/>
      <c r="U2" s="217"/>
      <c r="V2" s="217"/>
      <c r="W2" s="217"/>
      <c r="X2" s="217"/>
      <c r="Y2" s="217"/>
      <c r="Z2" s="217"/>
      <c r="AA2" s="217"/>
      <c r="AB2" s="217"/>
      <c r="AC2" s="217"/>
    </row>
    <row r="3" spans="1:29" s="40" customFormat="1" x14ac:dyDescent="0.25">
      <c r="A3" s="22"/>
      <c r="D3" s="11"/>
      <c r="E3" s="11"/>
      <c r="F3" s="11"/>
      <c r="G3" s="11"/>
      <c r="H3" s="373"/>
      <c r="I3" s="373"/>
      <c r="J3" s="11"/>
      <c r="K3" s="11"/>
      <c r="L3" s="11"/>
      <c r="M3" s="11"/>
      <c r="N3" s="11"/>
      <c r="O3" s="11"/>
      <c r="P3" s="11"/>
      <c r="Q3" s="11"/>
      <c r="R3" s="11"/>
      <c r="S3" s="11"/>
      <c r="T3" s="11"/>
      <c r="U3" s="11"/>
      <c r="V3" s="11"/>
      <c r="W3" s="11"/>
      <c r="X3" s="11"/>
      <c r="Y3" s="11"/>
      <c r="Z3" s="11"/>
      <c r="AA3" s="11"/>
      <c r="AB3" s="11"/>
      <c r="AC3" s="11"/>
    </row>
    <row r="4" spans="1:29" s="40" customFormat="1" ht="15" customHeight="1" x14ac:dyDescent="0.25">
      <c r="A4" s="652" t="s">
        <v>414</v>
      </c>
      <c r="B4" s="653"/>
      <c r="C4" s="653"/>
      <c r="D4" s="328" t="s">
        <v>380</v>
      </c>
      <c r="E4" s="330" t="s">
        <v>380</v>
      </c>
      <c r="F4" s="217"/>
      <c r="G4" s="385"/>
      <c r="H4" s="385"/>
      <c r="I4" s="385"/>
      <c r="J4" s="11"/>
      <c r="K4" s="11"/>
      <c r="L4" s="11"/>
      <c r="M4" s="11"/>
      <c r="N4" s="11"/>
      <c r="O4" s="11"/>
      <c r="P4" s="11"/>
      <c r="Q4" s="11"/>
      <c r="R4" s="11"/>
      <c r="S4" s="11"/>
      <c r="T4" s="11"/>
      <c r="U4" s="11"/>
      <c r="V4" s="11"/>
      <c r="W4" s="11"/>
      <c r="X4" s="11"/>
      <c r="Y4" s="11"/>
      <c r="Z4" s="11"/>
      <c r="AA4" s="11"/>
      <c r="AB4" s="11"/>
      <c r="AC4" s="11"/>
    </row>
    <row r="5" spans="1:29" s="462" customFormat="1" ht="18" customHeight="1" x14ac:dyDescent="0.2">
      <c r="A5" s="661" t="s">
        <v>422</v>
      </c>
      <c r="B5" s="662"/>
      <c r="C5" s="459">
        <f>+Paramètres!B11</f>
        <v>773083130</v>
      </c>
      <c r="D5" s="460">
        <f>C5/$E$5</f>
        <v>19.19705605945116</v>
      </c>
      <c r="E5" s="461">
        <f>VPI!R306</f>
        <v>40270921.104040481</v>
      </c>
      <c r="F5" s="309"/>
      <c r="G5" s="385"/>
      <c r="H5" s="385"/>
      <c r="I5" s="385"/>
      <c r="J5" s="309"/>
      <c r="K5" s="309"/>
      <c r="L5" s="309"/>
      <c r="M5" s="309"/>
      <c r="N5" s="309"/>
      <c r="O5" s="309"/>
      <c r="P5" s="309"/>
      <c r="Q5" s="309"/>
      <c r="R5" s="309"/>
      <c r="S5" s="309"/>
      <c r="T5" s="309"/>
      <c r="U5" s="309"/>
      <c r="V5" s="309"/>
      <c r="W5" s="309"/>
      <c r="X5" s="309"/>
      <c r="Y5" s="309"/>
      <c r="Z5" s="309"/>
      <c r="AA5" s="309"/>
      <c r="AB5" s="309"/>
      <c r="AC5" s="309"/>
    </row>
    <row r="6" spans="1:29" s="462" customFormat="1" ht="18" customHeight="1" x14ac:dyDescent="0.2">
      <c r="A6" s="663" t="s">
        <v>309</v>
      </c>
      <c r="B6" s="664"/>
      <c r="C6" s="463">
        <f>-F312</f>
        <v>-173863832.04499993</v>
      </c>
      <c r="D6" s="464">
        <f>C6/$E$5</f>
        <v>-4.3173542416827351</v>
      </c>
      <c r="E6" s="465"/>
      <c r="F6" s="309"/>
      <c r="G6" s="385"/>
      <c r="H6" s="385"/>
      <c r="I6" s="385"/>
      <c r="J6" s="309"/>
      <c r="K6" s="309"/>
      <c r="L6" s="309"/>
      <c r="M6" s="309"/>
      <c r="N6" s="309"/>
      <c r="O6" s="309"/>
      <c r="P6" s="309"/>
      <c r="Q6" s="309"/>
      <c r="R6" s="309"/>
      <c r="S6" s="309"/>
      <c r="T6" s="309"/>
      <c r="U6" s="309"/>
      <c r="V6" s="309"/>
      <c r="W6" s="309"/>
      <c r="X6" s="309"/>
      <c r="Y6" s="309"/>
      <c r="Z6" s="309"/>
      <c r="AA6" s="309"/>
      <c r="AB6" s="309"/>
      <c r="AC6" s="309"/>
    </row>
    <row r="7" spans="1:29" s="462" customFormat="1" ht="18" customHeight="1" x14ac:dyDescent="0.2">
      <c r="A7" s="665" t="s">
        <v>310</v>
      </c>
      <c r="B7" s="666"/>
      <c r="C7" s="466">
        <f>-Ecrêtage!M306</f>
        <v>-130102885.44580179</v>
      </c>
      <c r="D7" s="467">
        <f>C7/$E$5</f>
        <v>-3.2306905796785523</v>
      </c>
      <c r="E7" s="465"/>
      <c r="F7" s="309"/>
      <c r="G7" s="385"/>
      <c r="H7" s="385"/>
      <c r="I7" s="385"/>
      <c r="J7" s="309"/>
      <c r="K7" s="309"/>
      <c r="L7" s="309"/>
      <c r="M7" s="309"/>
      <c r="N7" s="309"/>
      <c r="O7" s="309"/>
      <c r="P7" s="309"/>
      <c r="Q7" s="309"/>
      <c r="R7" s="309"/>
      <c r="S7" s="309"/>
      <c r="T7" s="309"/>
      <c r="U7" s="309"/>
      <c r="V7" s="309"/>
      <c r="W7" s="309"/>
      <c r="X7" s="309"/>
      <c r="Y7" s="309"/>
      <c r="Z7" s="309"/>
      <c r="AA7" s="309"/>
      <c r="AB7" s="309"/>
      <c r="AC7" s="309"/>
    </row>
    <row r="8" spans="1:29" s="462" customFormat="1" ht="18" customHeight="1" x14ac:dyDescent="0.2">
      <c r="A8" s="661" t="s">
        <v>423</v>
      </c>
      <c r="B8" s="662"/>
      <c r="C8" s="459">
        <f>C5+C7+C6</f>
        <v>469116412.50919831</v>
      </c>
      <c r="D8" s="460">
        <f>C8/$E$5</f>
        <v>11.649011238089876</v>
      </c>
      <c r="E8" s="465"/>
      <c r="F8" s="309"/>
      <c r="G8" s="385"/>
      <c r="H8" s="385"/>
      <c r="I8" s="385"/>
      <c r="J8" s="309"/>
      <c r="K8" s="309"/>
      <c r="L8" s="309"/>
      <c r="M8" s="309"/>
      <c r="N8" s="309"/>
      <c r="O8" s="309"/>
      <c r="P8" s="309"/>
      <c r="Q8" s="309"/>
      <c r="R8" s="309"/>
      <c r="S8" s="309"/>
      <c r="T8" s="309"/>
      <c r="U8" s="309"/>
      <c r="V8" s="309"/>
      <c r="W8" s="309"/>
      <c r="X8" s="309"/>
      <c r="Y8" s="309"/>
      <c r="Z8" s="309"/>
      <c r="AA8" s="309"/>
      <c r="AB8" s="309"/>
      <c r="AC8" s="309"/>
    </row>
    <row r="9" spans="1:29" s="40" customFormat="1" x14ac:dyDescent="0.25">
      <c r="A9" s="22"/>
      <c r="D9" s="11"/>
      <c r="E9" s="11"/>
      <c r="F9" s="11"/>
      <c r="G9" s="11"/>
      <c r="J9" s="11"/>
      <c r="K9" s="11"/>
      <c r="L9" s="11"/>
      <c r="M9" s="11"/>
      <c r="N9" s="11"/>
      <c r="O9" s="11"/>
      <c r="P9" s="11"/>
      <c r="Q9" s="11"/>
      <c r="R9" s="11"/>
      <c r="S9" s="11"/>
      <c r="T9" s="11"/>
      <c r="U9" s="11"/>
      <c r="V9" s="11"/>
      <c r="W9" s="11"/>
      <c r="X9" s="11"/>
      <c r="Y9" s="11"/>
      <c r="Z9" s="11"/>
      <c r="AA9" s="11"/>
      <c r="AB9" s="11"/>
      <c r="AC9" s="11"/>
    </row>
    <row r="10" spans="1:29" ht="49.5" customHeight="1" x14ac:dyDescent="0.25">
      <c r="A10" s="654" t="s">
        <v>44</v>
      </c>
      <c r="B10" s="658" t="s">
        <v>84</v>
      </c>
      <c r="C10" s="654" t="s">
        <v>496</v>
      </c>
      <c r="D10" s="318" t="s">
        <v>421</v>
      </c>
      <c r="E10" s="318" t="s">
        <v>530</v>
      </c>
      <c r="F10" s="654" t="s">
        <v>350</v>
      </c>
      <c r="G10" s="658" t="s">
        <v>365</v>
      </c>
      <c r="H10" s="328" t="s">
        <v>484</v>
      </c>
      <c r="I10" s="656" t="s">
        <v>334</v>
      </c>
    </row>
    <row r="11" spans="1:29" ht="14.45" customHeight="1" x14ac:dyDescent="0.25">
      <c r="A11" s="655"/>
      <c r="B11" s="659"/>
      <c r="C11" s="660"/>
      <c r="D11" s="319">
        <f>Paramètres!B20</f>
        <v>0.3</v>
      </c>
      <c r="E11" s="320">
        <f>Paramètres!B19</f>
        <v>0.5</v>
      </c>
      <c r="F11" s="655"/>
      <c r="G11" s="659"/>
      <c r="H11" s="468">
        <f>D8</f>
        <v>11.649011238089876</v>
      </c>
      <c r="I11" s="657"/>
    </row>
    <row r="12" spans="1:29" x14ac:dyDescent="0.25">
      <c r="A12" s="36">
        <f>Données!A6</f>
        <v>5401</v>
      </c>
      <c r="B12" s="547" t="str">
        <f>Données!B6</f>
        <v>Aigle</v>
      </c>
      <c r="C12" s="329">
        <f>VPI!R6</f>
        <v>294634.51575757569</v>
      </c>
      <c r="D12" s="41">
        <f>Données!N6</f>
        <v>1326279.6499999999</v>
      </c>
      <c r="E12" s="236">
        <f>Données!O6+Données!P6+Données!R6</f>
        <v>1898594.2999999998</v>
      </c>
      <c r="F12" s="497">
        <f>D12*$D$11+E12*$E$11</f>
        <v>1347181.0449999999</v>
      </c>
      <c r="G12" s="497">
        <f>Ecrêtage!M6</f>
        <v>0</v>
      </c>
      <c r="H12" s="498">
        <f t="shared" ref="H12" si="0">$H$11*C12</f>
        <v>3432200.7851891681</v>
      </c>
      <c r="I12" s="321">
        <f t="shared" ref="I12" si="1">F12+H12+G12</f>
        <v>4779381.8301891685</v>
      </c>
    </row>
    <row r="13" spans="1:29" s="35" customFormat="1" x14ac:dyDescent="0.25">
      <c r="A13" s="38">
        <f>Données!A7</f>
        <v>5402</v>
      </c>
      <c r="B13" s="548" t="str">
        <f>Données!B7</f>
        <v>Bex</v>
      </c>
      <c r="C13" s="31">
        <f>VPI!R7</f>
        <v>191961.18746478873</v>
      </c>
      <c r="D13" s="8">
        <f>Données!N7</f>
        <v>327388.7</v>
      </c>
      <c r="E13" s="236">
        <f>Données!O7+Données!P7+Données!R7</f>
        <v>1644383.65</v>
      </c>
      <c r="F13" s="497">
        <f t="shared" ref="F13:F76" si="2">D13*$D$11+E13*$E$11</f>
        <v>920408.43499999994</v>
      </c>
      <c r="G13" s="497">
        <f>Ecrêtage!M7</f>
        <v>0</v>
      </c>
      <c r="H13" s="498">
        <f t="shared" ref="H13:H76" si="3">$H$11*C13</f>
        <v>2236158.0300544016</v>
      </c>
      <c r="I13" s="321">
        <f t="shared" ref="I13:I76" si="4">F13+H13+G13</f>
        <v>3156566.4650544017</v>
      </c>
    </row>
    <row r="14" spans="1:29" s="35" customFormat="1" x14ac:dyDescent="0.25">
      <c r="A14" s="38">
        <f>Données!A8</f>
        <v>5403</v>
      </c>
      <c r="B14" s="548" t="str">
        <f>Données!B8</f>
        <v>Chessel</v>
      </c>
      <c r="C14" s="31">
        <f>VPI!R8</f>
        <v>13521.430615384616</v>
      </c>
      <c r="D14" s="8">
        <f>Données!N8</f>
        <v>5643</v>
      </c>
      <c r="E14" s="236">
        <f>Données!O8+Données!P8+Données!R8</f>
        <v>29347.25</v>
      </c>
      <c r="F14" s="497">
        <f t="shared" si="2"/>
        <v>16366.525</v>
      </c>
      <c r="G14" s="497">
        <f>Ecrêtage!M8</f>
        <v>0</v>
      </c>
      <c r="H14" s="498">
        <f t="shared" si="3"/>
        <v>157511.29719366791</v>
      </c>
      <c r="I14" s="321">
        <f t="shared" si="4"/>
        <v>173877.8221936679</v>
      </c>
    </row>
    <row r="15" spans="1:29" s="35" customFormat="1" x14ac:dyDescent="0.25">
      <c r="A15" s="38">
        <f>Données!A9</f>
        <v>5404</v>
      </c>
      <c r="B15" s="548" t="str">
        <f>Données!B9</f>
        <v>Corbeyrier</v>
      </c>
      <c r="C15" s="31">
        <f>VPI!R9</f>
        <v>11663.247882882884</v>
      </c>
      <c r="D15" s="8">
        <f>Données!N9</f>
        <v>21844.1</v>
      </c>
      <c r="E15" s="236">
        <f>Données!O9+Données!P9+Données!R9</f>
        <v>196036.3</v>
      </c>
      <c r="F15" s="497">
        <f t="shared" si="2"/>
        <v>104571.37999999999</v>
      </c>
      <c r="G15" s="497">
        <f>Ecrêtage!M9</f>
        <v>0</v>
      </c>
      <c r="H15" s="498">
        <f t="shared" si="3"/>
        <v>135865.30566033069</v>
      </c>
      <c r="I15" s="321">
        <f t="shared" si="4"/>
        <v>240436.6856603307</v>
      </c>
    </row>
    <row r="16" spans="1:29" s="35" customFormat="1" x14ac:dyDescent="0.25">
      <c r="A16" s="38">
        <f>Données!A10</f>
        <v>5405</v>
      </c>
      <c r="B16" s="548" t="str">
        <f>Données!B10</f>
        <v>Gryon</v>
      </c>
      <c r="C16" s="31">
        <f>VPI!R10</f>
        <v>73286.214467120197</v>
      </c>
      <c r="D16" s="8">
        <f>Données!N10</f>
        <v>3649.4</v>
      </c>
      <c r="E16" s="236">
        <f>Données!O10+Données!P10+Données!R10</f>
        <v>1184528.5499999998</v>
      </c>
      <c r="F16" s="497">
        <f t="shared" si="2"/>
        <v>593359.09499999986</v>
      </c>
      <c r="G16" s="497">
        <f>Ecrêtage!M10</f>
        <v>87497.409144010759</v>
      </c>
      <c r="H16" s="498">
        <f t="shared" si="3"/>
        <v>853711.93592454807</v>
      </c>
      <c r="I16" s="321">
        <f t="shared" si="4"/>
        <v>1534568.4400685588</v>
      </c>
    </row>
    <row r="17" spans="1:9" s="35" customFormat="1" x14ac:dyDescent="0.25">
      <c r="A17" s="38">
        <f>Données!A11</f>
        <v>5406</v>
      </c>
      <c r="B17" s="548" t="str">
        <f>Données!B11</f>
        <v>Lavey-Morcles</v>
      </c>
      <c r="C17" s="31">
        <f>VPI!R11</f>
        <v>22111.529381387842</v>
      </c>
      <c r="D17" s="8">
        <f>Données!N11</f>
        <v>9333.2999999999993</v>
      </c>
      <c r="E17" s="236">
        <f>Données!O11+Données!P11+Données!R11</f>
        <v>329097.7</v>
      </c>
      <c r="F17" s="497">
        <f t="shared" si="2"/>
        <v>167348.84</v>
      </c>
      <c r="G17" s="497">
        <f>Ecrêtage!M11</f>
        <v>0</v>
      </c>
      <c r="H17" s="498">
        <f t="shared" si="3"/>
        <v>257577.45425514146</v>
      </c>
      <c r="I17" s="321">
        <f t="shared" si="4"/>
        <v>424926.29425514146</v>
      </c>
    </row>
    <row r="18" spans="1:9" s="35" customFormat="1" x14ac:dyDescent="0.25">
      <c r="A18" s="38">
        <f>Données!A12</f>
        <v>5407</v>
      </c>
      <c r="B18" s="548" t="str">
        <f>Données!B12</f>
        <v>Leysin</v>
      </c>
      <c r="C18" s="31">
        <f>VPI!R12</f>
        <v>89841.412521367529</v>
      </c>
      <c r="D18" s="8">
        <f>Données!N12</f>
        <v>86933</v>
      </c>
      <c r="E18" s="236">
        <f>Données!O12+Données!P12+Données!R12</f>
        <v>899160.45</v>
      </c>
      <c r="F18" s="497">
        <f t="shared" si="2"/>
        <v>475660.125</v>
      </c>
      <c r="G18" s="497">
        <f>Ecrêtage!M12</f>
        <v>0</v>
      </c>
      <c r="H18" s="498">
        <f t="shared" si="3"/>
        <v>1046563.6241072789</v>
      </c>
      <c r="I18" s="321">
        <f t="shared" si="4"/>
        <v>1522223.7491072789</v>
      </c>
    </row>
    <row r="19" spans="1:9" s="35" customFormat="1" x14ac:dyDescent="0.25">
      <c r="A19" s="38">
        <f>Données!A13</f>
        <v>5408</v>
      </c>
      <c r="B19" s="548" t="str">
        <f>Données!B13</f>
        <v>Noville</v>
      </c>
      <c r="C19" s="31">
        <f>VPI!R13</f>
        <v>41973.380088888902</v>
      </c>
      <c r="D19" s="8">
        <f>Données!N13</f>
        <v>164080.04999999999</v>
      </c>
      <c r="E19" s="236">
        <f>Données!O13+Données!P13+Données!R13</f>
        <v>157495.15</v>
      </c>
      <c r="F19" s="497">
        <f t="shared" si="2"/>
        <v>127971.59</v>
      </c>
      <c r="G19" s="497">
        <f>Ecrêtage!M13</f>
        <v>0</v>
      </c>
      <c r="H19" s="498">
        <f t="shared" si="3"/>
        <v>488948.37635608466</v>
      </c>
      <c r="I19" s="321">
        <f t="shared" si="4"/>
        <v>616919.96635608468</v>
      </c>
    </row>
    <row r="20" spans="1:9" s="35" customFormat="1" x14ac:dyDescent="0.25">
      <c r="A20" s="38">
        <f>Données!A14</f>
        <v>5409</v>
      </c>
      <c r="B20" s="548" t="str">
        <f>Données!B14</f>
        <v>Ollon</v>
      </c>
      <c r="C20" s="31">
        <f>VPI!R14</f>
        <v>405938.29721719451</v>
      </c>
      <c r="D20" s="8">
        <f>Données!N14</f>
        <v>96927.8</v>
      </c>
      <c r="E20" s="236">
        <f>Données!O14+Données!P14+Données!R14</f>
        <v>4832229.6500000004</v>
      </c>
      <c r="F20" s="497">
        <f t="shared" si="2"/>
        <v>2445193.165</v>
      </c>
      <c r="G20" s="497">
        <f>Ecrêtage!M14</f>
        <v>269405.64156951319</v>
      </c>
      <c r="H20" s="498">
        <f t="shared" si="3"/>
        <v>4728779.7862541676</v>
      </c>
      <c r="I20" s="321">
        <f t="shared" si="4"/>
        <v>7443378.5928236805</v>
      </c>
    </row>
    <row r="21" spans="1:9" s="35" customFormat="1" x14ac:dyDescent="0.25">
      <c r="A21" s="38">
        <f>Données!A15</f>
        <v>5410</v>
      </c>
      <c r="B21" s="548" t="str">
        <f>Données!B15</f>
        <v>Ormont-Dessous</v>
      </c>
      <c r="C21" s="31">
        <f>VPI!R15</f>
        <v>38418.577099567097</v>
      </c>
      <c r="D21" s="8">
        <f>Données!N15</f>
        <v>10917.9</v>
      </c>
      <c r="E21" s="236">
        <f>Données!O15+Données!P15+Données!R15</f>
        <v>510827.2</v>
      </c>
      <c r="F21" s="497">
        <f t="shared" si="2"/>
        <v>258688.97</v>
      </c>
      <c r="G21" s="497">
        <f>Ecrêtage!M15</f>
        <v>0</v>
      </c>
      <c r="H21" s="498">
        <f t="shared" si="3"/>
        <v>447538.43638427951</v>
      </c>
      <c r="I21" s="321">
        <f t="shared" si="4"/>
        <v>706227.40638427949</v>
      </c>
    </row>
    <row r="22" spans="1:9" s="35" customFormat="1" x14ac:dyDescent="0.25">
      <c r="A22" s="38">
        <f>Données!A16</f>
        <v>5411</v>
      </c>
      <c r="B22" s="548" t="str">
        <f>Données!B16</f>
        <v>Ormont-Dessus</v>
      </c>
      <c r="C22" s="31">
        <f>VPI!R16</f>
        <v>76161.465657894747</v>
      </c>
      <c r="D22" s="8">
        <f>Données!N16</f>
        <v>2113.6</v>
      </c>
      <c r="E22" s="236">
        <f>Données!O16+Données!P16+Données!R16</f>
        <v>1200626.8999999999</v>
      </c>
      <c r="F22" s="497">
        <f t="shared" si="2"/>
        <v>600947.52999999991</v>
      </c>
      <c r="G22" s="497">
        <f>Ecrêtage!M16</f>
        <v>108406.32729766895</v>
      </c>
      <c r="H22" s="498">
        <f t="shared" si="3"/>
        <v>887205.76935821213</v>
      </c>
      <c r="I22" s="321">
        <f t="shared" si="4"/>
        <v>1596559.6266558808</v>
      </c>
    </row>
    <row r="23" spans="1:9" s="35" customFormat="1" x14ac:dyDescent="0.25">
      <c r="A23" s="38">
        <f>Données!A17</f>
        <v>5412</v>
      </c>
      <c r="B23" s="548" t="str">
        <f>Données!B17</f>
        <v>Rennaz</v>
      </c>
      <c r="C23" s="31">
        <f>VPI!R17</f>
        <v>32240.440579710143</v>
      </c>
      <c r="D23" s="8">
        <f>Données!N17</f>
        <v>916742.45</v>
      </c>
      <c r="E23" s="236">
        <f>Données!O17+Données!P17+Données!R17</f>
        <v>303300.84999999998</v>
      </c>
      <c r="F23" s="497">
        <f t="shared" si="2"/>
        <v>426673.16</v>
      </c>
      <c r="G23" s="497">
        <f>Ecrêtage!M17</f>
        <v>0</v>
      </c>
      <c r="H23" s="498">
        <f t="shared" si="3"/>
        <v>375569.25463401235</v>
      </c>
      <c r="I23" s="321">
        <f t="shared" si="4"/>
        <v>802242.41463401238</v>
      </c>
    </row>
    <row r="24" spans="1:9" s="35" customFormat="1" x14ac:dyDescent="0.25">
      <c r="A24" s="38">
        <f>Données!A18</f>
        <v>5413</v>
      </c>
      <c r="B24" s="548" t="str">
        <f>Données!B18</f>
        <v>Roche</v>
      </c>
      <c r="C24" s="31">
        <f>VPI!R18</f>
        <v>42596.643504901964</v>
      </c>
      <c r="D24" s="8">
        <f>Données!N18</f>
        <v>281315.65000000002</v>
      </c>
      <c r="E24" s="236">
        <f>Données!O18+Données!P18+Données!R18</f>
        <v>641229.10000000009</v>
      </c>
      <c r="F24" s="497">
        <f t="shared" si="2"/>
        <v>405009.24500000005</v>
      </c>
      <c r="G24" s="497">
        <f>Ecrêtage!M18</f>
        <v>0</v>
      </c>
      <c r="H24" s="498">
        <f t="shared" si="3"/>
        <v>496208.7788935111</v>
      </c>
      <c r="I24" s="321">
        <f t="shared" si="4"/>
        <v>901218.02389351116</v>
      </c>
    </row>
    <row r="25" spans="1:9" s="35" customFormat="1" x14ac:dyDescent="0.25">
      <c r="A25" s="38">
        <f>Données!A19</f>
        <v>5414</v>
      </c>
      <c r="B25" s="548" t="str">
        <f>Données!B19</f>
        <v>Villeneuve</v>
      </c>
      <c r="C25" s="31">
        <f>VPI!R19</f>
        <v>165881.46711111109</v>
      </c>
      <c r="D25" s="8">
        <f>Données!N19</f>
        <v>1394258.5</v>
      </c>
      <c r="E25" s="236">
        <f>Données!O19+Données!P19+Données!R19</f>
        <v>1282307.3500000001</v>
      </c>
      <c r="F25" s="497">
        <f t="shared" si="2"/>
        <v>1059431.2250000001</v>
      </c>
      <c r="G25" s="497">
        <f>Ecrêtage!M19</f>
        <v>0</v>
      </c>
      <c r="H25" s="498">
        <f t="shared" si="3"/>
        <v>1932355.0745681694</v>
      </c>
      <c r="I25" s="321">
        <f t="shared" si="4"/>
        <v>2991786.2995681698</v>
      </c>
    </row>
    <row r="26" spans="1:9" s="35" customFormat="1" x14ac:dyDescent="0.25">
      <c r="A26" s="38">
        <f>Données!A20</f>
        <v>5415</v>
      </c>
      <c r="B26" s="548" t="str">
        <f>Données!B20</f>
        <v>Yvorne</v>
      </c>
      <c r="C26" s="31">
        <f>VPI!R20</f>
        <v>33675.515990675995</v>
      </c>
      <c r="D26" s="8">
        <f>Données!N20</f>
        <v>34023.050000000003</v>
      </c>
      <c r="E26" s="236">
        <f>Données!O20+Données!P20+Données!R20</f>
        <v>369043.95</v>
      </c>
      <c r="F26" s="497">
        <f t="shared" si="2"/>
        <v>194728.89</v>
      </c>
      <c r="G26" s="497">
        <f>Ecrêtage!M20</f>
        <v>0</v>
      </c>
      <c r="H26" s="498">
        <f t="shared" si="3"/>
        <v>392286.46422386001</v>
      </c>
      <c r="I26" s="321">
        <f t="shared" si="4"/>
        <v>587015.35422385996</v>
      </c>
    </row>
    <row r="27" spans="1:9" s="35" customFormat="1" x14ac:dyDescent="0.25">
      <c r="A27" s="38">
        <f>Données!A21</f>
        <v>5422</v>
      </c>
      <c r="B27" s="548" t="str">
        <f>Données!B21</f>
        <v>Aubonne</v>
      </c>
      <c r="C27" s="31">
        <f>VPI!R21</f>
        <v>297608.37742857152</v>
      </c>
      <c r="D27" s="8">
        <f>Données!N21</f>
        <v>752200.65</v>
      </c>
      <c r="E27" s="236">
        <f>Données!O21+Données!P21+Données!R21</f>
        <v>2582963.15</v>
      </c>
      <c r="F27" s="497">
        <f t="shared" si="2"/>
        <v>1517141.77</v>
      </c>
      <c r="G27" s="497">
        <f>Ecrêtage!M21</f>
        <v>2286411.4262023666</v>
      </c>
      <c r="H27" s="498">
        <f t="shared" si="3"/>
        <v>3466843.333215123</v>
      </c>
      <c r="I27" s="321">
        <f t="shared" si="4"/>
        <v>7270396.5294174887</v>
      </c>
    </row>
    <row r="28" spans="1:9" s="35" customFormat="1" x14ac:dyDescent="0.25">
      <c r="A28" s="38">
        <f>Données!A22</f>
        <v>5423</v>
      </c>
      <c r="B28" s="548" t="str">
        <f>Données!B22</f>
        <v>Ballens</v>
      </c>
      <c r="C28" s="31">
        <f>VPI!R22</f>
        <v>17345.890547945211</v>
      </c>
      <c r="D28" s="8">
        <f>Données!N22</f>
        <v>31754.2</v>
      </c>
      <c r="E28" s="236">
        <f>Données!O22+Données!P22+Données!R22</f>
        <v>198047.55</v>
      </c>
      <c r="F28" s="497">
        <f t="shared" si="2"/>
        <v>108550.03499999999</v>
      </c>
      <c r="G28" s="497">
        <f>Ecrêtage!M22</f>
        <v>0</v>
      </c>
      <c r="H28" s="498">
        <f t="shared" si="3"/>
        <v>202062.47392769073</v>
      </c>
      <c r="I28" s="321">
        <f t="shared" si="4"/>
        <v>310612.50892769074</v>
      </c>
    </row>
    <row r="29" spans="1:9" s="35" customFormat="1" x14ac:dyDescent="0.25">
      <c r="A29" s="38">
        <f>Données!A23</f>
        <v>5424</v>
      </c>
      <c r="B29" s="548" t="str">
        <f>Données!B23</f>
        <v>Berolle</v>
      </c>
      <c r="C29" s="31">
        <f>VPI!R23</f>
        <v>10263.254304635762</v>
      </c>
      <c r="D29" s="8">
        <f>Données!N23</f>
        <v>0</v>
      </c>
      <c r="E29" s="236">
        <f>Données!O23+Données!P23+Données!R23</f>
        <v>77094.850000000006</v>
      </c>
      <c r="F29" s="497">
        <f t="shared" si="2"/>
        <v>38547.425000000003</v>
      </c>
      <c r="G29" s="497">
        <f>Ecrêtage!M23</f>
        <v>0</v>
      </c>
      <c r="H29" s="498">
        <f t="shared" si="3"/>
        <v>119556.76473407629</v>
      </c>
      <c r="I29" s="321">
        <f t="shared" si="4"/>
        <v>158104.1897340763</v>
      </c>
    </row>
    <row r="30" spans="1:9" s="35" customFormat="1" x14ac:dyDescent="0.25">
      <c r="A30" s="38">
        <f>Données!A24</f>
        <v>5425</v>
      </c>
      <c r="B30" s="548" t="str">
        <f>Données!B24</f>
        <v>Bière</v>
      </c>
      <c r="C30" s="31">
        <f>VPI!R24</f>
        <v>42247.955252373817</v>
      </c>
      <c r="D30" s="8">
        <f>Données!N24</f>
        <v>82325.3</v>
      </c>
      <c r="E30" s="236">
        <f>Données!O24+Données!P24+Données!R24</f>
        <v>187241.1</v>
      </c>
      <c r="F30" s="497">
        <f t="shared" si="2"/>
        <v>118318.14</v>
      </c>
      <c r="G30" s="497">
        <f>Ecrêtage!M24</f>
        <v>0</v>
      </c>
      <c r="H30" s="498">
        <f t="shared" si="3"/>
        <v>492146.90552122082</v>
      </c>
      <c r="I30" s="321">
        <f t="shared" si="4"/>
        <v>610465.04552122077</v>
      </c>
    </row>
    <row r="31" spans="1:9" s="35" customFormat="1" x14ac:dyDescent="0.25">
      <c r="A31" s="38">
        <f>Données!A25</f>
        <v>5426</v>
      </c>
      <c r="B31" s="548" t="str">
        <f>Données!B25</f>
        <v>Bougy-Villars</v>
      </c>
      <c r="C31" s="31">
        <f>VPI!R25</f>
        <v>61985.534935400508</v>
      </c>
      <c r="D31" s="8">
        <f>Données!N25</f>
        <v>14437.65</v>
      </c>
      <c r="E31" s="236">
        <f>Données!O25+Données!P25+Données!R25</f>
        <v>709184.05</v>
      </c>
      <c r="F31" s="497">
        <f t="shared" si="2"/>
        <v>358923.32</v>
      </c>
      <c r="G31" s="497">
        <f>Ecrêtage!M25</f>
        <v>939768.28486434754</v>
      </c>
      <c r="H31" s="498">
        <f t="shared" si="3"/>
        <v>722070.19306149322</v>
      </c>
      <c r="I31" s="321">
        <f t="shared" si="4"/>
        <v>2020761.7979258406</v>
      </c>
    </row>
    <row r="32" spans="1:9" s="35" customFormat="1" x14ac:dyDescent="0.25">
      <c r="A32" s="38">
        <f>Données!A26</f>
        <v>5427</v>
      </c>
      <c r="B32" s="548" t="str">
        <f>Données!B26</f>
        <v>Féchy</v>
      </c>
      <c r="C32" s="31">
        <f>VPI!R26</f>
        <v>86972.782199519221</v>
      </c>
      <c r="D32" s="8">
        <f>Données!N26</f>
        <v>11648.35</v>
      </c>
      <c r="E32" s="236">
        <f>Données!O26+Données!P26+Données!R26</f>
        <v>530130.85</v>
      </c>
      <c r="F32" s="497">
        <f t="shared" si="2"/>
        <v>268559.93</v>
      </c>
      <c r="G32" s="497">
        <f>Ecrêtage!M26</f>
        <v>940669.00564477884</v>
      </c>
      <c r="H32" s="498">
        <f t="shared" si="3"/>
        <v>1013146.9172501425</v>
      </c>
      <c r="I32" s="321">
        <f t="shared" si="4"/>
        <v>2222375.8528949213</v>
      </c>
    </row>
    <row r="33" spans="1:9" s="35" customFormat="1" x14ac:dyDescent="0.25">
      <c r="A33" s="38">
        <f>Données!A27</f>
        <v>5428</v>
      </c>
      <c r="B33" s="548" t="str">
        <f>Données!B27</f>
        <v>Gimel</v>
      </c>
      <c r="C33" s="31">
        <f>VPI!R27</f>
        <v>71357.587986577171</v>
      </c>
      <c r="D33" s="8">
        <f>Données!N27</f>
        <v>239748.8</v>
      </c>
      <c r="E33" s="236">
        <f>Données!O27+Données!P27+Données!R27</f>
        <v>751728.64999999991</v>
      </c>
      <c r="F33" s="497">
        <f t="shared" si="2"/>
        <v>447788.96499999997</v>
      </c>
      <c r="G33" s="497">
        <f>Ecrêtage!M27</f>
        <v>0</v>
      </c>
      <c r="H33" s="498">
        <f t="shared" si="3"/>
        <v>831245.34437862458</v>
      </c>
      <c r="I33" s="321">
        <f t="shared" si="4"/>
        <v>1279034.3093786244</v>
      </c>
    </row>
    <row r="34" spans="1:9" s="35" customFormat="1" x14ac:dyDescent="0.25">
      <c r="A34" s="38">
        <f>Données!A28</f>
        <v>5429</v>
      </c>
      <c r="B34" s="548" t="str">
        <f>Données!B28</f>
        <v>Longirod</v>
      </c>
      <c r="C34" s="31">
        <f>VPI!R28</f>
        <v>17142.381290322584</v>
      </c>
      <c r="D34" s="8">
        <f>Données!N28</f>
        <v>15883.15</v>
      </c>
      <c r="E34" s="236">
        <f>Données!O28+Données!P28+Données!R28</f>
        <v>111888.1</v>
      </c>
      <c r="F34" s="497">
        <f t="shared" si="2"/>
        <v>60708.995000000003</v>
      </c>
      <c r="G34" s="497">
        <f>Ecrêtage!M28</f>
        <v>0</v>
      </c>
      <c r="H34" s="498">
        <f t="shared" si="3"/>
        <v>199691.79229858943</v>
      </c>
      <c r="I34" s="321">
        <f t="shared" si="4"/>
        <v>260400.78729858942</v>
      </c>
    </row>
    <row r="35" spans="1:9" s="35" customFormat="1" x14ac:dyDescent="0.25">
      <c r="A35" s="38">
        <f>Données!A29</f>
        <v>5430</v>
      </c>
      <c r="B35" s="548" t="str">
        <f>Données!B29</f>
        <v>Marchissy</v>
      </c>
      <c r="C35" s="31">
        <f>VPI!R29</f>
        <v>17121.715483870968</v>
      </c>
      <c r="D35" s="8">
        <f>Données!N29</f>
        <v>11206.4</v>
      </c>
      <c r="E35" s="236">
        <f>Données!O29+Données!P29+Données!R29</f>
        <v>114531.45</v>
      </c>
      <c r="F35" s="497">
        <f t="shared" si="2"/>
        <v>60627.644999999997</v>
      </c>
      <c r="G35" s="497">
        <f>Ecrêtage!M29</f>
        <v>0</v>
      </c>
      <c r="H35" s="498">
        <f t="shared" si="3"/>
        <v>199451.05608699037</v>
      </c>
      <c r="I35" s="321">
        <f t="shared" si="4"/>
        <v>260078.70108699036</v>
      </c>
    </row>
    <row r="36" spans="1:9" s="35" customFormat="1" x14ac:dyDescent="0.25">
      <c r="A36" s="38">
        <f>Données!A30</f>
        <v>5431</v>
      </c>
      <c r="B36" s="548" t="str">
        <f>Données!B30</f>
        <v>Mollens</v>
      </c>
      <c r="C36" s="31">
        <f>VPI!R30</f>
        <v>9475.049594594595</v>
      </c>
      <c r="D36" s="8">
        <f>Données!N30</f>
        <v>266.60000000000002</v>
      </c>
      <c r="E36" s="236">
        <f>Données!O30+Données!P30+Données!R30</f>
        <v>58047.6</v>
      </c>
      <c r="F36" s="497">
        <f t="shared" si="2"/>
        <v>29103.78</v>
      </c>
      <c r="G36" s="497">
        <f>Ecrêtage!M30</f>
        <v>0</v>
      </c>
      <c r="H36" s="498">
        <f t="shared" si="3"/>
        <v>110374.95920889136</v>
      </c>
      <c r="I36" s="321">
        <f t="shared" si="4"/>
        <v>139478.73920889135</v>
      </c>
    </row>
    <row r="37" spans="1:9" s="35" customFormat="1" x14ac:dyDescent="0.25">
      <c r="A37" s="38">
        <f>Données!A31</f>
        <v>5434</v>
      </c>
      <c r="B37" s="548" t="str">
        <f>Données!B31</f>
        <v>Saint-George</v>
      </c>
      <c r="C37" s="31">
        <f>VPI!R31</f>
        <v>41109.419880095913</v>
      </c>
      <c r="D37" s="8">
        <f>Données!N31</f>
        <v>22601.85</v>
      </c>
      <c r="E37" s="236">
        <f>Données!O31+Données!P31+Données!R31</f>
        <v>665760.19999999995</v>
      </c>
      <c r="F37" s="497">
        <f t="shared" si="2"/>
        <v>339660.65499999997</v>
      </c>
      <c r="G37" s="497">
        <f>Ecrêtage!M31</f>
        <v>0</v>
      </c>
      <c r="H37" s="498">
        <f t="shared" si="3"/>
        <v>478884.0941745927</v>
      </c>
      <c r="I37" s="321">
        <f t="shared" si="4"/>
        <v>818544.74917459267</v>
      </c>
    </row>
    <row r="38" spans="1:9" s="35" customFormat="1" x14ac:dyDescent="0.25">
      <c r="A38" s="38">
        <f>Données!A32</f>
        <v>5435</v>
      </c>
      <c r="B38" s="548" t="str">
        <f>Données!B32</f>
        <v>Saint-Livres</v>
      </c>
      <c r="C38" s="31">
        <f>VPI!R32</f>
        <v>25462.29188405797</v>
      </c>
      <c r="D38" s="8">
        <f>Données!N32</f>
        <v>13664.5</v>
      </c>
      <c r="E38" s="236">
        <f>Données!O32+Données!P32+Données!R32</f>
        <v>353373.10000000003</v>
      </c>
      <c r="F38" s="497">
        <f t="shared" si="2"/>
        <v>180785.90000000002</v>
      </c>
      <c r="G38" s="497">
        <f>Ecrêtage!M32</f>
        <v>0</v>
      </c>
      <c r="H38" s="498">
        <f t="shared" si="3"/>
        <v>296610.52430491592</v>
      </c>
      <c r="I38" s="321">
        <f t="shared" si="4"/>
        <v>477396.42430491594</v>
      </c>
    </row>
    <row r="39" spans="1:9" s="35" customFormat="1" x14ac:dyDescent="0.25">
      <c r="A39" s="38">
        <f>Données!A33</f>
        <v>5436</v>
      </c>
      <c r="B39" s="548" t="str">
        <f>Données!B33</f>
        <v>Saint-Oyens</v>
      </c>
      <c r="C39" s="31">
        <f>VPI!R33</f>
        <v>16425.371772151899</v>
      </c>
      <c r="D39" s="8">
        <f>Données!N33</f>
        <v>851</v>
      </c>
      <c r="E39" s="236">
        <f>Données!O33+Données!P33+Données!R33</f>
        <v>43506.600000000006</v>
      </c>
      <c r="F39" s="497">
        <f t="shared" si="2"/>
        <v>22008.600000000002</v>
      </c>
      <c r="G39" s="497">
        <f>Ecrêtage!M33</f>
        <v>0</v>
      </c>
      <c r="H39" s="498">
        <f t="shared" si="3"/>
        <v>191339.34036360169</v>
      </c>
      <c r="I39" s="321">
        <f t="shared" si="4"/>
        <v>213347.94036360169</v>
      </c>
    </row>
    <row r="40" spans="1:9" s="35" customFormat="1" x14ac:dyDescent="0.25">
      <c r="A40" s="38">
        <f>Données!A34</f>
        <v>5437</v>
      </c>
      <c r="B40" s="548" t="str">
        <f>Données!B34</f>
        <v>Saubraz</v>
      </c>
      <c r="C40" s="31">
        <f>VPI!R34</f>
        <v>12127.91725</v>
      </c>
      <c r="D40" s="8">
        <f>Données!N34</f>
        <v>0</v>
      </c>
      <c r="E40" s="236">
        <f>Données!O34+Données!P34+Données!R34</f>
        <v>169398.59999999998</v>
      </c>
      <c r="F40" s="497">
        <f t="shared" si="2"/>
        <v>84699.299999999988</v>
      </c>
      <c r="G40" s="497">
        <f>Ecrêtage!M34</f>
        <v>0</v>
      </c>
      <c r="H40" s="498">
        <f t="shared" si="3"/>
        <v>141278.24433987407</v>
      </c>
      <c r="I40" s="321">
        <f t="shared" si="4"/>
        <v>225977.54433987406</v>
      </c>
    </row>
    <row r="41" spans="1:9" s="35" customFormat="1" x14ac:dyDescent="0.25">
      <c r="A41" s="38">
        <f>Données!A35</f>
        <v>5451</v>
      </c>
      <c r="B41" s="548" t="str">
        <f>Données!B35</f>
        <v>Avenches</v>
      </c>
      <c r="C41" s="31">
        <f>VPI!R35</f>
        <v>142633.11649122802</v>
      </c>
      <c r="D41" s="8">
        <f>Données!N35</f>
        <v>576515.75</v>
      </c>
      <c r="E41" s="236">
        <f>Données!O35+Données!P35+Données!R35</f>
        <v>857392.29999999993</v>
      </c>
      <c r="F41" s="497">
        <f t="shared" si="2"/>
        <v>601650.875</v>
      </c>
      <c r="G41" s="497">
        <f>Ecrêtage!M35</f>
        <v>0</v>
      </c>
      <c r="H41" s="498">
        <f t="shared" si="3"/>
        <v>1661534.7769300977</v>
      </c>
      <c r="I41" s="321">
        <f t="shared" si="4"/>
        <v>2263185.6519300975</v>
      </c>
    </row>
    <row r="42" spans="1:9" s="35" customFormat="1" x14ac:dyDescent="0.25">
      <c r="A42" s="38">
        <f>Données!A36</f>
        <v>5456</v>
      </c>
      <c r="B42" s="548" t="str">
        <f>Données!B36</f>
        <v>Cudrefin</v>
      </c>
      <c r="C42" s="31">
        <f>VPI!R36</f>
        <v>64060.385932203382</v>
      </c>
      <c r="D42" s="8">
        <f>Données!N36</f>
        <v>1727.7</v>
      </c>
      <c r="E42" s="236">
        <f>Données!O36+Données!P36+Données!R36</f>
        <v>646396.4</v>
      </c>
      <c r="F42" s="497">
        <f t="shared" si="2"/>
        <v>323716.51</v>
      </c>
      <c r="G42" s="497">
        <f>Ecrêtage!M36</f>
        <v>0</v>
      </c>
      <c r="H42" s="498">
        <f t="shared" si="3"/>
        <v>746240.15564061177</v>
      </c>
      <c r="I42" s="321">
        <f t="shared" si="4"/>
        <v>1069956.6656406117</v>
      </c>
    </row>
    <row r="43" spans="1:9" s="35" customFormat="1" x14ac:dyDescent="0.25">
      <c r="A43" s="38">
        <f>Données!A37</f>
        <v>5458</v>
      </c>
      <c r="B43" s="548" t="str">
        <f>Données!B37</f>
        <v>Faoug</v>
      </c>
      <c r="C43" s="31">
        <f>VPI!R37</f>
        <v>32630.920512820507</v>
      </c>
      <c r="D43" s="8">
        <f>Données!N37</f>
        <v>3372.25</v>
      </c>
      <c r="E43" s="236">
        <f>Données!O37+Données!P37+Données!R37</f>
        <v>160299.5</v>
      </c>
      <c r="F43" s="497">
        <f t="shared" si="2"/>
        <v>81161.425000000003</v>
      </c>
      <c r="G43" s="497">
        <f>Ecrêtage!M37</f>
        <v>0</v>
      </c>
      <c r="H43" s="498">
        <f t="shared" si="3"/>
        <v>380117.95976306358</v>
      </c>
      <c r="I43" s="321">
        <f t="shared" si="4"/>
        <v>461279.38476306357</v>
      </c>
    </row>
    <row r="44" spans="1:9" s="35" customFormat="1" x14ac:dyDescent="0.25">
      <c r="A44" s="38">
        <f>Données!A38</f>
        <v>5464</v>
      </c>
      <c r="B44" s="548" t="str">
        <f>Données!B38</f>
        <v>Vully-les-Lacs</v>
      </c>
      <c r="C44" s="31">
        <f>VPI!R38</f>
        <v>117933.44731343284</v>
      </c>
      <c r="D44" s="8">
        <f>Données!N38</f>
        <v>4335.55</v>
      </c>
      <c r="E44" s="236">
        <f>Données!O38+Données!P38+Données!R38</f>
        <v>1034160</v>
      </c>
      <c r="F44" s="497">
        <f t="shared" si="2"/>
        <v>518380.66499999998</v>
      </c>
      <c r="G44" s="497">
        <f>Ecrêtage!M38</f>
        <v>0</v>
      </c>
      <c r="H44" s="498">
        <f t="shared" si="3"/>
        <v>1373808.0531008595</v>
      </c>
      <c r="I44" s="321">
        <f t="shared" si="4"/>
        <v>1892188.7181008596</v>
      </c>
    </row>
    <row r="45" spans="1:9" s="35" customFormat="1" x14ac:dyDescent="0.25">
      <c r="A45" s="38">
        <f>Données!A39</f>
        <v>5471</v>
      </c>
      <c r="B45" s="548" t="str">
        <f>Données!B39</f>
        <v>Bettens</v>
      </c>
      <c r="C45" s="31">
        <f>VPI!R39</f>
        <v>22692.287412698413</v>
      </c>
      <c r="D45" s="8">
        <f>Données!N39</f>
        <v>13213</v>
      </c>
      <c r="E45" s="236">
        <f>Données!O39+Données!P39+Données!R39</f>
        <v>68668.55</v>
      </c>
      <c r="F45" s="497">
        <f t="shared" si="2"/>
        <v>38298.175000000003</v>
      </c>
      <c r="G45" s="497">
        <f>Ecrêtage!M39</f>
        <v>0</v>
      </c>
      <c r="H45" s="498">
        <f t="shared" si="3"/>
        <v>264342.71108848928</v>
      </c>
      <c r="I45" s="321">
        <f t="shared" si="4"/>
        <v>302640.88608848926</v>
      </c>
    </row>
    <row r="46" spans="1:9" s="35" customFormat="1" x14ac:dyDescent="0.25">
      <c r="A46" s="38">
        <f>Données!A40</f>
        <v>5472</v>
      </c>
      <c r="B46" s="548" t="str">
        <f>Données!B40</f>
        <v>Bournens</v>
      </c>
      <c r="C46" s="31">
        <f>VPI!R40</f>
        <v>19974.836617647059</v>
      </c>
      <c r="D46" s="8">
        <f>Données!N40</f>
        <v>0</v>
      </c>
      <c r="E46" s="236">
        <f>Données!O40+Données!P40+Données!R40</f>
        <v>142971.04999999999</v>
      </c>
      <c r="F46" s="497">
        <f t="shared" si="2"/>
        <v>71485.524999999994</v>
      </c>
      <c r="G46" s="497">
        <f>Ecrêtage!M40</f>
        <v>0</v>
      </c>
      <c r="H46" s="498">
        <f t="shared" si="3"/>
        <v>232687.09623797977</v>
      </c>
      <c r="I46" s="321">
        <f t="shared" si="4"/>
        <v>304172.62123797974</v>
      </c>
    </row>
    <row r="47" spans="1:9" s="35" customFormat="1" x14ac:dyDescent="0.25">
      <c r="A47" s="38">
        <f>Données!A41</f>
        <v>5473</v>
      </c>
      <c r="B47" s="548" t="str">
        <f>Données!B41</f>
        <v>Boussens</v>
      </c>
      <c r="C47" s="31">
        <f>VPI!R41</f>
        <v>42017.076666666668</v>
      </c>
      <c r="D47" s="8">
        <f>Données!N41</f>
        <v>3562.05</v>
      </c>
      <c r="E47" s="236">
        <f>Données!O41+Données!P41+Données!R41</f>
        <v>219342.40000000002</v>
      </c>
      <c r="F47" s="497">
        <f t="shared" si="2"/>
        <v>110739.81500000002</v>
      </c>
      <c r="G47" s="497">
        <f>Ecrêtage!M41</f>
        <v>0</v>
      </c>
      <c r="H47" s="498">
        <f t="shared" si="3"/>
        <v>489457.39828168391</v>
      </c>
      <c r="I47" s="321">
        <f t="shared" si="4"/>
        <v>600197.21328168397</v>
      </c>
    </row>
    <row r="48" spans="1:9" s="35" customFormat="1" x14ac:dyDescent="0.25">
      <c r="A48" s="38">
        <f>Données!A42</f>
        <v>5474</v>
      </c>
      <c r="B48" s="548" t="str">
        <f>Données!B42</f>
        <v>La Chaux (Cossonay)</v>
      </c>
      <c r="C48" s="31">
        <f>VPI!R42</f>
        <v>13862.516425438596</v>
      </c>
      <c r="D48" s="8">
        <f>Données!N42</f>
        <v>3011.65</v>
      </c>
      <c r="E48" s="236">
        <f>Données!O42+Données!P42+Données!R42</f>
        <v>88956.6</v>
      </c>
      <c r="F48" s="497">
        <f t="shared" si="2"/>
        <v>45381.795000000006</v>
      </c>
      <c r="G48" s="497">
        <f>Ecrêtage!M42</f>
        <v>0</v>
      </c>
      <c r="H48" s="498">
        <f t="shared" si="3"/>
        <v>161484.6096281397</v>
      </c>
      <c r="I48" s="321">
        <f t="shared" si="4"/>
        <v>206866.40462813972</v>
      </c>
    </row>
    <row r="49" spans="1:9" s="35" customFormat="1" x14ac:dyDescent="0.25">
      <c r="A49" s="38">
        <f>Données!A43</f>
        <v>5475</v>
      </c>
      <c r="B49" s="548" t="str">
        <f>Données!B43</f>
        <v>Chavannes-le-Veyron</v>
      </c>
      <c r="C49" s="31">
        <f>VPI!R43</f>
        <v>4297.2048000000004</v>
      </c>
      <c r="D49" s="8">
        <f>Données!N43</f>
        <v>0</v>
      </c>
      <c r="E49" s="236">
        <f>Données!O43+Données!P43+Données!R43</f>
        <v>22220</v>
      </c>
      <c r="F49" s="497">
        <f t="shared" si="2"/>
        <v>11110</v>
      </c>
      <c r="G49" s="497">
        <f>Ecrêtage!M43</f>
        <v>0</v>
      </c>
      <c r="H49" s="498">
        <f t="shared" si="3"/>
        <v>50058.187007573768</v>
      </c>
      <c r="I49" s="321">
        <f t="shared" si="4"/>
        <v>61168.187007573768</v>
      </c>
    </row>
    <row r="50" spans="1:9" s="35" customFormat="1" x14ac:dyDescent="0.25">
      <c r="A50" s="38">
        <f>Données!A44</f>
        <v>5476</v>
      </c>
      <c r="B50" s="548" t="str">
        <f>Données!B44</f>
        <v>Chevilly</v>
      </c>
      <c r="C50" s="31">
        <f>VPI!R44</f>
        <v>13558.452965517243</v>
      </c>
      <c r="D50" s="8">
        <f>Données!N44</f>
        <v>0</v>
      </c>
      <c r="E50" s="236">
        <f>Données!O44+Données!P44+Données!R44</f>
        <v>58376.5</v>
      </c>
      <c r="F50" s="497">
        <f t="shared" si="2"/>
        <v>29188.25</v>
      </c>
      <c r="G50" s="497">
        <f>Ecrêtage!M44</f>
        <v>0</v>
      </c>
      <c r="H50" s="498">
        <f t="shared" si="3"/>
        <v>157942.57096642337</v>
      </c>
      <c r="I50" s="321">
        <f t="shared" si="4"/>
        <v>187130.82096642337</v>
      </c>
    </row>
    <row r="51" spans="1:9" s="35" customFormat="1" x14ac:dyDescent="0.25">
      <c r="A51" s="38">
        <f>Données!A45</f>
        <v>5477</v>
      </c>
      <c r="B51" s="548" t="str">
        <f>Données!B45</f>
        <v>Cossonay</v>
      </c>
      <c r="C51" s="31">
        <f>VPI!R45</f>
        <v>151490.5288235294</v>
      </c>
      <c r="D51" s="8">
        <f>Données!N45</f>
        <v>98390.45</v>
      </c>
      <c r="E51" s="236">
        <f>Données!O45+Données!P45+Données!R45</f>
        <v>1475258.0499999998</v>
      </c>
      <c r="F51" s="497">
        <f t="shared" si="2"/>
        <v>767146.15999999992</v>
      </c>
      <c r="G51" s="497">
        <f>Ecrêtage!M45</f>
        <v>0</v>
      </c>
      <c r="H51" s="498">
        <f t="shared" si="3"/>
        <v>1764714.8727294724</v>
      </c>
      <c r="I51" s="321">
        <f t="shared" si="4"/>
        <v>2531861.032729472</v>
      </c>
    </row>
    <row r="52" spans="1:9" s="35" customFormat="1" x14ac:dyDescent="0.25">
      <c r="A52" s="38">
        <f>Données!A46</f>
        <v>5479</v>
      </c>
      <c r="B52" s="548" t="str">
        <f>Données!B46</f>
        <v>Cuarnens</v>
      </c>
      <c r="C52" s="31">
        <f>VPI!R46</f>
        <v>14331.337792207793</v>
      </c>
      <c r="D52" s="8">
        <f>Données!N46</f>
        <v>8152</v>
      </c>
      <c r="E52" s="236">
        <f>Données!O46+Données!P46+Données!R46</f>
        <v>111112.4</v>
      </c>
      <c r="F52" s="497">
        <f t="shared" si="2"/>
        <v>58001.799999999996</v>
      </c>
      <c r="G52" s="497">
        <f>Ecrêtage!M46</f>
        <v>0</v>
      </c>
      <c r="H52" s="498">
        <f t="shared" si="3"/>
        <v>166945.91499829074</v>
      </c>
      <c r="I52" s="321">
        <f t="shared" si="4"/>
        <v>224947.71499829073</v>
      </c>
    </row>
    <row r="53" spans="1:9" s="35" customFormat="1" x14ac:dyDescent="0.25">
      <c r="A53" s="38">
        <f>Données!A47</f>
        <v>5480</v>
      </c>
      <c r="B53" s="548" t="str">
        <f>Données!B47</f>
        <v>Daillens</v>
      </c>
      <c r="C53" s="31">
        <f>VPI!R47</f>
        <v>42720.265505050505</v>
      </c>
      <c r="D53" s="8">
        <f>Données!N47</f>
        <v>226810.45</v>
      </c>
      <c r="E53" s="236">
        <f>Données!O47+Données!P47+Données!R47</f>
        <v>744904.15</v>
      </c>
      <c r="F53" s="497">
        <f t="shared" si="2"/>
        <v>440495.21</v>
      </c>
      <c r="G53" s="497">
        <f>Ecrêtage!M47</f>
        <v>0</v>
      </c>
      <c r="H53" s="498">
        <f t="shared" si="3"/>
        <v>497648.85296251666</v>
      </c>
      <c r="I53" s="321">
        <f t="shared" si="4"/>
        <v>938144.06296251668</v>
      </c>
    </row>
    <row r="54" spans="1:9" s="35" customFormat="1" x14ac:dyDescent="0.25">
      <c r="A54" s="38">
        <f>Données!A48</f>
        <v>5481</v>
      </c>
      <c r="B54" s="548" t="str">
        <f>Données!B48</f>
        <v>Dizy</v>
      </c>
      <c r="C54" s="31">
        <f>VPI!R48</f>
        <v>8552.7156000000014</v>
      </c>
      <c r="D54" s="8">
        <f>Données!N48</f>
        <v>0</v>
      </c>
      <c r="E54" s="236">
        <f>Données!O48+Données!P48+Données!R48</f>
        <v>42973.25</v>
      </c>
      <c r="F54" s="497">
        <f t="shared" si="2"/>
        <v>21486.625</v>
      </c>
      <c r="G54" s="497">
        <f>Ecrêtage!M48</f>
        <v>0</v>
      </c>
      <c r="H54" s="498">
        <f t="shared" si="3"/>
        <v>99630.680140586614</v>
      </c>
      <c r="I54" s="321">
        <f t="shared" si="4"/>
        <v>121117.30514058661</v>
      </c>
    </row>
    <row r="55" spans="1:9" s="35" customFormat="1" x14ac:dyDescent="0.25">
      <c r="A55" s="38">
        <f>Données!A49</f>
        <v>5482</v>
      </c>
      <c r="B55" s="548" t="str">
        <f>Données!B49</f>
        <v>Eclépens</v>
      </c>
      <c r="C55" s="31">
        <f>VPI!R49</f>
        <v>48314.544130434791</v>
      </c>
      <c r="D55" s="8">
        <f>Données!N49</f>
        <v>483265.35</v>
      </c>
      <c r="E55" s="236">
        <f>Données!O49+Données!P49+Données!R49</f>
        <v>150093.79999999999</v>
      </c>
      <c r="F55" s="497">
        <f t="shared" si="2"/>
        <v>220026.50499999998</v>
      </c>
      <c r="G55" s="497">
        <f>Ecrêtage!M49</f>
        <v>0</v>
      </c>
      <c r="H55" s="498">
        <f t="shared" si="3"/>
        <v>562816.66753862414</v>
      </c>
      <c r="I55" s="321">
        <f t="shared" si="4"/>
        <v>782843.17253862415</v>
      </c>
    </row>
    <row r="56" spans="1:9" s="35" customFormat="1" x14ac:dyDescent="0.25">
      <c r="A56" s="38">
        <f>Données!A50</f>
        <v>5483</v>
      </c>
      <c r="B56" s="548" t="str">
        <f>Données!B50</f>
        <v>Ferreyres</v>
      </c>
      <c r="C56" s="31">
        <f>VPI!R50</f>
        <v>10284.283289473684</v>
      </c>
      <c r="D56" s="8">
        <f>Données!N50</f>
        <v>0</v>
      </c>
      <c r="E56" s="236">
        <f>Données!O50+Données!P50+Données!R50</f>
        <v>11450.3</v>
      </c>
      <c r="F56" s="497">
        <f t="shared" si="2"/>
        <v>5725.15</v>
      </c>
      <c r="G56" s="497">
        <f>Ecrêtage!M50</f>
        <v>0</v>
      </c>
      <c r="H56" s="498">
        <f t="shared" si="3"/>
        <v>119801.73161477887</v>
      </c>
      <c r="I56" s="321">
        <f t="shared" si="4"/>
        <v>125526.88161477886</v>
      </c>
    </row>
    <row r="57" spans="1:9" s="35" customFormat="1" x14ac:dyDescent="0.25">
      <c r="A57" s="38">
        <f>Données!A51</f>
        <v>5484</v>
      </c>
      <c r="B57" s="548" t="str">
        <f>Données!B51</f>
        <v>Gollion</v>
      </c>
      <c r="C57" s="31">
        <f>VPI!R51</f>
        <v>32601.670945945945</v>
      </c>
      <c r="D57" s="8">
        <f>Données!N51</f>
        <v>32016.55</v>
      </c>
      <c r="E57" s="236">
        <f>Données!O51+Données!P51+Données!R51</f>
        <v>202674.95</v>
      </c>
      <c r="F57" s="497">
        <f t="shared" si="2"/>
        <v>110942.44</v>
      </c>
      <c r="G57" s="497">
        <f>Ecrêtage!M51</f>
        <v>0</v>
      </c>
      <c r="H57" s="498">
        <f t="shared" si="3"/>
        <v>379777.23122983251</v>
      </c>
      <c r="I57" s="321">
        <f t="shared" si="4"/>
        <v>490719.67122983251</v>
      </c>
    </row>
    <row r="58" spans="1:9" s="35" customFormat="1" x14ac:dyDescent="0.25">
      <c r="A58" s="38">
        <f>Données!A52</f>
        <v>5485</v>
      </c>
      <c r="B58" s="548" t="str">
        <f>Données!B52</f>
        <v>Grancy</v>
      </c>
      <c r="C58" s="31">
        <f>VPI!R52</f>
        <v>18961.380428571429</v>
      </c>
      <c r="D58" s="8">
        <f>Données!N52</f>
        <v>5968.6</v>
      </c>
      <c r="E58" s="236">
        <f>Données!O52+Données!P52+Données!R52</f>
        <v>78378.3</v>
      </c>
      <c r="F58" s="497">
        <f t="shared" si="2"/>
        <v>40979.730000000003</v>
      </c>
      <c r="G58" s="497">
        <f>Ecrêtage!M52</f>
        <v>0</v>
      </c>
      <c r="H58" s="498">
        <f t="shared" si="3"/>
        <v>220881.33370212602</v>
      </c>
      <c r="I58" s="321">
        <f t="shared" si="4"/>
        <v>261861.06370212603</v>
      </c>
    </row>
    <row r="59" spans="1:9" s="35" customFormat="1" x14ac:dyDescent="0.25">
      <c r="A59" s="38">
        <f>Données!A53</f>
        <v>5486</v>
      </c>
      <c r="B59" s="548" t="str">
        <f>Données!B53</f>
        <v>L'Isle</v>
      </c>
      <c r="C59" s="31">
        <f>VPI!R53</f>
        <v>34756.215466666676</v>
      </c>
      <c r="D59" s="8">
        <f>Données!N53</f>
        <v>89687.85</v>
      </c>
      <c r="E59" s="236">
        <f>Données!O53+Données!P53+Données!R53</f>
        <v>308989.3</v>
      </c>
      <c r="F59" s="497">
        <f t="shared" si="2"/>
        <v>181401.005</v>
      </c>
      <c r="G59" s="497">
        <f>Ecrêtage!M53</f>
        <v>0</v>
      </c>
      <c r="H59" s="498">
        <f t="shared" si="3"/>
        <v>404875.54456467327</v>
      </c>
      <c r="I59" s="321">
        <f t="shared" si="4"/>
        <v>586276.54956467333</v>
      </c>
    </row>
    <row r="60" spans="1:9" s="35" customFormat="1" x14ac:dyDescent="0.25">
      <c r="A60" s="38">
        <f>Données!A54</f>
        <v>5487</v>
      </c>
      <c r="B60" s="548" t="str">
        <f>Données!B54</f>
        <v>Lussery-Villars</v>
      </c>
      <c r="C60" s="31">
        <f>VPI!R54</f>
        <v>12042.619866666666</v>
      </c>
      <c r="D60" s="8">
        <f>Données!N54</f>
        <v>0</v>
      </c>
      <c r="E60" s="236">
        <f>Données!O54+Données!P54+Données!R54</f>
        <v>84303.9</v>
      </c>
      <c r="F60" s="497">
        <f t="shared" si="2"/>
        <v>42151.95</v>
      </c>
      <c r="G60" s="497">
        <f>Ecrêtage!M54</f>
        <v>0</v>
      </c>
      <c r="H60" s="498">
        <f t="shared" si="3"/>
        <v>140284.6141628444</v>
      </c>
      <c r="I60" s="321">
        <f t="shared" si="4"/>
        <v>182436.56416284438</v>
      </c>
    </row>
    <row r="61" spans="1:9" s="35" customFormat="1" x14ac:dyDescent="0.25">
      <c r="A61" s="38">
        <f>Données!A55</f>
        <v>5488</v>
      </c>
      <c r="B61" s="548" t="str">
        <f>Données!B55</f>
        <v>Mauraz</v>
      </c>
      <c r="C61" s="31">
        <f>VPI!R55</f>
        <v>2131.6062337662343</v>
      </c>
      <c r="D61" s="8">
        <f>Données!N55</f>
        <v>0</v>
      </c>
      <c r="E61" s="236">
        <f>Données!O55+Données!P55+Données!R55</f>
        <v>38854.550000000003</v>
      </c>
      <c r="F61" s="497">
        <f t="shared" si="2"/>
        <v>19427.275000000001</v>
      </c>
      <c r="G61" s="497">
        <f>Ecrêtage!M55</f>
        <v>0</v>
      </c>
      <c r="H61" s="498">
        <f t="shared" si="3"/>
        <v>24831.104972325298</v>
      </c>
      <c r="I61" s="321">
        <f t="shared" si="4"/>
        <v>44258.379972325303</v>
      </c>
    </row>
    <row r="62" spans="1:9" s="35" customFormat="1" x14ac:dyDescent="0.25">
      <c r="A62" s="38">
        <f>Données!A56</f>
        <v>5489</v>
      </c>
      <c r="B62" s="548" t="str">
        <f>Données!B56</f>
        <v>Mex</v>
      </c>
      <c r="C62" s="31">
        <f>VPI!R56</f>
        <v>60740.368067226897</v>
      </c>
      <c r="D62" s="8">
        <f>Données!N56</f>
        <v>190350.55</v>
      </c>
      <c r="E62" s="236">
        <f>Données!O56+Données!P56+Données!R56</f>
        <v>334361.5</v>
      </c>
      <c r="F62" s="497">
        <f t="shared" si="2"/>
        <v>224285.91499999998</v>
      </c>
      <c r="G62" s="497">
        <f>Ecrêtage!M56</f>
        <v>338852.85256157932</v>
      </c>
      <c r="H62" s="498">
        <f t="shared" si="3"/>
        <v>707565.23022084159</v>
      </c>
      <c r="I62" s="321">
        <f t="shared" si="4"/>
        <v>1270703.9977824208</v>
      </c>
    </row>
    <row r="63" spans="1:9" s="35" customFormat="1" x14ac:dyDescent="0.25">
      <c r="A63" s="38">
        <f>Données!A57</f>
        <v>5490</v>
      </c>
      <c r="B63" s="548" t="str">
        <f>Données!B57</f>
        <v>Moiry</v>
      </c>
      <c r="C63" s="31">
        <f>VPI!R57</f>
        <v>8460.9523376623383</v>
      </c>
      <c r="D63" s="8">
        <f>Données!N57</f>
        <v>0</v>
      </c>
      <c r="E63" s="236">
        <f>Données!O57+Données!P57+Données!R57</f>
        <v>19864.7</v>
      </c>
      <c r="F63" s="497">
        <f t="shared" si="2"/>
        <v>9932.35</v>
      </c>
      <c r="G63" s="497">
        <f>Ecrêtage!M57</f>
        <v>0</v>
      </c>
      <c r="H63" s="498">
        <f t="shared" si="3"/>
        <v>98561.728866371384</v>
      </c>
      <c r="I63" s="321">
        <f t="shared" si="4"/>
        <v>108494.07886637139</v>
      </c>
    </row>
    <row r="64" spans="1:9" s="35" customFormat="1" x14ac:dyDescent="0.25">
      <c r="A64" s="38">
        <f>Données!A58</f>
        <v>5491</v>
      </c>
      <c r="B64" s="548" t="str">
        <f>Données!B58</f>
        <v>Mont-la-Ville</v>
      </c>
      <c r="C64" s="31">
        <f>VPI!R58</f>
        <v>13842.217236842105</v>
      </c>
      <c r="D64" s="8">
        <f>Données!N58</f>
        <v>3208.25</v>
      </c>
      <c r="E64" s="236">
        <f>Données!O58+Données!P58+Données!R58</f>
        <v>135966.1</v>
      </c>
      <c r="F64" s="497">
        <f t="shared" si="2"/>
        <v>68945.525000000009</v>
      </c>
      <c r="G64" s="497">
        <f>Ecrêtage!M58</f>
        <v>0</v>
      </c>
      <c r="H64" s="498">
        <f t="shared" si="3"/>
        <v>161248.14415205509</v>
      </c>
      <c r="I64" s="321">
        <f t="shared" si="4"/>
        <v>230193.66915205511</v>
      </c>
    </row>
    <row r="65" spans="1:9" s="35" customFormat="1" x14ac:dyDescent="0.25">
      <c r="A65" s="38">
        <f>Données!A59</f>
        <v>5492</v>
      </c>
      <c r="B65" s="548" t="str">
        <f>Données!B59</f>
        <v>Montricher</v>
      </c>
      <c r="C65" s="31">
        <f>VPI!R59</f>
        <v>149907.58062499994</v>
      </c>
      <c r="D65" s="8">
        <f>Données!N59</f>
        <v>10971.2</v>
      </c>
      <c r="E65" s="236">
        <f>Données!O59+Données!P59+Données!R59</f>
        <v>230633.15000000002</v>
      </c>
      <c r="F65" s="497">
        <f t="shared" si="2"/>
        <v>118607.93500000001</v>
      </c>
      <c r="G65" s="497">
        <f>Ecrêtage!M59</f>
        <v>2812340.7907724301</v>
      </c>
      <c r="H65" s="498">
        <f t="shared" si="3"/>
        <v>1746275.0913754886</v>
      </c>
      <c r="I65" s="321">
        <f t="shared" si="4"/>
        <v>4677223.817147919</v>
      </c>
    </row>
    <row r="66" spans="1:9" s="35" customFormat="1" x14ac:dyDescent="0.25">
      <c r="A66" s="38">
        <f>Données!A60</f>
        <v>5493</v>
      </c>
      <c r="B66" s="548" t="str">
        <f>Données!B60</f>
        <v>Orny</v>
      </c>
      <c r="C66" s="31">
        <f>VPI!R60</f>
        <v>14635.830579557431</v>
      </c>
      <c r="D66" s="8">
        <f>Données!N60</f>
        <v>62678</v>
      </c>
      <c r="E66" s="236">
        <f>Données!O60+Données!P60+Données!R60</f>
        <v>72910.899999999994</v>
      </c>
      <c r="F66" s="497">
        <f t="shared" si="2"/>
        <v>55258.849999999991</v>
      </c>
      <c r="G66" s="497">
        <f>Ecrêtage!M60</f>
        <v>0</v>
      </c>
      <c r="H66" s="498">
        <f t="shared" si="3"/>
        <v>170492.95490004399</v>
      </c>
      <c r="I66" s="321">
        <f t="shared" si="4"/>
        <v>225751.80490004399</v>
      </c>
    </row>
    <row r="67" spans="1:9" s="35" customFormat="1" x14ac:dyDescent="0.25">
      <c r="A67" s="38">
        <f>Données!A61</f>
        <v>5495</v>
      </c>
      <c r="B67" s="548" t="str">
        <f>Données!B61</f>
        <v>Penthalaz</v>
      </c>
      <c r="C67" s="31">
        <f>VPI!R61</f>
        <v>103056.57202702702</v>
      </c>
      <c r="D67" s="8">
        <f>Données!N61</f>
        <v>301863.25</v>
      </c>
      <c r="E67" s="236">
        <f>Données!O61+Données!P61+Données!R61</f>
        <v>2027112.7</v>
      </c>
      <c r="F67" s="497">
        <f t="shared" si="2"/>
        <v>1104115.325</v>
      </c>
      <c r="G67" s="497">
        <f>Ecrêtage!M61</f>
        <v>0</v>
      </c>
      <c r="H67" s="498">
        <f t="shared" si="3"/>
        <v>1200507.1657018566</v>
      </c>
      <c r="I67" s="321">
        <f t="shared" si="4"/>
        <v>2304622.4907018566</v>
      </c>
    </row>
    <row r="68" spans="1:9" s="35" customFormat="1" x14ac:dyDescent="0.25">
      <c r="A68" s="38">
        <f>Données!A62</f>
        <v>5496</v>
      </c>
      <c r="B68" s="548" t="str">
        <f>Données!B62</f>
        <v>Penthaz</v>
      </c>
      <c r="C68" s="31">
        <f>VPI!R62</f>
        <v>61651.518705035967</v>
      </c>
      <c r="D68" s="8">
        <f>Données!N62</f>
        <v>85804.3</v>
      </c>
      <c r="E68" s="236">
        <f>Données!O62+Données!P62+Données!R62</f>
        <v>264369.25</v>
      </c>
      <c r="F68" s="497">
        <f t="shared" si="2"/>
        <v>157925.91500000001</v>
      </c>
      <c r="G68" s="497">
        <f>Ecrêtage!M62</f>
        <v>0</v>
      </c>
      <c r="H68" s="498">
        <f t="shared" si="3"/>
        <v>718179.2342402722</v>
      </c>
      <c r="I68" s="321">
        <f t="shared" si="4"/>
        <v>876105.14924027224</v>
      </c>
    </row>
    <row r="69" spans="1:9" s="35" customFormat="1" x14ac:dyDescent="0.25">
      <c r="A69" s="38">
        <f>Données!A63</f>
        <v>5497</v>
      </c>
      <c r="B69" s="548" t="str">
        <f>Données!B63</f>
        <v>Pompaples</v>
      </c>
      <c r="C69" s="31">
        <f>VPI!R63</f>
        <v>22949.830606060608</v>
      </c>
      <c r="D69" s="8">
        <f>Données!N63</f>
        <v>202629.9</v>
      </c>
      <c r="E69" s="236">
        <f>Données!O63+Données!P63+Données!R63</f>
        <v>89028</v>
      </c>
      <c r="F69" s="497">
        <f t="shared" si="2"/>
        <v>105302.97</v>
      </c>
      <c r="G69" s="497">
        <f>Ecrêtage!M63</f>
        <v>0</v>
      </c>
      <c r="H69" s="498">
        <f t="shared" si="3"/>
        <v>267342.83464225905</v>
      </c>
      <c r="I69" s="321">
        <f t="shared" si="4"/>
        <v>372645.80464225903</v>
      </c>
    </row>
    <row r="70" spans="1:9" s="35" customFormat="1" x14ac:dyDescent="0.25">
      <c r="A70" s="38">
        <f>Données!A64</f>
        <v>5498</v>
      </c>
      <c r="B70" s="548" t="str">
        <f>Données!B64</f>
        <v>La Sarraz</v>
      </c>
      <c r="C70" s="31">
        <f>VPI!R64</f>
        <v>73743.655606060609</v>
      </c>
      <c r="D70" s="8">
        <f>Données!N64</f>
        <v>122746.25</v>
      </c>
      <c r="E70" s="236">
        <f>Données!O64+Données!P64+Données!R64</f>
        <v>233869.45</v>
      </c>
      <c r="F70" s="497">
        <f t="shared" si="2"/>
        <v>153758.6</v>
      </c>
      <c r="G70" s="497">
        <f>Ecrêtage!M64</f>
        <v>0</v>
      </c>
      <c r="H70" s="498">
        <f t="shared" si="3"/>
        <v>859040.67289282952</v>
      </c>
      <c r="I70" s="321">
        <f t="shared" si="4"/>
        <v>1012799.2728928295</v>
      </c>
    </row>
    <row r="71" spans="1:9" s="35" customFormat="1" x14ac:dyDescent="0.25">
      <c r="A71" s="38">
        <f>Données!A65</f>
        <v>5499</v>
      </c>
      <c r="B71" s="548" t="str">
        <f>Données!B65</f>
        <v>Senarclens</v>
      </c>
      <c r="C71" s="31">
        <f>VPI!R65</f>
        <v>20491.103065693427</v>
      </c>
      <c r="D71" s="8">
        <f>Données!N65</f>
        <v>26883.5</v>
      </c>
      <c r="E71" s="236">
        <f>Données!O65+Données!P65+Données!R65</f>
        <v>81660.7</v>
      </c>
      <c r="F71" s="497">
        <f t="shared" si="2"/>
        <v>48895.399999999994</v>
      </c>
      <c r="G71" s="497">
        <f>Ecrêtage!M65</f>
        <v>0</v>
      </c>
      <c r="H71" s="498">
        <f t="shared" si="3"/>
        <v>238701.08989312066</v>
      </c>
      <c r="I71" s="321">
        <f t="shared" si="4"/>
        <v>287596.48989312066</v>
      </c>
    </row>
    <row r="72" spans="1:9" s="35" customFormat="1" x14ac:dyDescent="0.25">
      <c r="A72" s="38">
        <f>Données!A66</f>
        <v>5501</v>
      </c>
      <c r="B72" s="548" t="str">
        <f>Données!B66</f>
        <v>Sullens</v>
      </c>
      <c r="C72" s="31">
        <f>VPI!R66</f>
        <v>53840.673124999994</v>
      </c>
      <c r="D72" s="8">
        <f>Données!N66</f>
        <v>17893.7</v>
      </c>
      <c r="E72" s="236">
        <f>Données!O66+Données!P66+Données!R66</f>
        <v>555509.4</v>
      </c>
      <c r="F72" s="497">
        <f t="shared" si="2"/>
        <v>283122.81</v>
      </c>
      <c r="G72" s="497">
        <f>Ecrêtage!M66</f>
        <v>0</v>
      </c>
      <c r="H72" s="498">
        <f t="shared" si="3"/>
        <v>627190.60629944853</v>
      </c>
      <c r="I72" s="321">
        <f t="shared" si="4"/>
        <v>910313.41629944858</v>
      </c>
    </row>
    <row r="73" spans="1:9" s="35" customFormat="1" x14ac:dyDescent="0.25">
      <c r="A73" s="38">
        <f>Données!A67</f>
        <v>5503</v>
      </c>
      <c r="B73" s="548" t="str">
        <f>Données!B67</f>
        <v>Vufflens-la-Ville</v>
      </c>
      <c r="C73" s="31">
        <f>VPI!R67</f>
        <v>75222.663980099518</v>
      </c>
      <c r="D73" s="8">
        <f>Données!N67</f>
        <v>217052.05</v>
      </c>
      <c r="E73" s="236">
        <f>Données!O67+Données!P67+Données!R67</f>
        <v>152868.79999999999</v>
      </c>
      <c r="F73" s="497">
        <f t="shared" si="2"/>
        <v>141550.01499999998</v>
      </c>
      <c r="G73" s="497">
        <f>Ecrêtage!M67</f>
        <v>142058.64342868951</v>
      </c>
      <c r="H73" s="498">
        <f t="shared" si="3"/>
        <v>876269.65806323779</v>
      </c>
      <c r="I73" s="321">
        <f t="shared" si="4"/>
        <v>1159878.3164919273</v>
      </c>
    </row>
    <row r="74" spans="1:9" s="35" customFormat="1" x14ac:dyDescent="0.25">
      <c r="A74" s="38">
        <f>Données!A68</f>
        <v>5511</v>
      </c>
      <c r="B74" s="548" t="str">
        <f>Données!B68</f>
        <v>Assens</v>
      </c>
      <c r="C74" s="31">
        <f>VPI!R68</f>
        <v>72835.778857142868</v>
      </c>
      <c r="D74" s="8">
        <f>Données!N68</f>
        <v>228206.35</v>
      </c>
      <c r="E74" s="236">
        <f>Données!O68+Données!P68+Données!R68</f>
        <v>181769.9</v>
      </c>
      <c r="F74" s="497">
        <f t="shared" si="2"/>
        <v>159346.85499999998</v>
      </c>
      <c r="G74" s="497">
        <f>Ecrêtage!M68</f>
        <v>0</v>
      </c>
      <c r="H74" s="498">
        <f t="shared" si="3"/>
        <v>848464.80644188623</v>
      </c>
      <c r="I74" s="321">
        <f t="shared" si="4"/>
        <v>1007811.6614418862</v>
      </c>
    </row>
    <row r="75" spans="1:9" s="35" customFormat="1" x14ac:dyDescent="0.25">
      <c r="A75" s="38">
        <f>Données!A69</f>
        <v>5512</v>
      </c>
      <c r="B75" s="548" t="str">
        <f>Données!B69</f>
        <v>Bercher</v>
      </c>
      <c r="C75" s="31">
        <f>VPI!R69</f>
        <v>41198.7282278481</v>
      </c>
      <c r="D75" s="8">
        <f>Données!N69</f>
        <v>89160.45</v>
      </c>
      <c r="E75" s="236">
        <f>Données!O69+Données!P69+Données!R69</f>
        <v>153306.29999999999</v>
      </c>
      <c r="F75" s="497">
        <f t="shared" si="2"/>
        <v>103401.28499999999</v>
      </c>
      <c r="G75" s="497">
        <f>Ecrêtage!M69</f>
        <v>0</v>
      </c>
      <c r="H75" s="498">
        <f t="shared" si="3"/>
        <v>479924.44812121312</v>
      </c>
      <c r="I75" s="321">
        <f t="shared" si="4"/>
        <v>583325.73312121315</v>
      </c>
    </row>
    <row r="76" spans="1:9" s="35" customFormat="1" x14ac:dyDescent="0.25">
      <c r="A76" s="38">
        <f>Données!A70</f>
        <v>5514</v>
      </c>
      <c r="B76" s="548" t="str">
        <f>Données!B70</f>
        <v>Bottens</v>
      </c>
      <c r="C76" s="31">
        <f>VPI!R70</f>
        <v>45712.235586206894</v>
      </c>
      <c r="D76" s="8">
        <f>Données!N70</f>
        <v>9237.1</v>
      </c>
      <c r="E76" s="236">
        <f>Données!O70+Données!P70+Données!R70</f>
        <v>200711.1</v>
      </c>
      <c r="F76" s="497">
        <f t="shared" si="2"/>
        <v>103126.68000000001</v>
      </c>
      <c r="G76" s="497">
        <f>Ecrêtage!M70</f>
        <v>0</v>
      </c>
      <c r="H76" s="498">
        <f t="shared" si="3"/>
        <v>532502.34606193611</v>
      </c>
      <c r="I76" s="321">
        <f t="shared" si="4"/>
        <v>635629.02606193617</v>
      </c>
    </row>
    <row r="77" spans="1:9" s="35" customFormat="1" x14ac:dyDescent="0.25">
      <c r="A77" s="38">
        <f>Données!A71</f>
        <v>5515</v>
      </c>
      <c r="B77" s="548" t="str">
        <f>Données!B71</f>
        <v>Bretigny-sur-Morrens</v>
      </c>
      <c r="C77" s="31">
        <f>VPI!R71</f>
        <v>29285.295897435899</v>
      </c>
      <c r="D77" s="8">
        <f>Données!N71</f>
        <v>7362.9</v>
      </c>
      <c r="E77" s="236">
        <f>Données!O71+Données!P71+Données!R71</f>
        <v>91376.15</v>
      </c>
      <c r="F77" s="497">
        <f t="shared" ref="F77:F140" si="5">D77*$D$11+E77*$E$11</f>
        <v>47896.945</v>
      </c>
      <c r="G77" s="497">
        <f>Ecrêtage!M71</f>
        <v>0</v>
      </c>
      <c r="H77" s="498">
        <f t="shared" ref="H77:H140" si="6">$H$11*C77</f>
        <v>341144.74102001812</v>
      </c>
      <c r="I77" s="321">
        <f t="shared" ref="I77:I140" si="7">F77+H77+G77</f>
        <v>389041.68602001813</v>
      </c>
    </row>
    <row r="78" spans="1:9" s="35" customFormat="1" x14ac:dyDescent="0.25">
      <c r="A78" s="38">
        <f>Données!A72</f>
        <v>5516</v>
      </c>
      <c r="B78" s="548" t="str">
        <f>Données!B72</f>
        <v>Cugy</v>
      </c>
      <c r="C78" s="31">
        <f>VPI!R72</f>
        <v>110290.24758771928</v>
      </c>
      <c r="D78" s="8">
        <f>Données!N72</f>
        <v>89061.8</v>
      </c>
      <c r="E78" s="236">
        <f>Données!O72+Données!P72+Données!R72</f>
        <v>564136.39999999991</v>
      </c>
      <c r="F78" s="497">
        <f t="shared" si="5"/>
        <v>308786.73999999993</v>
      </c>
      <c r="G78" s="497">
        <f>Ecrêtage!M72</f>
        <v>0</v>
      </c>
      <c r="H78" s="498">
        <f t="shared" si="6"/>
        <v>1284772.3336010568</v>
      </c>
      <c r="I78" s="321">
        <f t="shared" si="7"/>
        <v>1593559.0736010568</v>
      </c>
    </row>
    <row r="79" spans="1:9" s="35" customFormat="1" x14ac:dyDescent="0.25">
      <c r="A79" s="38">
        <f>Données!A73</f>
        <v>5518</v>
      </c>
      <c r="B79" s="548" t="str">
        <f>Données!B73</f>
        <v>Echallens</v>
      </c>
      <c r="C79" s="31">
        <f>VPI!R73</f>
        <v>193282.28662068967</v>
      </c>
      <c r="D79" s="8">
        <f>Données!N73</f>
        <v>223921.4</v>
      </c>
      <c r="E79" s="236">
        <f>Données!O73+Données!P73+Données!R73</f>
        <v>1109366.8999999999</v>
      </c>
      <c r="F79" s="497">
        <f t="shared" si="5"/>
        <v>621859.87</v>
      </c>
      <c r="G79" s="497">
        <f>Ecrêtage!M73</f>
        <v>0</v>
      </c>
      <c r="H79" s="498">
        <f t="shared" si="6"/>
        <v>2251547.5289681228</v>
      </c>
      <c r="I79" s="321">
        <f t="shared" si="7"/>
        <v>2873407.3989681229</v>
      </c>
    </row>
    <row r="80" spans="1:9" s="35" customFormat="1" x14ac:dyDescent="0.25">
      <c r="A80" s="38">
        <f>Données!A74</f>
        <v>5520</v>
      </c>
      <c r="B80" s="548" t="str">
        <f>Données!B74</f>
        <v>Essertines-sur-Yverdon</v>
      </c>
      <c r="C80" s="31">
        <f>VPI!R74</f>
        <v>31422.035945945943</v>
      </c>
      <c r="D80" s="8">
        <f>Données!N74</f>
        <v>7550.95</v>
      </c>
      <c r="E80" s="236">
        <f>Données!O74+Données!P74+Données!R74</f>
        <v>256261.65</v>
      </c>
      <c r="F80" s="497">
        <f t="shared" si="5"/>
        <v>130396.11</v>
      </c>
      <c r="G80" s="497">
        <f>Ecrêtage!M74</f>
        <v>0</v>
      </c>
      <c r="H80" s="498">
        <f t="shared" si="6"/>
        <v>366035.64985798835</v>
      </c>
      <c r="I80" s="321">
        <f t="shared" si="7"/>
        <v>496431.75985798833</v>
      </c>
    </row>
    <row r="81" spans="1:9" s="35" customFormat="1" x14ac:dyDescent="0.25">
      <c r="A81" s="38">
        <f>Données!A75</f>
        <v>5521</v>
      </c>
      <c r="B81" s="548" t="str">
        <f>Données!B75</f>
        <v>Etagnières</v>
      </c>
      <c r="C81" s="31">
        <f>VPI!R75</f>
        <v>47189.665890410972</v>
      </c>
      <c r="D81" s="8">
        <f>Données!N75</f>
        <v>100109.65</v>
      </c>
      <c r="E81" s="236">
        <f>Données!O75+Données!P75+Données!R75</f>
        <v>680606.5</v>
      </c>
      <c r="F81" s="497">
        <f t="shared" si="5"/>
        <v>370336.14500000002</v>
      </c>
      <c r="G81" s="497">
        <f>Ecrêtage!M75</f>
        <v>0</v>
      </c>
      <c r="H81" s="498">
        <f t="shared" si="6"/>
        <v>549712.94827910396</v>
      </c>
      <c r="I81" s="321">
        <f t="shared" si="7"/>
        <v>920049.09327910398</v>
      </c>
    </row>
    <row r="82" spans="1:9" s="35" customFormat="1" x14ac:dyDescent="0.25">
      <c r="A82" s="38">
        <f>Données!A76</f>
        <v>5522</v>
      </c>
      <c r="B82" s="548" t="str">
        <f>Données!B76</f>
        <v>Fey</v>
      </c>
      <c r="C82" s="31">
        <f>VPI!R76</f>
        <v>24172.463733333334</v>
      </c>
      <c r="D82" s="8">
        <f>Données!N76</f>
        <v>4142.45</v>
      </c>
      <c r="E82" s="236">
        <f>Données!O76+Données!P76+Données!R76</f>
        <v>144783.15</v>
      </c>
      <c r="F82" s="497">
        <f t="shared" si="5"/>
        <v>73634.31</v>
      </c>
      <c r="G82" s="497">
        <f>Ecrêtage!M76</f>
        <v>0</v>
      </c>
      <c r="H82" s="498">
        <f t="shared" si="6"/>
        <v>281585.30168191995</v>
      </c>
      <c r="I82" s="321">
        <f t="shared" si="7"/>
        <v>355219.61168191995</v>
      </c>
    </row>
    <row r="83" spans="1:9" s="35" customFormat="1" x14ac:dyDescent="0.25">
      <c r="A83" s="38">
        <f>Données!A77</f>
        <v>5523</v>
      </c>
      <c r="B83" s="548" t="str">
        <f>Données!B77</f>
        <v>Froideville</v>
      </c>
      <c r="C83" s="31">
        <f>VPI!R77</f>
        <v>92231.307222222211</v>
      </c>
      <c r="D83" s="8">
        <f>Données!N77</f>
        <v>6529.5</v>
      </c>
      <c r="E83" s="236">
        <f>Données!O77+Données!P77+Données!R77</f>
        <v>663736.55000000005</v>
      </c>
      <c r="F83" s="497">
        <f t="shared" si="5"/>
        <v>333827.125</v>
      </c>
      <c r="G83" s="497">
        <f>Ecrêtage!M77</f>
        <v>0</v>
      </c>
      <c r="H83" s="498">
        <f t="shared" si="6"/>
        <v>1074403.5343353865</v>
      </c>
      <c r="I83" s="321">
        <f t="shared" si="7"/>
        <v>1408230.6593353865</v>
      </c>
    </row>
    <row r="84" spans="1:9" s="35" customFormat="1" x14ac:dyDescent="0.25">
      <c r="A84" s="38">
        <f>Données!A78</f>
        <v>5527</v>
      </c>
      <c r="B84" s="548" t="str">
        <f>Données!B78</f>
        <v>Morrens</v>
      </c>
      <c r="C84" s="31">
        <f>VPI!R78</f>
        <v>40722.505675675682</v>
      </c>
      <c r="D84" s="8">
        <f>Données!N78</f>
        <v>11668.5</v>
      </c>
      <c r="E84" s="236">
        <f>Données!O78+Données!P78+Données!R78</f>
        <v>279168.40000000002</v>
      </c>
      <c r="F84" s="497">
        <f t="shared" si="5"/>
        <v>143084.75</v>
      </c>
      <c r="G84" s="497">
        <f>Ecrêtage!M78</f>
        <v>0</v>
      </c>
      <c r="H84" s="498">
        <f t="shared" si="6"/>
        <v>474376.92625912483</v>
      </c>
      <c r="I84" s="321">
        <f t="shared" si="7"/>
        <v>617461.67625912488</v>
      </c>
    </row>
    <row r="85" spans="1:9" s="35" customFormat="1" x14ac:dyDescent="0.25">
      <c r="A85" s="38">
        <f>Données!A79</f>
        <v>5529</v>
      </c>
      <c r="B85" s="548" t="str">
        <f>Données!B79</f>
        <v>Oulens-sous-Echallens</v>
      </c>
      <c r="C85" s="31">
        <f>VPI!R79</f>
        <v>22677.013380281693</v>
      </c>
      <c r="D85" s="8">
        <f>Données!N79</f>
        <v>0</v>
      </c>
      <c r="E85" s="236">
        <f>Données!O79+Données!P79+Données!R79</f>
        <v>12210</v>
      </c>
      <c r="F85" s="497">
        <f t="shared" si="5"/>
        <v>6105</v>
      </c>
      <c r="G85" s="497">
        <f>Ecrêtage!M79</f>
        <v>0</v>
      </c>
      <c r="H85" s="498">
        <f t="shared" si="6"/>
        <v>264164.78371321596</v>
      </c>
      <c r="I85" s="321">
        <f t="shared" si="7"/>
        <v>270269.78371321596</v>
      </c>
    </row>
    <row r="86" spans="1:9" s="35" customFormat="1" x14ac:dyDescent="0.25">
      <c r="A86" s="38">
        <f>Données!A80</f>
        <v>5530</v>
      </c>
      <c r="B86" s="548" t="str">
        <f>Données!B80</f>
        <v>Pailly</v>
      </c>
      <c r="C86" s="31">
        <f>VPI!R80</f>
        <v>20112.17390350877</v>
      </c>
      <c r="D86" s="8">
        <f>Données!N80</f>
        <v>20999.9</v>
      </c>
      <c r="E86" s="236">
        <f>Données!O80+Données!P80+Données!R80</f>
        <v>532950.6</v>
      </c>
      <c r="F86" s="497">
        <f t="shared" si="5"/>
        <v>272775.26999999996</v>
      </c>
      <c r="G86" s="497">
        <f>Ecrêtage!M80</f>
        <v>0</v>
      </c>
      <c r="H86" s="498">
        <f t="shared" si="6"/>
        <v>234286.93982439159</v>
      </c>
      <c r="I86" s="321">
        <f t="shared" si="7"/>
        <v>507062.20982439152</v>
      </c>
    </row>
    <row r="87" spans="1:9" s="35" customFormat="1" x14ac:dyDescent="0.25">
      <c r="A87" s="38">
        <f>Données!A81</f>
        <v>5531</v>
      </c>
      <c r="B87" s="548" t="str">
        <f>Données!B81</f>
        <v>Penthéréaz</v>
      </c>
      <c r="C87" s="31">
        <f>VPI!R81</f>
        <v>17299.306216216217</v>
      </c>
      <c r="D87" s="8">
        <f>Données!N81</f>
        <v>27044.6</v>
      </c>
      <c r="E87" s="236">
        <f>Données!O81+Données!P81+Données!R81</f>
        <v>31415.05</v>
      </c>
      <c r="F87" s="497">
        <f t="shared" si="5"/>
        <v>23820.904999999999</v>
      </c>
      <c r="G87" s="497">
        <f>Ecrêtage!M81</f>
        <v>0</v>
      </c>
      <c r="H87" s="498">
        <f t="shared" si="6"/>
        <v>201519.81252386078</v>
      </c>
      <c r="I87" s="321">
        <f t="shared" si="7"/>
        <v>225340.71752386077</v>
      </c>
    </row>
    <row r="88" spans="1:9" s="35" customFormat="1" x14ac:dyDescent="0.25">
      <c r="A88" s="38">
        <f>Données!A82</f>
        <v>5533</v>
      </c>
      <c r="B88" s="548" t="str">
        <f>Données!B82</f>
        <v>Poliez-Pittet</v>
      </c>
      <c r="C88" s="31">
        <f>VPI!R82</f>
        <v>28012.381095890411</v>
      </c>
      <c r="D88" s="8">
        <f>Données!N82</f>
        <v>14127</v>
      </c>
      <c r="E88" s="236">
        <f>Données!O82+Données!P82+Données!R82</f>
        <v>110619.35</v>
      </c>
      <c r="F88" s="497">
        <f t="shared" si="5"/>
        <v>59547.775000000001</v>
      </c>
      <c r="G88" s="497">
        <f>Ecrêtage!M82</f>
        <v>0</v>
      </c>
      <c r="H88" s="498">
        <f t="shared" si="6"/>
        <v>326316.54219168378</v>
      </c>
      <c r="I88" s="321">
        <f t="shared" si="7"/>
        <v>385864.3171916838</v>
      </c>
    </row>
    <row r="89" spans="1:9" s="35" customFormat="1" x14ac:dyDescent="0.25">
      <c r="A89" s="38">
        <f>Données!A83</f>
        <v>5534</v>
      </c>
      <c r="B89" s="548" t="str">
        <f>Données!B83</f>
        <v>Rueyres</v>
      </c>
      <c r="C89" s="31">
        <f>VPI!R83</f>
        <v>15042.055228310503</v>
      </c>
      <c r="D89" s="8">
        <f>Données!N83</f>
        <v>22036.5</v>
      </c>
      <c r="E89" s="236">
        <f>Données!O83+Données!P83+Données!R83</f>
        <v>37607.399999999994</v>
      </c>
      <c r="F89" s="497">
        <f t="shared" si="5"/>
        <v>25414.649999999998</v>
      </c>
      <c r="G89" s="497">
        <f>Ecrêtage!M83</f>
        <v>5317.4650444611134</v>
      </c>
      <c r="H89" s="498">
        <f t="shared" si="6"/>
        <v>175225.07039855764</v>
      </c>
      <c r="I89" s="321">
        <f t="shared" si="7"/>
        <v>205957.18544301874</v>
      </c>
    </row>
    <row r="90" spans="1:9" s="35" customFormat="1" x14ac:dyDescent="0.25">
      <c r="A90" s="38">
        <f>Données!A84</f>
        <v>5535</v>
      </c>
      <c r="B90" s="548" t="str">
        <f>Données!B84</f>
        <v>Saint-Barthélemy</v>
      </c>
      <c r="C90" s="31">
        <f>VPI!R84</f>
        <v>25488.94373333333</v>
      </c>
      <c r="D90" s="8">
        <f>Données!N84</f>
        <v>51430.3</v>
      </c>
      <c r="E90" s="236">
        <f>Données!O84+Données!P84+Données!R84</f>
        <v>136336.85</v>
      </c>
      <c r="F90" s="497">
        <f t="shared" si="5"/>
        <v>83597.514999999999</v>
      </c>
      <c r="G90" s="497">
        <f>Ecrêtage!M84</f>
        <v>0</v>
      </c>
      <c r="H90" s="498">
        <f t="shared" si="6"/>
        <v>296920.99199664051</v>
      </c>
      <c r="I90" s="321">
        <f t="shared" si="7"/>
        <v>380518.50699664053</v>
      </c>
    </row>
    <row r="91" spans="1:9" s="35" customFormat="1" x14ac:dyDescent="0.25">
      <c r="A91" s="38">
        <f>Données!A85</f>
        <v>5537</v>
      </c>
      <c r="B91" s="548" t="str">
        <f>Données!B85</f>
        <v>Villars-le-Terroir</v>
      </c>
      <c r="C91" s="31">
        <f>VPI!R85</f>
        <v>39164.122763157902</v>
      </c>
      <c r="D91" s="8">
        <f>Données!N85</f>
        <v>0</v>
      </c>
      <c r="E91" s="236">
        <f>Données!O85+Données!P85+Données!R85</f>
        <v>129651.20000000001</v>
      </c>
      <c r="F91" s="497">
        <f t="shared" si="5"/>
        <v>64825.600000000006</v>
      </c>
      <c r="G91" s="497">
        <f>Ecrêtage!M85</f>
        <v>0</v>
      </c>
      <c r="H91" s="498">
        <f t="shared" si="6"/>
        <v>456223.30619795795</v>
      </c>
      <c r="I91" s="321">
        <f t="shared" si="7"/>
        <v>521048.90619795793</v>
      </c>
    </row>
    <row r="92" spans="1:9" s="35" customFormat="1" x14ac:dyDescent="0.25">
      <c r="A92" s="38">
        <f>Données!A86</f>
        <v>5539</v>
      </c>
      <c r="B92" s="548" t="str">
        <f>Données!B86</f>
        <v>Vuarrens</v>
      </c>
      <c r="C92" s="31">
        <f>VPI!R86</f>
        <v>34442.458945578233</v>
      </c>
      <c r="D92" s="8">
        <f>Données!N86</f>
        <v>18487.849999999999</v>
      </c>
      <c r="E92" s="236">
        <f>Données!O86+Données!P86+Données!R86</f>
        <v>201580.05</v>
      </c>
      <c r="F92" s="497">
        <f t="shared" si="5"/>
        <v>106336.37999999999</v>
      </c>
      <c r="G92" s="497">
        <f>Ecrêtage!M86</f>
        <v>0</v>
      </c>
      <c r="H92" s="498">
        <f t="shared" si="6"/>
        <v>401220.59132449003</v>
      </c>
      <c r="I92" s="321">
        <f t="shared" si="7"/>
        <v>507556.97132449003</v>
      </c>
    </row>
    <row r="93" spans="1:9" s="35" customFormat="1" x14ac:dyDescent="0.25">
      <c r="A93" s="38">
        <f>Données!A87</f>
        <v>5540</v>
      </c>
      <c r="B93" s="548" t="str">
        <f>Données!B87</f>
        <v>Montilliez</v>
      </c>
      <c r="C93" s="31">
        <f>VPI!R87</f>
        <v>67464.467689655183</v>
      </c>
      <c r="D93" s="8">
        <f>Données!N87</f>
        <v>6525.8</v>
      </c>
      <c r="E93" s="236">
        <f>Données!O87+Données!P87+Données!R87</f>
        <v>235980.34999999998</v>
      </c>
      <c r="F93" s="497">
        <f t="shared" si="5"/>
        <v>119947.91499999999</v>
      </c>
      <c r="G93" s="497">
        <f>Ecrêtage!M87</f>
        <v>0</v>
      </c>
      <c r="H93" s="498">
        <f t="shared" si="6"/>
        <v>785894.34228854463</v>
      </c>
      <c r="I93" s="321">
        <f t="shared" si="7"/>
        <v>905842.25728854467</v>
      </c>
    </row>
    <row r="94" spans="1:9" s="35" customFormat="1" x14ac:dyDescent="0.25">
      <c r="A94" s="38">
        <f>Données!A88</f>
        <v>5541</v>
      </c>
      <c r="B94" s="548" t="str">
        <f>Données!B88</f>
        <v>Goumoëns</v>
      </c>
      <c r="C94" s="31">
        <f>VPI!R88</f>
        <v>41726.211258278148</v>
      </c>
      <c r="D94" s="8">
        <f>Données!N88</f>
        <v>6812.1</v>
      </c>
      <c r="E94" s="236">
        <f>Données!O88+Données!P88+Données!R88</f>
        <v>271237.75</v>
      </c>
      <c r="F94" s="497">
        <f t="shared" si="5"/>
        <v>137662.505</v>
      </c>
      <c r="G94" s="497">
        <f>Ecrêtage!M88</f>
        <v>0</v>
      </c>
      <c r="H94" s="498">
        <f t="shared" si="6"/>
        <v>486069.10387059447</v>
      </c>
      <c r="I94" s="321">
        <f t="shared" si="7"/>
        <v>623731.60887059453</v>
      </c>
    </row>
    <row r="95" spans="1:9" s="35" customFormat="1" x14ac:dyDescent="0.25">
      <c r="A95" s="38">
        <f>Données!A89</f>
        <v>5551</v>
      </c>
      <c r="B95" s="548" t="str">
        <f>Données!B89</f>
        <v>Bonvillars</v>
      </c>
      <c r="C95" s="31">
        <f>VPI!R89</f>
        <v>18575.023035714283</v>
      </c>
      <c r="D95" s="8">
        <f>Données!N89</f>
        <v>4739.05</v>
      </c>
      <c r="E95" s="236">
        <f>Données!O89+Données!P89+Données!R89</f>
        <v>350352.5</v>
      </c>
      <c r="F95" s="497">
        <f t="shared" si="5"/>
        <v>176597.965</v>
      </c>
      <c r="G95" s="497">
        <f>Ecrêtage!M89</f>
        <v>0</v>
      </c>
      <c r="H95" s="498">
        <f t="shared" si="6"/>
        <v>216380.65209081402</v>
      </c>
      <c r="I95" s="321">
        <f t="shared" si="7"/>
        <v>392978.61709081405</v>
      </c>
    </row>
    <row r="96" spans="1:9" s="35" customFormat="1" x14ac:dyDescent="0.25">
      <c r="A96" s="38">
        <f>Données!A90</f>
        <v>5552</v>
      </c>
      <c r="B96" s="548" t="str">
        <f>Données!B90</f>
        <v>Bullet</v>
      </c>
      <c r="C96" s="31">
        <f>VPI!R90</f>
        <v>19038.952167832165</v>
      </c>
      <c r="D96" s="8">
        <f>Données!N90</f>
        <v>75308.75</v>
      </c>
      <c r="E96" s="236">
        <f>Données!O90+Données!P90+Données!R90</f>
        <v>117266.35</v>
      </c>
      <c r="F96" s="497">
        <f t="shared" si="5"/>
        <v>81225.8</v>
      </c>
      <c r="G96" s="497">
        <f>Ecrêtage!M90</f>
        <v>0</v>
      </c>
      <c r="H96" s="498">
        <f t="shared" si="6"/>
        <v>221784.96776453251</v>
      </c>
      <c r="I96" s="321">
        <f t="shared" si="7"/>
        <v>303010.76776453253</v>
      </c>
    </row>
    <row r="97" spans="1:9" s="35" customFormat="1" x14ac:dyDescent="0.25">
      <c r="A97" s="38">
        <f>Données!A91</f>
        <v>5553</v>
      </c>
      <c r="B97" s="548" t="str">
        <f>Données!B91</f>
        <v>Champagne</v>
      </c>
      <c r="C97" s="31">
        <f>VPI!R91</f>
        <v>38263.796923076923</v>
      </c>
      <c r="D97" s="8">
        <f>Données!N91</f>
        <v>163610.25</v>
      </c>
      <c r="E97" s="236">
        <f>Données!O91+Données!P91+Données!R91</f>
        <v>159660.5</v>
      </c>
      <c r="F97" s="497">
        <f t="shared" si="5"/>
        <v>128913.325</v>
      </c>
      <c r="G97" s="497">
        <f>Ecrêtage!M91</f>
        <v>0</v>
      </c>
      <c r="H97" s="498">
        <f t="shared" si="6"/>
        <v>445735.40036891191</v>
      </c>
      <c r="I97" s="321">
        <f t="shared" si="7"/>
        <v>574648.72536891187</v>
      </c>
    </row>
    <row r="98" spans="1:9" s="35" customFormat="1" x14ac:dyDescent="0.25">
      <c r="A98" s="38">
        <f>Données!A92</f>
        <v>5554</v>
      </c>
      <c r="B98" s="548" t="str">
        <f>Données!B92</f>
        <v>Concise</v>
      </c>
      <c r="C98" s="31">
        <f>VPI!R92</f>
        <v>33907.166000000005</v>
      </c>
      <c r="D98" s="8">
        <f>Données!N92</f>
        <v>12823.55</v>
      </c>
      <c r="E98" s="236">
        <f>Données!O92+Données!P92+Données!R92</f>
        <v>259569.2</v>
      </c>
      <c r="F98" s="497">
        <f t="shared" si="5"/>
        <v>133631.66500000001</v>
      </c>
      <c r="G98" s="497">
        <f>Ecrêtage!M92</f>
        <v>0</v>
      </c>
      <c r="H98" s="498">
        <f t="shared" si="6"/>
        <v>394984.95778577903</v>
      </c>
      <c r="I98" s="321">
        <f t="shared" si="7"/>
        <v>528616.62278577907</v>
      </c>
    </row>
    <row r="99" spans="1:9" s="35" customFormat="1" x14ac:dyDescent="0.25">
      <c r="A99" s="38">
        <f>Données!A93</f>
        <v>5555</v>
      </c>
      <c r="B99" s="548" t="str">
        <f>Données!B93</f>
        <v>Corcelles-près-Concise</v>
      </c>
      <c r="C99" s="31">
        <f>VPI!R93</f>
        <v>13425.201594202899</v>
      </c>
      <c r="D99" s="8">
        <f>Données!N93</f>
        <v>9002.75</v>
      </c>
      <c r="E99" s="236">
        <f>Données!O93+Données!P93+Données!R93</f>
        <v>25554.55</v>
      </c>
      <c r="F99" s="497">
        <f t="shared" si="5"/>
        <v>15478.099999999999</v>
      </c>
      <c r="G99" s="497">
        <f>Ecrêtage!M93</f>
        <v>0</v>
      </c>
      <c r="H99" s="498">
        <f t="shared" si="6"/>
        <v>156390.3242444917</v>
      </c>
      <c r="I99" s="321">
        <f t="shared" si="7"/>
        <v>171868.4242444917</v>
      </c>
    </row>
    <row r="100" spans="1:9" s="35" customFormat="1" x14ac:dyDescent="0.25">
      <c r="A100" s="38">
        <f>Données!A94</f>
        <v>5556</v>
      </c>
      <c r="B100" s="548" t="str">
        <f>Données!B94</f>
        <v>Fiez</v>
      </c>
      <c r="C100" s="31">
        <f>VPI!R94</f>
        <v>13304.241787439612</v>
      </c>
      <c r="D100" s="8">
        <f>Données!N94</f>
        <v>0</v>
      </c>
      <c r="E100" s="236">
        <f>Données!O94+Données!P94+Données!R94</f>
        <v>123237.95000000001</v>
      </c>
      <c r="F100" s="497">
        <f t="shared" si="5"/>
        <v>61618.975000000006</v>
      </c>
      <c r="G100" s="497">
        <f>Ecrêtage!M94</f>
        <v>0</v>
      </c>
      <c r="H100" s="498">
        <f t="shared" si="6"/>
        <v>154981.262096149</v>
      </c>
      <c r="I100" s="321">
        <f t="shared" si="7"/>
        <v>216600.23709614901</v>
      </c>
    </row>
    <row r="101" spans="1:9" s="35" customFormat="1" x14ac:dyDescent="0.25">
      <c r="A101" s="38">
        <f>Données!A95</f>
        <v>5557</v>
      </c>
      <c r="B101" s="548" t="str">
        <f>Données!B95</f>
        <v>Fontaines-sur-Grandson</v>
      </c>
      <c r="C101" s="31">
        <f>VPI!R95</f>
        <v>5098.7534782608691</v>
      </c>
      <c r="D101" s="8">
        <f>Données!N95</f>
        <v>0</v>
      </c>
      <c r="E101" s="236">
        <f>Données!O95+Données!P95+Données!R95</f>
        <v>17748.350000000002</v>
      </c>
      <c r="F101" s="497">
        <f t="shared" si="5"/>
        <v>8874.1750000000011</v>
      </c>
      <c r="G101" s="497">
        <f>Ecrêtage!M95</f>
        <v>0</v>
      </c>
      <c r="H101" s="498">
        <f t="shared" si="6"/>
        <v>59395.436568510711</v>
      </c>
      <c r="I101" s="321">
        <f t="shared" si="7"/>
        <v>68269.611568510707</v>
      </c>
    </row>
    <row r="102" spans="1:9" s="35" customFormat="1" x14ac:dyDescent="0.25">
      <c r="A102" s="38">
        <f>Données!A96</f>
        <v>5559</v>
      </c>
      <c r="B102" s="548" t="str">
        <f>Données!B96</f>
        <v>Giez</v>
      </c>
      <c r="C102" s="31">
        <f>VPI!R96</f>
        <v>21011.030606060605</v>
      </c>
      <c r="D102" s="8">
        <f>Données!N96</f>
        <v>6024.7</v>
      </c>
      <c r="E102" s="236">
        <f>Données!O96+Données!P96+Données!R96</f>
        <v>120160.05</v>
      </c>
      <c r="F102" s="497">
        <f t="shared" si="5"/>
        <v>61887.434999999998</v>
      </c>
      <c r="G102" s="497">
        <f>Ecrêtage!M96</f>
        <v>0</v>
      </c>
      <c r="H102" s="498">
        <f t="shared" si="6"/>
        <v>244757.73165385035</v>
      </c>
      <c r="I102" s="321">
        <f t="shared" si="7"/>
        <v>306645.16665385035</v>
      </c>
    </row>
    <row r="103" spans="1:9" s="35" customFormat="1" x14ac:dyDescent="0.25">
      <c r="A103" s="38">
        <f>Données!A97</f>
        <v>5560</v>
      </c>
      <c r="B103" s="548" t="str">
        <f>Données!B97</f>
        <v>Grandevent</v>
      </c>
      <c r="C103" s="31">
        <f>VPI!R97</f>
        <v>8996.1449295774655</v>
      </c>
      <c r="D103" s="8">
        <f>Données!N97</f>
        <v>0</v>
      </c>
      <c r="E103" s="236">
        <f>Données!O97+Données!P97+Données!R97</f>
        <v>53297</v>
      </c>
      <c r="F103" s="497">
        <f t="shared" si="5"/>
        <v>26648.5</v>
      </c>
      <c r="G103" s="497">
        <f>Ecrêtage!M97</f>
        <v>0</v>
      </c>
      <c r="H103" s="498">
        <f t="shared" si="6"/>
        <v>104796.19338413316</v>
      </c>
      <c r="I103" s="321">
        <f t="shared" si="7"/>
        <v>131444.69338413316</v>
      </c>
    </row>
    <row r="104" spans="1:9" s="35" customFormat="1" x14ac:dyDescent="0.25">
      <c r="A104" s="38">
        <f>Données!A98</f>
        <v>5561</v>
      </c>
      <c r="B104" s="548" t="str">
        <f>Données!B98</f>
        <v>Grandson</v>
      </c>
      <c r="C104" s="31">
        <f>VPI!R98</f>
        <v>132376.08594202899</v>
      </c>
      <c r="D104" s="8">
        <f>Données!N98</f>
        <v>389122</v>
      </c>
      <c r="E104" s="236">
        <f>Données!O98+Données!P98+Données!R98</f>
        <v>649969.55000000005</v>
      </c>
      <c r="F104" s="497">
        <f t="shared" si="5"/>
        <v>441721.375</v>
      </c>
      <c r="G104" s="497">
        <f>Ecrêtage!M98</f>
        <v>0</v>
      </c>
      <c r="H104" s="498">
        <f t="shared" si="6"/>
        <v>1542050.5127930471</v>
      </c>
      <c r="I104" s="321">
        <f t="shared" si="7"/>
        <v>1983771.8877930471</v>
      </c>
    </row>
    <row r="105" spans="1:9" s="35" customFormat="1" x14ac:dyDescent="0.25">
      <c r="A105" s="38">
        <f>Données!A99</f>
        <v>5562</v>
      </c>
      <c r="B105" s="548" t="str">
        <f>Données!B99</f>
        <v>Mauborget</v>
      </c>
      <c r="C105" s="31">
        <f>VPI!R99</f>
        <v>4559.8505476190467</v>
      </c>
      <c r="D105" s="8">
        <f>Données!N99</f>
        <v>0</v>
      </c>
      <c r="E105" s="236">
        <f>Données!O99+Données!P99+Données!R99</f>
        <v>8098</v>
      </c>
      <c r="F105" s="497">
        <f t="shared" si="5"/>
        <v>4049</v>
      </c>
      <c r="G105" s="497">
        <f>Ecrêtage!M99</f>
        <v>0</v>
      </c>
      <c r="H105" s="498">
        <f t="shared" si="6"/>
        <v>53117.750273224556</v>
      </c>
      <c r="I105" s="321">
        <f t="shared" si="7"/>
        <v>57166.750273224556</v>
      </c>
    </row>
    <row r="106" spans="1:9" s="35" customFormat="1" x14ac:dyDescent="0.25">
      <c r="A106" s="38">
        <f>Données!A100</f>
        <v>5563</v>
      </c>
      <c r="B106" s="548" t="str">
        <f>Données!B100</f>
        <v>Mutrux</v>
      </c>
      <c r="C106" s="31">
        <f>VPI!R100</f>
        <v>2282.3142499999999</v>
      </c>
      <c r="D106" s="8">
        <f>Données!N100</f>
        <v>0</v>
      </c>
      <c r="E106" s="236">
        <f>Données!O100+Données!P100+Données!R100</f>
        <v>61694.75</v>
      </c>
      <c r="F106" s="497">
        <f t="shared" si="5"/>
        <v>30847.375</v>
      </c>
      <c r="G106" s="497">
        <f>Ecrêtage!M100</f>
        <v>0</v>
      </c>
      <c r="H106" s="498">
        <f t="shared" si="6"/>
        <v>26586.704347102666</v>
      </c>
      <c r="I106" s="321">
        <f t="shared" si="7"/>
        <v>57434.07934710267</v>
      </c>
    </row>
    <row r="107" spans="1:9" s="35" customFormat="1" x14ac:dyDescent="0.25">
      <c r="A107" s="38">
        <f>Données!A101</f>
        <v>5564</v>
      </c>
      <c r="B107" s="548" t="str">
        <f>Données!B101</f>
        <v>Novalles</v>
      </c>
      <c r="C107" s="31">
        <f>VPI!R101</f>
        <v>2548.8725328947371</v>
      </c>
      <c r="D107" s="8">
        <f>Données!N101</f>
        <v>0</v>
      </c>
      <c r="E107" s="236">
        <f>Données!O101+Données!P101+Données!R101</f>
        <v>0</v>
      </c>
      <c r="F107" s="497">
        <f t="shared" si="5"/>
        <v>0</v>
      </c>
      <c r="G107" s="497">
        <f>Ecrêtage!M101</f>
        <v>0</v>
      </c>
      <c r="H107" s="498">
        <f t="shared" si="6"/>
        <v>29691.8447801494</v>
      </c>
      <c r="I107" s="321">
        <f t="shared" si="7"/>
        <v>29691.8447801494</v>
      </c>
    </row>
    <row r="108" spans="1:9" s="35" customFormat="1" x14ac:dyDescent="0.25">
      <c r="A108" s="38">
        <f>Données!A102</f>
        <v>5565</v>
      </c>
      <c r="B108" s="548" t="str">
        <f>Données!B102</f>
        <v>Onnens</v>
      </c>
      <c r="C108" s="31">
        <f>VPI!R102</f>
        <v>11658.700944881888</v>
      </c>
      <c r="D108" s="8">
        <f>Données!N102</f>
        <v>33324.1</v>
      </c>
      <c r="E108" s="236">
        <f>Données!O102+Données!P102+Données!R102</f>
        <v>57305.7</v>
      </c>
      <c r="F108" s="497">
        <f t="shared" si="5"/>
        <v>38650.080000000002</v>
      </c>
      <c r="G108" s="497">
        <f>Ecrêtage!M102</f>
        <v>0</v>
      </c>
      <c r="H108" s="498">
        <f t="shared" si="6"/>
        <v>135812.33832845817</v>
      </c>
      <c r="I108" s="321">
        <f t="shared" si="7"/>
        <v>174462.41832845815</v>
      </c>
    </row>
    <row r="109" spans="1:9" s="35" customFormat="1" x14ac:dyDescent="0.25">
      <c r="A109" s="38">
        <f>Données!A103</f>
        <v>5566</v>
      </c>
      <c r="B109" s="548" t="str">
        <f>Données!B103</f>
        <v>Provence</v>
      </c>
      <c r="C109" s="31">
        <f>VPI!R103</f>
        <v>8528.9197942386818</v>
      </c>
      <c r="D109" s="8">
        <f>Données!N103</f>
        <v>14030.45</v>
      </c>
      <c r="E109" s="236">
        <f>Données!O103+Données!P103+Données!R103</f>
        <v>69454.150000000009</v>
      </c>
      <c r="F109" s="497">
        <f t="shared" si="5"/>
        <v>38936.210000000006</v>
      </c>
      <c r="G109" s="497">
        <f>Ecrêtage!M103</f>
        <v>0</v>
      </c>
      <c r="H109" s="498">
        <f t="shared" si="6"/>
        <v>99353.482531853602</v>
      </c>
      <c r="I109" s="321">
        <f t="shared" si="7"/>
        <v>138289.69253185362</v>
      </c>
    </row>
    <row r="110" spans="1:9" s="35" customFormat="1" x14ac:dyDescent="0.25">
      <c r="A110" s="38">
        <f>Données!A104</f>
        <v>5568</v>
      </c>
      <c r="B110" s="548" t="str">
        <f>Données!B104</f>
        <v>Sainte-Croix</v>
      </c>
      <c r="C110" s="31">
        <f>VPI!R104</f>
        <v>106004.96942857141</v>
      </c>
      <c r="D110" s="8">
        <f>Données!N104</f>
        <v>2185427.75</v>
      </c>
      <c r="E110" s="236">
        <f>Données!O104+Données!P104+Données!R104</f>
        <v>842576.4</v>
      </c>
      <c r="F110" s="497">
        <f t="shared" si="5"/>
        <v>1076916.5249999999</v>
      </c>
      <c r="G110" s="497">
        <f>Ecrêtage!M104</f>
        <v>0</v>
      </c>
      <c r="H110" s="498">
        <f t="shared" si="6"/>
        <v>1234853.080166802</v>
      </c>
      <c r="I110" s="321">
        <f t="shared" si="7"/>
        <v>2311769.6051668022</v>
      </c>
    </row>
    <row r="111" spans="1:9" s="35" customFormat="1" x14ac:dyDescent="0.25">
      <c r="A111" s="38">
        <f>Données!A105</f>
        <v>5571</v>
      </c>
      <c r="B111" s="548" t="str">
        <f>Données!B105</f>
        <v>Tévenon</v>
      </c>
      <c r="C111" s="31">
        <f>VPI!R105</f>
        <v>25907.008578088578</v>
      </c>
      <c r="D111" s="8">
        <f>Données!N105</f>
        <v>51701.55</v>
      </c>
      <c r="E111" s="236">
        <f>Données!O105+Données!P105+Données!R105</f>
        <v>82478.75</v>
      </c>
      <c r="F111" s="497">
        <f t="shared" si="5"/>
        <v>56749.84</v>
      </c>
      <c r="G111" s="497">
        <f>Ecrêtage!M105</f>
        <v>0</v>
      </c>
      <c r="H111" s="498">
        <f t="shared" si="6"/>
        <v>301791.03407144471</v>
      </c>
      <c r="I111" s="321">
        <f t="shared" si="7"/>
        <v>358540.87407144473</v>
      </c>
    </row>
    <row r="112" spans="1:9" s="35" customFormat="1" x14ac:dyDescent="0.25">
      <c r="A112" s="38">
        <f>Données!A106</f>
        <v>5581</v>
      </c>
      <c r="B112" s="548" t="str">
        <f>Données!B106</f>
        <v>Belmont-sur-Lausanne</v>
      </c>
      <c r="C112" s="31">
        <f>VPI!R106</f>
        <v>233711.86319444442</v>
      </c>
      <c r="D112" s="8">
        <f>Données!N106</f>
        <v>7195.2</v>
      </c>
      <c r="E112" s="236">
        <f>Données!O106+Données!P106+Données!R106</f>
        <v>1234613.1500000001</v>
      </c>
      <c r="F112" s="497">
        <f t="shared" si="5"/>
        <v>619465.13500000013</v>
      </c>
      <c r="G112" s="497">
        <f>Ecrêtage!M106</f>
        <v>764593.87446955626</v>
      </c>
      <c r="H112" s="498">
        <f t="shared" si="6"/>
        <v>2722512.1208270066</v>
      </c>
      <c r="I112" s="321">
        <f t="shared" si="7"/>
        <v>4106571.1302965633</v>
      </c>
    </row>
    <row r="113" spans="1:9" s="35" customFormat="1" x14ac:dyDescent="0.25">
      <c r="A113" s="38">
        <f>Données!A107</f>
        <v>5582</v>
      </c>
      <c r="B113" s="548" t="str">
        <f>Données!B107</f>
        <v>Cheseaux-sur-Lausanne</v>
      </c>
      <c r="C113" s="31">
        <f>VPI!R107</f>
        <v>170428.79082191776</v>
      </c>
      <c r="D113" s="8">
        <f>Données!N107</f>
        <v>473500.2</v>
      </c>
      <c r="E113" s="236">
        <f>Données!O107+Données!P107+Données!R107</f>
        <v>607803.44999999995</v>
      </c>
      <c r="F113" s="497">
        <f t="shared" si="5"/>
        <v>445951.78499999997</v>
      </c>
      <c r="G113" s="497">
        <f>Ecrêtage!M107</f>
        <v>0</v>
      </c>
      <c r="H113" s="498">
        <f t="shared" si="6"/>
        <v>1985326.8995785888</v>
      </c>
      <c r="I113" s="321">
        <f t="shared" si="7"/>
        <v>2431278.6845785887</v>
      </c>
    </row>
    <row r="114" spans="1:9" s="35" customFormat="1" x14ac:dyDescent="0.25">
      <c r="A114" s="38">
        <f>Données!A108</f>
        <v>5583</v>
      </c>
      <c r="B114" s="548" t="str">
        <f>Données!B108</f>
        <v>Crissier</v>
      </c>
      <c r="C114" s="31">
        <f>VPI!R108</f>
        <v>340496.54456692917</v>
      </c>
      <c r="D114" s="8">
        <f>Données!N108</f>
        <v>2567265.7999999998</v>
      </c>
      <c r="E114" s="236">
        <f>Données!O108+Données!P108+Données!R108</f>
        <v>2876619.5</v>
      </c>
      <c r="F114" s="497">
        <f t="shared" si="5"/>
        <v>2208489.4899999998</v>
      </c>
      <c r="G114" s="497">
        <f>Ecrêtage!M108</f>
        <v>0</v>
      </c>
      <c r="H114" s="498">
        <f t="shared" si="6"/>
        <v>3966448.0741909281</v>
      </c>
      <c r="I114" s="321">
        <f t="shared" si="7"/>
        <v>6174937.5641909279</v>
      </c>
    </row>
    <row r="115" spans="1:9" s="35" customFormat="1" x14ac:dyDescent="0.25">
      <c r="A115" s="38">
        <f>Données!A109</f>
        <v>5584</v>
      </c>
      <c r="B115" s="548" t="str">
        <f>Données!B109</f>
        <v>Epalinges</v>
      </c>
      <c r="C115" s="31">
        <f>VPI!R109</f>
        <v>489766.22341085278</v>
      </c>
      <c r="D115" s="8">
        <f>Données!N109</f>
        <v>351357.3</v>
      </c>
      <c r="E115" s="236">
        <f>Données!O109+Données!P109+Données!R109</f>
        <v>4706387.9000000004</v>
      </c>
      <c r="F115" s="497">
        <f t="shared" si="5"/>
        <v>2458601.14</v>
      </c>
      <c r="G115" s="497">
        <f>Ecrêtage!M109</f>
        <v>176483.16068964134</v>
      </c>
      <c r="H115" s="498">
        <f t="shared" si="6"/>
        <v>5705292.2405498615</v>
      </c>
      <c r="I115" s="321">
        <f t="shared" si="7"/>
        <v>8340376.5412395028</v>
      </c>
    </row>
    <row r="116" spans="1:9" s="35" customFormat="1" x14ac:dyDescent="0.25">
      <c r="A116" s="38">
        <f>Données!A110</f>
        <v>5585</v>
      </c>
      <c r="B116" s="548" t="str">
        <f>Données!B110</f>
        <v>Jouxtens-Mézery</v>
      </c>
      <c r="C116" s="31">
        <f>VPI!R110</f>
        <v>252946.52254237281</v>
      </c>
      <c r="D116" s="8">
        <f>Données!N110</f>
        <v>770.1</v>
      </c>
      <c r="E116" s="236">
        <f>Données!O110+Données!P110+Données!R110</f>
        <v>735313.55</v>
      </c>
      <c r="F116" s="497">
        <f t="shared" si="5"/>
        <v>367887.80500000005</v>
      </c>
      <c r="G116" s="497">
        <f>Ecrêtage!M110</f>
        <v>4881768.2063443149</v>
      </c>
      <c r="H116" s="498">
        <f t="shared" si="6"/>
        <v>2946576.8837318551</v>
      </c>
      <c r="I116" s="321">
        <f t="shared" si="7"/>
        <v>8196232.8950761706</v>
      </c>
    </row>
    <row r="117" spans="1:9" s="35" customFormat="1" x14ac:dyDescent="0.25">
      <c r="A117" s="38">
        <f>Données!A111</f>
        <v>5586</v>
      </c>
      <c r="B117" s="548" t="str">
        <f>Données!B111</f>
        <v>Lausanne</v>
      </c>
      <c r="C117" s="31">
        <f>VPI!R111</f>
        <v>6671451.3923142245</v>
      </c>
      <c r="D117" s="8">
        <f>Données!N111</f>
        <v>13587309.25</v>
      </c>
      <c r="E117" s="236">
        <f>Données!O111+Données!P111+Données!R111</f>
        <v>38255611.700000003</v>
      </c>
      <c r="F117" s="497">
        <f t="shared" si="5"/>
        <v>23203998.625</v>
      </c>
      <c r="G117" s="497">
        <f>Ecrêtage!M111</f>
        <v>0</v>
      </c>
      <c r="H117" s="498">
        <f t="shared" si="6"/>
        <v>77715812.243438751</v>
      </c>
      <c r="I117" s="321">
        <f t="shared" si="7"/>
        <v>100919810.86843875</v>
      </c>
    </row>
    <row r="118" spans="1:9" s="35" customFormat="1" x14ac:dyDescent="0.25">
      <c r="A118" s="38">
        <f>Données!A112</f>
        <v>5587</v>
      </c>
      <c r="B118" s="548" t="str">
        <f>Données!B112</f>
        <v>Le Mont-sur-Lausanne</v>
      </c>
      <c r="C118" s="31">
        <f>VPI!R112</f>
        <v>484050.33068027202</v>
      </c>
      <c r="D118" s="8">
        <f>Données!N112</f>
        <v>464624.55</v>
      </c>
      <c r="E118" s="236">
        <f>Données!O112+Données!P112+Données!R112</f>
        <v>4417103.9499999993</v>
      </c>
      <c r="F118" s="497">
        <f t="shared" si="5"/>
        <v>2347939.34</v>
      </c>
      <c r="G118" s="497">
        <f>Ecrêtage!M112</f>
        <v>492358.36121278611</v>
      </c>
      <c r="H118" s="498">
        <f t="shared" si="6"/>
        <v>5638707.7418956095</v>
      </c>
      <c r="I118" s="321">
        <f t="shared" si="7"/>
        <v>8479005.4431083947</v>
      </c>
    </row>
    <row r="119" spans="1:9" s="35" customFormat="1" x14ac:dyDescent="0.25">
      <c r="A119" s="38">
        <f>Données!A113</f>
        <v>5588</v>
      </c>
      <c r="B119" s="548" t="str">
        <f>Données!B113</f>
        <v>Paudex</v>
      </c>
      <c r="C119" s="31">
        <f>VPI!R113</f>
        <v>137556.51114930178</v>
      </c>
      <c r="D119" s="8">
        <f>Données!N113</f>
        <v>15604.6</v>
      </c>
      <c r="E119" s="236">
        <f>Données!O113+Données!P113+Données!R113</f>
        <v>578630.35</v>
      </c>
      <c r="F119" s="497">
        <f t="shared" si="5"/>
        <v>293996.55499999999</v>
      </c>
      <c r="G119" s="497">
        <f>Ecrêtage!M113</f>
        <v>1313745.3461991784</v>
      </c>
      <c r="H119" s="498">
        <f t="shared" si="6"/>
        <v>1602397.3442506518</v>
      </c>
      <c r="I119" s="321">
        <f t="shared" si="7"/>
        <v>3210139.2454498298</v>
      </c>
    </row>
    <row r="120" spans="1:9" s="35" customFormat="1" x14ac:dyDescent="0.25">
      <c r="A120" s="38">
        <f>Données!A114</f>
        <v>5589</v>
      </c>
      <c r="B120" s="548" t="str">
        <f>Données!B114</f>
        <v>Prilly</v>
      </c>
      <c r="C120" s="31">
        <f>VPI!R114</f>
        <v>404219.10002122016</v>
      </c>
      <c r="D120" s="8">
        <f>Données!N114</f>
        <v>1184545.2</v>
      </c>
      <c r="E120" s="236">
        <f>Données!O114+Données!P114+Données!R114</f>
        <v>2778237.25</v>
      </c>
      <c r="F120" s="497">
        <f t="shared" si="5"/>
        <v>1744482.1850000001</v>
      </c>
      <c r="G120" s="497">
        <f>Ecrêtage!M114</f>
        <v>0</v>
      </c>
      <c r="H120" s="498">
        <f t="shared" si="6"/>
        <v>4708752.8387977695</v>
      </c>
      <c r="I120" s="321">
        <f t="shared" si="7"/>
        <v>6453235.0237977691</v>
      </c>
    </row>
    <row r="121" spans="1:9" s="35" customFormat="1" x14ac:dyDescent="0.25">
      <c r="A121" s="38">
        <f>Données!A115</f>
        <v>5590</v>
      </c>
      <c r="B121" s="548" t="str">
        <f>Données!B115</f>
        <v>Pully</v>
      </c>
      <c r="C121" s="31">
        <f>VPI!R115</f>
        <v>1396472.1616393442</v>
      </c>
      <c r="D121" s="8">
        <f>Données!N115</f>
        <v>201845.05</v>
      </c>
      <c r="E121" s="236">
        <f>Données!O115+Données!P115+Données!R115</f>
        <v>8769257.1000000015</v>
      </c>
      <c r="F121" s="497">
        <f t="shared" si="5"/>
        <v>4445182.0650000004</v>
      </c>
      <c r="G121" s="497">
        <f>Ecrêtage!M115</f>
        <v>7666811.6337260501</v>
      </c>
      <c r="H121" s="498">
        <f t="shared" si="6"/>
        <v>16267519.904616382</v>
      </c>
      <c r="I121" s="321">
        <f t="shared" si="7"/>
        <v>28379513.603342433</v>
      </c>
    </row>
    <row r="122" spans="1:9" s="35" customFormat="1" x14ac:dyDescent="0.25">
      <c r="A122" s="38">
        <f>Données!A116</f>
        <v>5591</v>
      </c>
      <c r="B122" s="548" t="str">
        <f>Données!B116</f>
        <v>Renens</v>
      </c>
      <c r="C122" s="31">
        <f>VPI!R116</f>
        <v>592907.73419294995</v>
      </c>
      <c r="D122" s="8">
        <f>Données!N116</f>
        <v>2707366.5</v>
      </c>
      <c r="E122" s="236">
        <f>Données!O116+Données!P116+Données!R116</f>
        <v>4271756.75</v>
      </c>
      <c r="F122" s="497">
        <f t="shared" si="5"/>
        <v>2948088.3250000002</v>
      </c>
      <c r="G122" s="497">
        <f>Ecrêtage!M116</f>
        <v>0</v>
      </c>
      <c r="H122" s="498">
        <f t="shared" si="6"/>
        <v>6906788.8587640794</v>
      </c>
      <c r="I122" s="321">
        <f t="shared" si="7"/>
        <v>9854877.1837640796</v>
      </c>
    </row>
    <row r="123" spans="1:9" s="35" customFormat="1" x14ac:dyDescent="0.25">
      <c r="A123" s="38">
        <f>Données!A117</f>
        <v>5592</v>
      </c>
      <c r="B123" s="548" t="str">
        <f>Données!B117</f>
        <v>Romanel-sur-Lausanne</v>
      </c>
      <c r="C123" s="31">
        <f>VPI!R117</f>
        <v>113604.64354609928</v>
      </c>
      <c r="D123" s="8">
        <f>Données!N117</f>
        <v>267061.65000000002</v>
      </c>
      <c r="E123" s="236">
        <f>Données!O117+Données!P117+Données!R117</f>
        <v>1407768.5</v>
      </c>
      <c r="F123" s="497">
        <f t="shared" si="5"/>
        <v>784002.745</v>
      </c>
      <c r="G123" s="497">
        <f>Ecrêtage!M117</f>
        <v>0</v>
      </c>
      <c r="H123" s="498">
        <f t="shared" si="6"/>
        <v>1323381.7693677051</v>
      </c>
      <c r="I123" s="321">
        <f t="shared" si="7"/>
        <v>2107384.5143677052</v>
      </c>
    </row>
    <row r="124" spans="1:9" s="35" customFormat="1" x14ac:dyDescent="0.25">
      <c r="A124" s="38">
        <f>Données!A118</f>
        <v>5601</v>
      </c>
      <c r="B124" s="548" t="str">
        <f>Données!B118</f>
        <v>Chexbres</v>
      </c>
      <c r="C124" s="31">
        <f>VPI!R118</f>
        <v>106015.29511111112</v>
      </c>
      <c r="D124" s="8">
        <f>Données!N118</f>
        <v>66937.55</v>
      </c>
      <c r="E124" s="236">
        <f>Données!O118+Données!P118+Données!R118</f>
        <v>879301.3</v>
      </c>
      <c r="F124" s="497">
        <f t="shared" si="5"/>
        <v>459731.91500000004</v>
      </c>
      <c r="G124" s="497">
        <f>Ecrêtage!M118</f>
        <v>0</v>
      </c>
      <c r="H124" s="498">
        <f t="shared" si="6"/>
        <v>1234973.3641587482</v>
      </c>
      <c r="I124" s="321">
        <f t="shared" si="7"/>
        <v>1694705.2791587482</v>
      </c>
    </row>
    <row r="125" spans="1:9" s="35" customFormat="1" x14ac:dyDescent="0.25">
      <c r="A125" s="38">
        <f>Données!A119</f>
        <v>5604</v>
      </c>
      <c r="B125" s="548" t="str">
        <f>Données!B119</f>
        <v>Forel (Lavaux)</v>
      </c>
      <c r="C125" s="31">
        <f>VPI!R119</f>
        <v>70961.315942029003</v>
      </c>
      <c r="D125" s="8">
        <f>Données!N119</f>
        <v>123228.75</v>
      </c>
      <c r="E125" s="236">
        <f>Données!O119+Données!P119+Données!R119</f>
        <v>382898.5</v>
      </c>
      <c r="F125" s="497">
        <f t="shared" si="5"/>
        <v>228417.875</v>
      </c>
      <c r="G125" s="497">
        <f>Ecrêtage!M119</f>
        <v>0</v>
      </c>
      <c r="H125" s="498">
        <f t="shared" si="6"/>
        <v>826629.16687834216</v>
      </c>
      <c r="I125" s="321">
        <f t="shared" si="7"/>
        <v>1055047.0418783422</v>
      </c>
    </row>
    <row r="126" spans="1:9" s="35" customFormat="1" x14ac:dyDescent="0.25">
      <c r="A126" s="38">
        <f>Données!A120</f>
        <v>5606</v>
      </c>
      <c r="B126" s="548" t="str">
        <f>Données!B120</f>
        <v>Lutry</v>
      </c>
      <c r="C126" s="31">
        <f>VPI!R120</f>
        <v>1212171.2253174603</v>
      </c>
      <c r="D126" s="8">
        <f>Données!N120</f>
        <v>156322.04999999999</v>
      </c>
      <c r="E126" s="236">
        <f>Données!O120+Données!P120+Données!R120</f>
        <v>6355844.6500000004</v>
      </c>
      <c r="F126" s="497">
        <f t="shared" si="5"/>
        <v>3224818.9400000004</v>
      </c>
      <c r="G126" s="497">
        <f>Ecrêtage!M120</f>
        <v>13944021.31076413</v>
      </c>
      <c r="H126" s="498">
        <f t="shared" si="6"/>
        <v>14120596.226212271</v>
      </c>
      <c r="I126" s="321">
        <f t="shared" si="7"/>
        <v>31289436.476976402</v>
      </c>
    </row>
    <row r="127" spans="1:9" s="35" customFormat="1" x14ac:dyDescent="0.25">
      <c r="A127" s="38">
        <f>Données!A121</f>
        <v>5607</v>
      </c>
      <c r="B127" s="548" t="str">
        <f>Données!B121</f>
        <v>Puidoux</v>
      </c>
      <c r="C127" s="31">
        <f>VPI!R121</f>
        <v>117496.04099650904</v>
      </c>
      <c r="D127" s="8">
        <f>Données!N121</f>
        <v>235821.95</v>
      </c>
      <c r="E127" s="236">
        <f>Données!O121+Données!P121+Données!R121</f>
        <v>1212441.5999999999</v>
      </c>
      <c r="F127" s="497">
        <f t="shared" si="5"/>
        <v>676967.38499999989</v>
      </c>
      <c r="G127" s="497">
        <f>Ecrêtage!M121</f>
        <v>0</v>
      </c>
      <c r="H127" s="498">
        <f t="shared" si="6"/>
        <v>1368712.7019994026</v>
      </c>
      <c r="I127" s="321">
        <f t="shared" si="7"/>
        <v>2045680.0869994024</v>
      </c>
    </row>
    <row r="128" spans="1:9" s="35" customFormat="1" x14ac:dyDescent="0.25">
      <c r="A128" s="38">
        <f>Données!A122</f>
        <v>5609</v>
      </c>
      <c r="B128" s="548" t="str">
        <f>Données!B122</f>
        <v>Rivaz</v>
      </c>
      <c r="C128" s="31">
        <f>VPI!R122</f>
        <v>14930.201612903227</v>
      </c>
      <c r="D128" s="8">
        <f>Données!N122</f>
        <v>0</v>
      </c>
      <c r="E128" s="236">
        <f>Données!O122+Données!P122+Données!R122</f>
        <v>141174.34999999998</v>
      </c>
      <c r="F128" s="497">
        <f t="shared" si="5"/>
        <v>70587.174999999988</v>
      </c>
      <c r="G128" s="497">
        <f>Ecrêtage!M122</f>
        <v>0</v>
      </c>
      <c r="H128" s="498">
        <f t="shared" si="6"/>
        <v>173922.08637565729</v>
      </c>
      <c r="I128" s="321">
        <f t="shared" si="7"/>
        <v>244509.26137565728</v>
      </c>
    </row>
    <row r="129" spans="1:9" s="35" customFormat="1" x14ac:dyDescent="0.25">
      <c r="A129" s="38">
        <f>Données!A123</f>
        <v>5610</v>
      </c>
      <c r="B129" s="548" t="str">
        <f>Données!B123</f>
        <v>St-Saphorin (Lavaux)</v>
      </c>
      <c r="C129" s="31">
        <f>VPI!R123</f>
        <v>21326.679629629627</v>
      </c>
      <c r="D129" s="8">
        <f>Données!N123</f>
        <v>0</v>
      </c>
      <c r="E129" s="236">
        <f>Données!O123+Données!P123+Données!R123</f>
        <v>75011.350000000006</v>
      </c>
      <c r="F129" s="497">
        <f t="shared" si="5"/>
        <v>37505.675000000003</v>
      </c>
      <c r="G129" s="497">
        <f>Ecrêtage!M123</f>
        <v>26684.678955417567</v>
      </c>
      <c r="H129" s="498">
        <f t="shared" si="6"/>
        <v>248434.73067669797</v>
      </c>
      <c r="I129" s="321">
        <f t="shared" si="7"/>
        <v>312625.08463211555</v>
      </c>
    </row>
    <row r="130" spans="1:9" s="35" customFormat="1" x14ac:dyDescent="0.25">
      <c r="A130" s="38">
        <f>Données!A124</f>
        <v>5611</v>
      </c>
      <c r="B130" s="548" t="str">
        <f>Données!B124</f>
        <v>Savigny</v>
      </c>
      <c r="C130" s="31">
        <f>VPI!R124</f>
        <v>139629.67036231884</v>
      </c>
      <c r="D130" s="8">
        <f>Données!N124</f>
        <v>144819.9</v>
      </c>
      <c r="E130" s="236">
        <f>Données!O124+Données!P124+Données!R124</f>
        <v>825711.60000000009</v>
      </c>
      <c r="F130" s="497">
        <f t="shared" si="5"/>
        <v>456301.77</v>
      </c>
      <c r="G130" s="497">
        <f>Ecrêtage!M124</f>
        <v>0</v>
      </c>
      <c r="H130" s="498">
        <f t="shared" si="6"/>
        <v>1626547.599221437</v>
      </c>
      <c r="I130" s="321">
        <f t="shared" si="7"/>
        <v>2082849.369221437</v>
      </c>
    </row>
    <row r="131" spans="1:9" s="35" customFormat="1" x14ac:dyDescent="0.25">
      <c r="A131" s="38">
        <f>Données!A125</f>
        <v>5613</v>
      </c>
      <c r="B131" s="548" t="str">
        <f>Données!B125</f>
        <v>Bourg-en-Lavaux</v>
      </c>
      <c r="C131" s="31">
        <f>VPI!R125</f>
        <v>367206.35685333336</v>
      </c>
      <c r="D131" s="8">
        <f>Données!N125</f>
        <v>47430.1</v>
      </c>
      <c r="E131" s="236">
        <f>Données!O125+Données!P125+Données!R125</f>
        <v>3453656.05</v>
      </c>
      <c r="F131" s="497">
        <f t="shared" si="5"/>
        <v>1741057.0549999999</v>
      </c>
      <c r="G131" s="497">
        <f>Ecrêtage!M125</f>
        <v>1659224.9656183065</v>
      </c>
      <c r="H131" s="498">
        <f t="shared" si="6"/>
        <v>4277590.9776825216</v>
      </c>
      <c r="I131" s="321">
        <f t="shared" si="7"/>
        <v>7677872.998300828</v>
      </c>
    </row>
    <row r="132" spans="1:9" s="35" customFormat="1" x14ac:dyDescent="0.25">
      <c r="A132" s="38">
        <f>Données!A126</f>
        <v>5621</v>
      </c>
      <c r="B132" s="548" t="str">
        <f>Données!B126</f>
        <v>Aclens</v>
      </c>
      <c r="C132" s="31">
        <f>VPI!R126</f>
        <v>39203.094076246336</v>
      </c>
      <c r="D132" s="8">
        <f>Données!N126</f>
        <v>263613.5</v>
      </c>
      <c r="E132" s="236">
        <f>Données!O126+Données!P126+Données!R126</f>
        <v>183816.05</v>
      </c>
      <c r="F132" s="497">
        <f t="shared" si="5"/>
        <v>170992.07500000001</v>
      </c>
      <c r="G132" s="497">
        <f>Ecrêtage!M126</f>
        <v>193853.76434000189</v>
      </c>
      <c r="H132" s="498">
        <f t="shared" si="6"/>
        <v>456677.28346208821</v>
      </c>
      <c r="I132" s="321">
        <f t="shared" si="7"/>
        <v>821523.12280209013</v>
      </c>
    </row>
    <row r="133" spans="1:9" s="35" customFormat="1" x14ac:dyDescent="0.25">
      <c r="A133" s="38">
        <f>Données!A127</f>
        <v>5622</v>
      </c>
      <c r="B133" s="548" t="str">
        <f>Données!B127</f>
        <v>Bremblens</v>
      </c>
      <c r="C133" s="31">
        <f>VPI!R127</f>
        <v>30852.761617647058</v>
      </c>
      <c r="D133" s="8">
        <f>Données!N127</f>
        <v>29179.1</v>
      </c>
      <c r="E133" s="236">
        <f>Données!O127+Données!P127+Données!R127</f>
        <v>298422.30000000005</v>
      </c>
      <c r="F133" s="497">
        <f t="shared" si="5"/>
        <v>157964.88000000003</v>
      </c>
      <c r="G133" s="497">
        <f>Ecrêtage!M127</f>
        <v>21677.781164855551</v>
      </c>
      <c r="H133" s="498">
        <f t="shared" si="6"/>
        <v>359404.1668100786</v>
      </c>
      <c r="I133" s="321">
        <f t="shared" si="7"/>
        <v>539046.82797493425</v>
      </c>
    </row>
    <row r="134" spans="1:9" s="35" customFormat="1" x14ac:dyDescent="0.25">
      <c r="A134" s="38">
        <f>Données!A128</f>
        <v>5623</v>
      </c>
      <c r="B134" s="548" t="str">
        <f>Données!B128</f>
        <v>Buchillon</v>
      </c>
      <c r="C134" s="31">
        <f>VPI!R128</f>
        <v>88403.083461538452</v>
      </c>
      <c r="D134" s="8">
        <f>Données!N128</f>
        <v>3341.85</v>
      </c>
      <c r="E134" s="236">
        <f>Données!O128+Données!P128+Données!R128</f>
        <v>179221.7</v>
      </c>
      <c r="F134" s="497">
        <f t="shared" si="5"/>
        <v>90613.404999999999</v>
      </c>
      <c r="G134" s="497">
        <f>Ecrêtage!M128</f>
        <v>1167714.4699236206</v>
      </c>
      <c r="H134" s="498">
        <f t="shared" si="6"/>
        <v>1029808.5127252587</v>
      </c>
      <c r="I134" s="321">
        <f t="shared" si="7"/>
        <v>2288136.3876488796</v>
      </c>
    </row>
    <row r="135" spans="1:9" s="35" customFormat="1" x14ac:dyDescent="0.25">
      <c r="A135" s="38">
        <f>Données!A129</f>
        <v>5624</v>
      </c>
      <c r="B135" s="548" t="str">
        <f>Données!B129</f>
        <v>Bussigny</v>
      </c>
      <c r="C135" s="31">
        <f>VPI!R129</f>
        <v>522747.79375999991</v>
      </c>
      <c r="D135" s="8">
        <f>Données!N129</f>
        <v>1175452</v>
      </c>
      <c r="E135" s="236">
        <f>Données!O129+Données!P129+Données!R129</f>
        <v>2937453.9</v>
      </c>
      <c r="F135" s="497">
        <f t="shared" si="5"/>
        <v>1821362.5499999998</v>
      </c>
      <c r="G135" s="497">
        <f>Ecrêtage!M129</f>
        <v>238738.61345190479</v>
      </c>
      <c r="H135" s="498">
        <f t="shared" si="6"/>
        <v>6089494.9241969278</v>
      </c>
      <c r="I135" s="321">
        <f t="shared" si="7"/>
        <v>8149596.0876488322</v>
      </c>
    </row>
    <row r="136" spans="1:9" s="35" customFormat="1" x14ac:dyDescent="0.25">
      <c r="A136" s="38">
        <f>Données!A130</f>
        <v>5627</v>
      </c>
      <c r="B136" s="548" t="str">
        <f>Données!B130</f>
        <v>Chavannes-près-Renens</v>
      </c>
      <c r="C136" s="31">
        <f>VPI!R130</f>
        <v>188690.75535483871</v>
      </c>
      <c r="D136" s="8">
        <f>Données!N130</f>
        <v>448239.95</v>
      </c>
      <c r="E136" s="236">
        <f>Données!O130+Données!P130+Données!R130</f>
        <v>1715907.75</v>
      </c>
      <c r="F136" s="497">
        <f t="shared" si="5"/>
        <v>992425.86</v>
      </c>
      <c r="G136" s="497">
        <f>Ecrêtage!M130</f>
        <v>0</v>
      </c>
      <c r="H136" s="498">
        <f t="shared" si="6"/>
        <v>2198060.7296521836</v>
      </c>
      <c r="I136" s="321">
        <f t="shared" si="7"/>
        <v>3190486.5896521835</v>
      </c>
    </row>
    <row r="137" spans="1:9" s="35" customFormat="1" x14ac:dyDescent="0.25">
      <c r="A137" s="38">
        <f>Données!A131</f>
        <v>5628</v>
      </c>
      <c r="B137" s="548" t="str">
        <f>Données!B131</f>
        <v>Chigny</v>
      </c>
      <c r="C137" s="31">
        <f>VPI!R131</f>
        <v>27627.379193548386</v>
      </c>
      <c r="D137" s="8">
        <f>Données!N131</f>
        <v>811.3</v>
      </c>
      <c r="E137" s="236">
        <f>Données!O131+Données!P131+Données!R131</f>
        <v>197242.8</v>
      </c>
      <c r="F137" s="497">
        <f t="shared" si="5"/>
        <v>98864.79</v>
      </c>
      <c r="G137" s="497">
        <f>Ecrêtage!M131</f>
        <v>111175.05889702437</v>
      </c>
      <c r="H137" s="498">
        <f t="shared" si="6"/>
        <v>321831.65070461557</v>
      </c>
      <c r="I137" s="321">
        <f t="shared" si="7"/>
        <v>531871.49960163992</v>
      </c>
    </row>
    <row r="138" spans="1:9" s="35" customFormat="1" x14ac:dyDescent="0.25">
      <c r="A138" s="38">
        <f>Données!A132</f>
        <v>5629</v>
      </c>
      <c r="B138" s="548" t="str">
        <f>Données!B132</f>
        <v>Clarmont</v>
      </c>
      <c r="C138" s="31">
        <f>VPI!R132</f>
        <v>9964.7430555555547</v>
      </c>
      <c r="D138" s="8">
        <f>Données!N132</f>
        <v>1329.8</v>
      </c>
      <c r="E138" s="236">
        <f>Données!O132+Données!P132+Données!R132</f>
        <v>31333.599999999999</v>
      </c>
      <c r="F138" s="497">
        <f t="shared" si="5"/>
        <v>16065.74</v>
      </c>
      <c r="G138" s="497">
        <f>Ecrêtage!M132</f>
        <v>0</v>
      </c>
      <c r="H138" s="498">
        <f t="shared" si="6"/>
        <v>116079.40383884471</v>
      </c>
      <c r="I138" s="321">
        <f t="shared" si="7"/>
        <v>132145.1438388447</v>
      </c>
    </row>
    <row r="139" spans="1:9" s="35" customFormat="1" x14ac:dyDescent="0.25">
      <c r="A139" s="38">
        <f>Données!A133</f>
        <v>5631</v>
      </c>
      <c r="B139" s="548" t="str">
        <f>Données!B133</f>
        <v>Denens</v>
      </c>
      <c r="C139" s="31">
        <f>VPI!R133</f>
        <v>41694.310588235297</v>
      </c>
      <c r="D139" s="8">
        <f>Données!N133</f>
        <v>1062.3</v>
      </c>
      <c r="E139" s="236">
        <f>Données!O133+Données!P133+Données!R133</f>
        <v>278743.65000000002</v>
      </c>
      <c r="F139" s="497">
        <f t="shared" si="5"/>
        <v>139690.51500000001</v>
      </c>
      <c r="G139" s="497">
        <f>Ecrêtage!M133</f>
        <v>95833.975168308883</v>
      </c>
      <c r="H139" s="498">
        <f t="shared" si="6"/>
        <v>485697.49260676268</v>
      </c>
      <c r="I139" s="321">
        <f t="shared" si="7"/>
        <v>721221.98277507164</v>
      </c>
    </row>
    <row r="140" spans="1:9" s="35" customFormat="1" x14ac:dyDescent="0.25">
      <c r="A140" s="38">
        <f>Données!A134</f>
        <v>5632</v>
      </c>
      <c r="B140" s="548" t="str">
        <f>Données!B134</f>
        <v>Denges</v>
      </c>
      <c r="C140" s="31">
        <f>VPI!R134</f>
        <v>81642.531612903229</v>
      </c>
      <c r="D140" s="8">
        <f>Données!N134</f>
        <v>124686.15</v>
      </c>
      <c r="E140" s="236">
        <f>Données!O134+Données!P134+Données!R134</f>
        <v>604003.39999999991</v>
      </c>
      <c r="F140" s="497">
        <f t="shared" si="5"/>
        <v>339407.54499999993</v>
      </c>
      <c r="G140" s="497">
        <f>Ecrêtage!M134</f>
        <v>0</v>
      </c>
      <c r="H140" s="498">
        <f t="shared" si="6"/>
        <v>951054.76826481777</v>
      </c>
      <c r="I140" s="321">
        <f t="shared" si="7"/>
        <v>1290462.3132648177</v>
      </c>
    </row>
    <row r="141" spans="1:9" s="35" customFormat="1" x14ac:dyDescent="0.25">
      <c r="A141" s="38">
        <f>Données!A135</f>
        <v>5633</v>
      </c>
      <c r="B141" s="548" t="str">
        <f>Données!B135</f>
        <v>Echandens</v>
      </c>
      <c r="C141" s="31">
        <f>VPI!R135</f>
        <v>149835.3479338843</v>
      </c>
      <c r="D141" s="8">
        <f>Données!N135</f>
        <v>142644.15</v>
      </c>
      <c r="E141" s="236">
        <f>Données!O135+Données!P135+Données!R135</f>
        <v>1025344.8</v>
      </c>
      <c r="F141" s="497">
        <f t="shared" ref="F141:F204" si="8">D141*$D$11+E141*$E$11</f>
        <v>555465.64500000002</v>
      </c>
      <c r="G141" s="497">
        <f>Ecrêtage!M135</f>
        <v>118462.58126900659</v>
      </c>
      <c r="H141" s="498">
        <f t="shared" ref="H141:H204" si="9">$H$11*C141</f>
        <v>1745433.6519449251</v>
      </c>
      <c r="I141" s="321">
        <f t="shared" ref="I141:I204" si="10">F141+H141+G141</f>
        <v>2419361.8782139318</v>
      </c>
    </row>
    <row r="142" spans="1:9" s="35" customFormat="1" x14ac:dyDescent="0.25">
      <c r="A142" s="38">
        <f>Données!A136</f>
        <v>5634</v>
      </c>
      <c r="B142" s="548" t="str">
        <f>Données!B136</f>
        <v>Echichens</v>
      </c>
      <c r="C142" s="31">
        <f>VPI!R136</f>
        <v>183137.63424242428</v>
      </c>
      <c r="D142" s="8">
        <f>Données!N136</f>
        <v>61138.1</v>
      </c>
      <c r="E142" s="236">
        <f>Données!O136+Données!P136+Données!R136</f>
        <v>1804824.2</v>
      </c>
      <c r="F142" s="497">
        <f t="shared" si="8"/>
        <v>920753.53</v>
      </c>
      <c r="G142" s="497">
        <f>Ecrêtage!M136</f>
        <v>362285.91055234289</v>
      </c>
      <c r="H142" s="498">
        <f t="shared" si="9"/>
        <v>2133372.359407194</v>
      </c>
      <c r="I142" s="321">
        <f t="shared" si="10"/>
        <v>3416411.7999595371</v>
      </c>
    </row>
    <row r="143" spans="1:9" s="35" customFormat="1" x14ac:dyDescent="0.25">
      <c r="A143" s="38">
        <f>Données!A137</f>
        <v>5635</v>
      </c>
      <c r="B143" s="548" t="str">
        <f>Données!B137</f>
        <v>Ecublens</v>
      </c>
      <c r="C143" s="31">
        <f>VPI!R137</f>
        <v>516165.47293333331</v>
      </c>
      <c r="D143" s="8">
        <f>Données!N137</f>
        <v>1479159.55</v>
      </c>
      <c r="E143" s="236">
        <f>Données!O137+Données!P137+Données!R137</f>
        <v>3687250.95</v>
      </c>
      <c r="F143" s="497">
        <f t="shared" si="8"/>
        <v>2287373.34</v>
      </c>
      <c r="G143" s="497">
        <f>Ecrêtage!M137</f>
        <v>0</v>
      </c>
      <c r="H143" s="498">
        <f t="shared" si="9"/>
        <v>6012817.3949143756</v>
      </c>
      <c r="I143" s="321">
        <f t="shared" si="10"/>
        <v>8300190.7349143755</v>
      </c>
    </row>
    <row r="144" spans="1:9" s="35" customFormat="1" x14ac:dyDescent="0.25">
      <c r="A144" s="38">
        <f>Données!A138</f>
        <v>5636</v>
      </c>
      <c r="B144" s="548" t="str">
        <f>Données!B138</f>
        <v>Etoy</v>
      </c>
      <c r="C144" s="31">
        <f>VPI!R138</f>
        <v>189458.35050000003</v>
      </c>
      <c r="D144" s="8">
        <f>Données!N138</f>
        <v>642974.15</v>
      </c>
      <c r="E144" s="236">
        <f>Données!O138+Données!P138+Données!R138</f>
        <v>1463388.75</v>
      </c>
      <c r="F144" s="497">
        <f t="shared" si="8"/>
        <v>924586.62</v>
      </c>
      <c r="G144" s="497">
        <f>Ecrêtage!M138</f>
        <v>674881.24704715342</v>
      </c>
      <c r="H144" s="498">
        <f t="shared" si="9"/>
        <v>2207002.4541244712</v>
      </c>
      <c r="I144" s="321">
        <f t="shared" si="10"/>
        <v>3806470.3211716246</v>
      </c>
    </row>
    <row r="145" spans="1:9" s="35" customFormat="1" x14ac:dyDescent="0.25">
      <c r="A145" s="38">
        <f>Données!A139</f>
        <v>5637</v>
      </c>
      <c r="B145" s="548" t="str">
        <f>Données!B139</f>
        <v>Lavigny</v>
      </c>
      <c r="C145" s="31">
        <f>VPI!R139</f>
        <v>36293.809863013703</v>
      </c>
      <c r="D145" s="8">
        <f>Données!N139</f>
        <v>298364.55</v>
      </c>
      <c r="E145" s="236">
        <f>Données!O139+Données!P139+Données!R139</f>
        <v>206884.7</v>
      </c>
      <c r="F145" s="497">
        <f t="shared" si="8"/>
        <v>192951.715</v>
      </c>
      <c r="G145" s="497">
        <f>Ecrêtage!M139</f>
        <v>0</v>
      </c>
      <c r="H145" s="498">
        <f t="shared" si="9"/>
        <v>422786.99896734382</v>
      </c>
      <c r="I145" s="321">
        <f t="shared" si="10"/>
        <v>615738.71396734379</v>
      </c>
    </row>
    <row r="146" spans="1:9" s="35" customFormat="1" x14ac:dyDescent="0.25">
      <c r="A146" s="38">
        <f>Données!A140</f>
        <v>5638</v>
      </c>
      <c r="B146" s="548" t="str">
        <f>Données!B140</f>
        <v>Lonay</v>
      </c>
      <c r="C146" s="31">
        <f>VPI!R140</f>
        <v>153893.84090909091</v>
      </c>
      <c r="D146" s="8">
        <f>Données!N140</f>
        <v>285838.84999999998</v>
      </c>
      <c r="E146" s="236">
        <f>Données!O140+Données!P140+Données!R140</f>
        <v>6123343.7000000002</v>
      </c>
      <c r="F146" s="497">
        <f t="shared" si="8"/>
        <v>3147423.5049999999</v>
      </c>
      <c r="G146" s="497">
        <f>Ecrêtage!M140</f>
        <v>266368.51942144294</v>
      </c>
      <c r="H146" s="498">
        <f t="shared" si="9"/>
        <v>1792711.0822228156</v>
      </c>
      <c r="I146" s="321">
        <f t="shared" si="10"/>
        <v>5206503.1066442588</v>
      </c>
    </row>
    <row r="147" spans="1:9" s="35" customFormat="1" x14ac:dyDescent="0.25">
      <c r="A147" s="38">
        <f>Données!A141</f>
        <v>5639</v>
      </c>
      <c r="B147" s="548" t="str">
        <f>Données!B141</f>
        <v>Lully</v>
      </c>
      <c r="C147" s="31">
        <f>VPI!R141</f>
        <v>52242.173114754092</v>
      </c>
      <c r="D147" s="8">
        <f>Données!N141</f>
        <v>18593.8</v>
      </c>
      <c r="E147" s="236">
        <f>Données!O141+Données!P141+Données!R141</f>
        <v>222885.05</v>
      </c>
      <c r="F147" s="497">
        <f t="shared" si="8"/>
        <v>117020.66499999999</v>
      </c>
      <c r="G147" s="497">
        <f>Ecrêtage!M141</f>
        <v>174034.924135468</v>
      </c>
      <c r="H147" s="498">
        <f t="shared" si="9"/>
        <v>608569.66171600728</v>
      </c>
      <c r="I147" s="321">
        <f t="shared" si="10"/>
        <v>899625.25085147528</v>
      </c>
    </row>
    <row r="148" spans="1:9" s="35" customFormat="1" x14ac:dyDescent="0.25">
      <c r="A148" s="38">
        <f>Données!A142</f>
        <v>5640</v>
      </c>
      <c r="B148" s="548" t="str">
        <f>Données!B142</f>
        <v>Lussy-sur-Morges</v>
      </c>
      <c r="C148" s="31">
        <f>VPI!R142</f>
        <v>57771.49271317829</v>
      </c>
      <c r="D148" s="8">
        <f>Données!N142</f>
        <v>16539.650000000001</v>
      </c>
      <c r="E148" s="236">
        <f>Données!O142+Données!P142+Données!R142</f>
        <v>4284479.7</v>
      </c>
      <c r="F148" s="497">
        <f t="shared" si="8"/>
        <v>2147201.7450000001</v>
      </c>
      <c r="G148" s="497">
        <f>Ecrêtage!M142</f>
        <v>418491.36857225042</v>
      </c>
      <c r="H148" s="498">
        <f t="shared" si="9"/>
        <v>672980.76785704133</v>
      </c>
      <c r="I148" s="321">
        <f t="shared" si="10"/>
        <v>3238673.8814292918</v>
      </c>
    </row>
    <row r="149" spans="1:9" s="35" customFormat="1" x14ac:dyDescent="0.25">
      <c r="A149" s="38">
        <f>Données!A143</f>
        <v>5642</v>
      </c>
      <c r="B149" s="548" t="str">
        <f>Données!B143</f>
        <v>Morges</v>
      </c>
      <c r="C149" s="31">
        <f>VPI!R143</f>
        <v>980547.23447761196</v>
      </c>
      <c r="D149" s="8">
        <f>Données!N143</f>
        <v>1601890.1</v>
      </c>
      <c r="E149" s="236">
        <f>Données!O143+Données!P143+Données!R143</f>
        <v>6117946.7999999998</v>
      </c>
      <c r="F149" s="497">
        <f t="shared" si="8"/>
        <v>3539540.4299999997</v>
      </c>
      <c r="G149" s="497">
        <f>Ecrêtage!M143</f>
        <v>1757027.2296927038</v>
      </c>
      <c r="H149" s="498">
        <f t="shared" si="9"/>
        <v>11422405.753907651</v>
      </c>
      <c r="I149" s="321">
        <f t="shared" si="10"/>
        <v>16718973.413600354</v>
      </c>
    </row>
    <row r="150" spans="1:9" s="35" customFormat="1" x14ac:dyDescent="0.25">
      <c r="A150" s="38">
        <f>Données!A144</f>
        <v>5643</v>
      </c>
      <c r="B150" s="548" t="str">
        <f>Données!B144</f>
        <v>Préverenges</v>
      </c>
      <c r="C150" s="31">
        <f>VPI!R144</f>
        <v>252724.38943999997</v>
      </c>
      <c r="D150" s="8">
        <f>Données!N144</f>
        <v>183126.6</v>
      </c>
      <c r="E150" s="236">
        <f>Données!O144+Données!P144+Données!R144</f>
        <v>1123119.3500000001</v>
      </c>
      <c r="F150" s="497">
        <f t="shared" si="8"/>
        <v>616497.65500000003</v>
      </c>
      <c r="G150" s="497">
        <f>Ecrêtage!M144</f>
        <v>0</v>
      </c>
      <c r="H150" s="498">
        <f t="shared" si="9"/>
        <v>2943989.2527259621</v>
      </c>
      <c r="I150" s="321">
        <f t="shared" si="10"/>
        <v>3560486.9077259619</v>
      </c>
    </row>
    <row r="151" spans="1:9" s="35" customFormat="1" x14ac:dyDescent="0.25">
      <c r="A151" s="38">
        <f>Données!A145</f>
        <v>5645</v>
      </c>
      <c r="B151" s="548" t="str">
        <f>Données!B145</f>
        <v>Romanel-sur-Morges</v>
      </c>
      <c r="C151" s="31">
        <f>VPI!R145</f>
        <v>23768.997321428575</v>
      </c>
      <c r="D151" s="8">
        <f>Données!N145</f>
        <v>105835.3</v>
      </c>
      <c r="E151" s="236">
        <f>Données!O145+Données!P145+Données!R145</f>
        <v>59353</v>
      </c>
      <c r="F151" s="497">
        <f t="shared" si="8"/>
        <v>61427.09</v>
      </c>
      <c r="G151" s="497">
        <f>Ecrêtage!M145</f>
        <v>17726.053106062907</v>
      </c>
      <c r="H151" s="498">
        <f t="shared" si="9"/>
        <v>276885.31691544963</v>
      </c>
      <c r="I151" s="321">
        <f t="shared" si="10"/>
        <v>356038.46002151258</v>
      </c>
    </row>
    <row r="152" spans="1:9" s="35" customFormat="1" x14ac:dyDescent="0.25">
      <c r="A152" s="38">
        <f>Données!A146</f>
        <v>5646</v>
      </c>
      <c r="B152" s="548" t="str">
        <f>Données!B146</f>
        <v>Saint-Prex</v>
      </c>
      <c r="C152" s="31">
        <f>VPI!R146</f>
        <v>515578.26330508466</v>
      </c>
      <c r="D152" s="8">
        <f>Données!N146</f>
        <v>672225.75</v>
      </c>
      <c r="E152" s="236">
        <f>Données!O146+Données!P146+Données!R146</f>
        <v>4417103.5999999996</v>
      </c>
      <c r="F152" s="497">
        <f t="shared" si="8"/>
        <v>2410219.5249999999</v>
      </c>
      <c r="G152" s="497">
        <f>Ecrêtage!M146</f>
        <v>4273135.9512078529</v>
      </c>
      <c r="H152" s="498">
        <f t="shared" si="9"/>
        <v>6005976.9833557922</v>
      </c>
      <c r="I152" s="321">
        <f t="shared" si="10"/>
        <v>12689332.459563646</v>
      </c>
    </row>
    <row r="153" spans="1:9" s="35" customFormat="1" x14ac:dyDescent="0.25">
      <c r="A153" s="38">
        <f>Données!A147</f>
        <v>5648</v>
      </c>
      <c r="B153" s="548" t="str">
        <f>Données!B147</f>
        <v>Saint-Sulpice</v>
      </c>
      <c r="C153" s="31">
        <f>VPI!R147</f>
        <v>417040.44568181824</v>
      </c>
      <c r="D153" s="8">
        <f>Données!N147</f>
        <v>77180.149999999994</v>
      </c>
      <c r="E153" s="236">
        <f>Données!O147+Données!P147+Données!R147</f>
        <v>1706986.4500000002</v>
      </c>
      <c r="F153" s="497">
        <f t="shared" si="8"/>
        <v>876647.27000000014</v>
      </c>
      <c r="G153" s="497">
        <f>Ecrêtage!M147</f>
        <v>2859950.3226417606</v>
      </c>
      <c r="H153" s="498">
        <f t="shared" si="9"/>
        <v>4858108.838485511</v>
      </c>
      <c r="I153" s="321">
        <f t="shared" si="10"/>
        <v>8594706.4311272725</v>
      </c>
    </row>
    <row r="154" spans="1:9" s="35" customFormat="1" x14ac:dyDescent="0.25">
      <c r="A154" s="38">
        <f>Données!A148</f>
        <v>5649</v>
      </c>
      <c r="B154" s="548" t="str">
        <f>Données!B148</f>
        <v>Tolochenaz</v>
      </c>
      <c r="C154" s="31">
        <f>VPI!R148</f>
        <v>173464.05234375002</v>
      </c>
      <c r="D154" s="8">
        <f>Données!N148</f>
        <v>438984.5</v>
      </c>
      <c r="E154" s="236">
        <f>Données!O148+Données!P148+Données!R148</f>
        <v>746140.10000000009</v>
      </c>
      <c r="F154" s="497">
        <f t="shared" si="8"/>
        <v>504765.4</v>
      </c>
      <c r="G154" s="497">
        <f>Ecrêtage!M148</f>
        <v>1686709.0523283307</v>
      </c>
      <c r="H154" s="498">
        <f t="shared" si="9"/>
        <v>2020684.6951569547</v>
      </c>
      <c r="I154" s="321">
        <f t="shared" si="10"/>
        <v>4212159.1474852851</v>
      </c>
    </row>
    <row r="155" spans="1:9" s="35" customFormat="1" x14ac:dyDescent="0.25">
      <c r="A155" s="38">
        <f>Données!A149</f>
        <v>5650</v>
      </c>
      <c r="B155" s="548" t="str">
        <f>Données!B149</f>
        <v>Vaux-sur-Morges</v>
      </c>
      <c r="C155" s="31">
        <f>VPI!R149</f>
        <v>90407.863928571445</v>
      </c>
      <c r="D155" s="8">
        <f>Données!N149</f>
        <v>0</v>
      </c>
      <c r="E155" s="236">
        <f>Données!O149+Données!P149+Données!R149</f>
        <v>32535.4</v>
      </c>
      <c r="F155" s="497">
        <f t="shared" si="8"/>
        <v>16267.7</v>
      </c>
      <c r="G155" s="497">
        <f>Ecrêtage!M149</f>
        <v>2545640.8483341574</v>
      </c>
      <c r="H155" s="498">
        <f t="shared" si="9"/>
        <v>1053162.2229156292</v>
      </c>
      <c r="I155" s="321">
        <f t="shared" si="10"/>
        <v>3615070.7712497865</v>
      </c>
    </row>
    <row r="156" spans="1:9" s="35" customFormat="1" x14ac:dyDescent="0.25">
      <c r="A156" s="38">
        <f>Données!A150</f>
        <v>5651</v>
      </c>
      <c r="B156" s="548" t="str">
        <f>Données!B150</f>
        <v>Villars-Sainte-Croix</v>
      </c>
      <c r="C156" s="31">
        <f>VPI!R150</f>
        <v>56008.147272727285</v>
      </c>
      <c r="D156" s="8">
        <f>Données!N150</f>
        <v>218515.45</v>
      </c>
      <c r="E156" s="236">
        <f>Données!O150+Données!P150+Données!R150</f>
        <v>293319.40000000002</v>
      </c>
      <c r="F156" s="497">
        <f t="shared" si="8"/>
        <v>212214.33500000002</v>
      </c>
      <c r="G156" s="497">
        <f>Ecrêtage!M150</f>
        <v>104448.79441822512</v>
      </c>
      <c r="H156" s="498">
        <f t="shared" si="9"/>
        <v>652439.53700459306</v>
      </c>
      <c r="I156" s="321">
        <f t="shared" si="10"/>
        <v>969102.66642281809</v>
      </c>
    </row>
    <row r="157" spans="1:9" s="35" customFormat="1" x14ac:dyDescent="0.25">
      <c r="A157" s="38">
        <f>Données!A151</f>
        <v>5652</v>
      </c>
      <c r="B157" s="548" t="str">
        <f>Données!B151</f>
        <v>Villars-sous-Yens</v>
      </c>
      <c r="C157" s="31">
        <f>VPI!R151</f>
        <v>25957.212521929825</v>
      </c>
      <c r="D157" s="8">
        <f>Données!N151</f>
        <v>0</v>
      </c>
      <c r="E157" s="236">
        <f>Données!O151+Données!P151+Données!R151</f>
        <v>491322.45</v>
      </c>
      <c r="F157" s="497">
        <f t="shared" si="8"/>
        <v>245661.22500000001</v>
      </c>
      <c r="G157" s="497">
        <f>Ecrêtage!M151</f>
        <v>0</v>
      </c>
      <c r="H157" s="498">
        <f t="shared" si="9"/>
        <v>302375.8603774478</v>
      </c>
      <c r="I157" s="321">
        <f t="shared" si="10"/>
        <v>548037.08537744777</v>
      </c>
    </row>
    <row r="158" spans="1:9" s="35" customFormat="1" x14ac:dyDescent="0.25">
      <c r="A158" s="38">
        <f>Données!A152</f>
        <v>5653</v>
      </c>
      <c r="B158" s="548" t="str">
        <f>Données!B152</f>
        <v>Vufflens-le-Château</v>
      </c>
      <c r="C158" s="31">
        <f>VPI!R152</f>
        <v>71315.778290598289</v>
      </c>
      <c r="D158" s="8">
        <f>Données!N152</f>
        <v>4772.5</v>
      </c>
      <c r="E158" s="236">
        <f>Données!O152+Données!P152+Données!R152</f>
        <v>359982.3</v>
      </c>
      <c r="F158" s="497">
        <f t="shared" si="8"/>
        <v>181422.9</v>
      </c>
      <c r="G158" s="497">
        <f>Ecrêtage!M152</f>
        <v>488720.96867402189</v>
      </c>
      <c r="H158" s="498">
        <f t="shared" si="9"/>
        <v>830758.30276030547</v>
      </c>
      <c r="I158" s="321">
        <f t="shared" si="10"/>
        <v>1500902.1714343275</v>
      </c>
    </row>
    <row r="159" spans="1:9" s="35" customFormat="1" x14ac:dyDescent="0.25">
      <c r="A159" s="38">
        <f>Données!A153</f>
        <v>5654</v>
      </c>
      <c r="B159" s="548" t="str">
        <f>Données!B153</f>
        <v>Vullierens</v>
      </c>
      <c r="C159" s="31">
        <f>VPI!R153</f>
        <v>20741.31131578947</v>
      </c>
      <c r="D159" s="8">
        <f>Données!N153</f>
        <v>6384.2</v>
      </c>
      <c r="E159" s="236">
        <f>Données!O153+Données!P153+Données!R153</f>
        <v>79267.899999999994</v>
      </c>
      <c r="F159" s="497">
        <f t="shared" si="8"/>
        <v>41549.21</v>
      </c>
      <c r="G159" s="497">
        <f>Ecrêtage!M153</f>
        <v>0</v>
      </c>
      <c r="H159" s="498">
        <f t="shared" si="9"/>
        <v>241615.76861035224</v>
      </c>
      <c r="I159" s="321">
        <f t="shared" si="10"/>
        <v>283164.97861035226</v>
      </c>
    </row>
    <row r="160" spans="1:9" s="35" customFormat="1" x14ac:dyDescent="0.25">
      <c r="A160" s="38">
        <f>Données!A154</f>
        <v>5655</v>
      </c>
      <c r="B160" s="548" t="str">
        <f>Données!B154</f>
        <v>Yens</v>
      </c>
      <c r="C160" s="31">
        <f>VPI!R154</f>
        <v>81488.710349650341</v>
      </c>
      <c r="D160" s="8">
        <f>Données!N154</f>
        <v>90461.05</v>
      </c>
      <c r="E160" s="236">
        <f>Données!O154+Données!P154+Données!R154</f>
        <v>635844.9</v>
      </c>
      <c r="F160" s="497">
        <f t="shared" si="8"/>
        <v>345060.76500000001</v>
      </c>
      <c r="G160" s="497">
        <f>Ecrêtage!M154</f>
        <v>114437.18591409316</v>
      </c>
      <c r="H160" s="498">
        <f t="shared" si="9"/>
        <v>949262.9026405277</v>
      </c>
      <c r="I160" s="321">
        <f t="shared" si="10"/>
        <v>1408760.8535546209</v>
      </c>
    </row>
    <row r="161" spans="1:9" s="35" customFormat="1" x14ac:dyDescent="0.25">
      <c r="A161" s="38">
        <f>Données!A155</f>
        <v>5656</v>
      </c>
      <c r="B161" s="548" t="str">
        <f>Données!B155</f>
        <v>Hautemorges</v>
      </c>
      <c r="C161" s="31">
        <f>VPI!R155</f>
        <v>168934.99020689653</v>
      </c>
      <c r="D161" s="8">
        <f>Données!N155</f>
        <v>56090.15</v>
      </c>
      <c r="E161" s="236">
        <f>Données!O155+Données!P155+Données!R155</f>
        <v>1180812.2999999998</v>
      </c>
      <c r="F161" s="497">
        <f t="shared" si="8"/>
        <v>607233.19499999995</v>
      </c>
      <c r="G161" s="497">
        <f>Ecrêtage!M155</f>
        <v>0</v>
      </c>
      <c r="H161" s="498">
        <f t="shared" si="9"/>
        <v>1967925.599426741</v>
      </c>
      <c r="I161" s="321">
        <f t="shared" si="10"/>
        <v>2575158.7944267411</v>
      </c>
    </row>
    <row r="162" spans="1:9" s="35" customFormat="1" x14ac:dyDescent="0.25">
      <c r="A162" s="38">
        <f>Données!A156</f>
        <v>5661</v>
      </c>
      <c r="B162" s="548" t="str">
        <f>Données!B156</f>
        <v>Boulens</v>
      </c>
      <c r="C162" s="31">
        <f>VPI!R156</f>
        <v>11008.776923076925</v>
      </c>
      <c r="D162" s="8">
        <f>Données!N156</f>
        <v>20927.2</v>
      </c>
      <c r="E162" s="236">
        <f>Données!O156+Données!P156+Données!R156</f>
        <v>14233.849999999999</v>
      </c>
      <c r="F162" s="497">
        <f t="shared" si="8"/>
        <v>13395.084999999999</v>
      </c>
      <c r="G162" s="497">
        <f>Ecrêtage!M156</f>
        <v>0</v>
      </c>
      <c r="H162" s="498">
        <f t="shared" si="9"/>
        <v>128241.36609454759</v>
      </c>
      <c r="I162" s="321">
        <f t="shared" si="10"/>
        <v>141636.45109454758</v>
      </c>
    </row>
    <row r="163" spans="1:9" s="35" customFormat="1" x14ac:dyDescent="0.25">
      <c r="A163" s="38">
        <f>Données!A157</f>
        <v>5663</v>
      </c>
      <c r="B163" s="548" t="str">
        <f>Données!B157</f>
        <v>Bussy-sur-Moudon</v>
      </c>
      <c r="C163" s="31">
        <f>VPI!R157</f>
        <v>6460.7661146496821</v>
      </c>
      <c r="D163" s="8">
        <f>Données!N157</f>
        <v>0</v>
      </c>
      <c r="E163" s="236">
        <f>Données!O157+Données!P157+Données!R157</f>
        <v>41282.75</v>
      </c>
      <c r="F163" s="497">
        <f t="shared" si="8"/>
        <v>20641.375</v>
      </c>
      <c r="G163" s="497">
        <f>Ecrêtage!M157</f>
        <v>0</v>
      </c>
      <c r="H163" s="498">
        <f t="shared" si="9"/>
        <v>75261.537076224413</v>
      </c>
      <c r="I163" s="321">
        <f t="shared" si="10"/>
        <v>95902.912076224413</v>
      </c>
    </row>
    <row r="164" spans="1:9" s="35" customFormat="1" x14ac:dyDescent="0.25">
      <c r="A164" s="38">
        <f>Données!A158</f>
        <v>5665</v>
      </c>
      <c r="B164" s="548" t="str">
        <f>Données!B158</f>
        <v>Chavannes-sur-Moudon</v>
      </c>
      <c r="C164" s="31">
        <f>VPI!R158</f>
        <v>5786.5608571428584</v>
      </c>
      <c r="D164" s="8">
        <f>Données!N158</f>
        <v>0</v>
      </c>
      <c r="E164" s="236">
        <f>Données!O158+Données!P158+Données!R158</f>
        <v>52499.8</v>
      </c>
      <c r="F164" s="497">
        <f t="shared" si="8"/>
        <v>26249.9</v>
      </c>
      <c r="G164" s="497">
        <f>Ecrêtage!M158</f>
        <v>0</v>
      </c>
      <c r="H164" s="498">
        <f t="shared" si="9"/>
        <v>67407.712454748151</v>
      </c>
      <c r="I164" s="321">
        <f t="shared" si="10"/>
        <v>93657.61245474816</v>
      </c>
    </row>
    <row r="165" spans="1:9" s="35" customFormat="1" x14ac:dyDescent="0.25">
      <c r="A165" s="38">
        <f>Données!A159</f>
        <v>5669</v>
      </c>
      <c r="B165" s="548" t="str">
        <f>Données!B159</f>
        <v>Curtilles</v>
      </c>
      <c r="C165" s="31">
        <f>VPI!R159</f>
        <v>8428.0279452054765</v>
      </c>
      <c r="D165" s="8">
        <f>Données!N159</f>
        <v>0</v>
      </c>
      <c r="E165" s="236">
        <f>Données!O159+Données!P159+Données!R159</f>
        <v>10350.050000000001</v>
      </c>
      <c r="F165" s="497">
        <f t="shared" si="8"/>
        <v>5175.0250000000005</v>
      </c>
      <c r="G165" s="497">
        <f>Ecrêtage!M159</f>
        <v>0</v>
      </c>
      <c r="H165" s="498">
        <f t="shared" si="9"/>
        <v>98178.192248634121</v>
      </c>
      <c r="I165" s="321">
        <f t="shared" si="10"/>
        <v>103353.21724863412</v>
      </c>
    </row>
    <row r="166" spans="1:9" s="35" customFormat="1" x14ac:dyDescent="0.25">
      <c r="A166" s="38">
        <f>Données!A160</f>
        <v>5671</v>
      </c>
      <c r="B166" s="548" t="str">
        <f>Données!B160</f>
        <v>Dompierre</v>
      </c>
      <c r="C166" s="31">
        <f>VPI!R160</f>
        <v>6751.3758974358971</v>
      </c>
      <c r="D166" s="8">
        <f>Données!N160</f>
        <v>3329.85</v>
      </c>
      <c r="E166" s="236">
        <f>Données!O160+Données!P160+Données!R160</f>
        <v>16510.7</v>
      </c>
      <c r="F166" s="497">
        <f t="shared" si="8"/>
        <v>9254.3050000000003</v>
      </c>
      <c r="G166" s="497">
        <f>Ecrêtage!M160</f>
        <v>0</v>
      </c>
      <c r="H166" s="498">
        <f t="shared" si="9"/>
        <v>78646.85370179989</v>
      </c>
      <c r="I166" s="321">
        <f t="shared" si="10"/>
        <v>87901.158701799897</v>
      </c>
    </row>
    <row r="167" spans="1:9" s="35" customFormat="1" x14ac:dyDescent="0.25">
      <c r="A167" s="38">
        <f>Données!A161</f>
        <v>5673</v>
      </c>
      <c r="B167" s="548" t="str">
        <f>Données!B161</f>
        <v>Hermenches</v>
      </c>
      <c r="C167" s="31">
        <f>VPI!R161</f>
        <v>9675.0074829931946</v>
      </c>
      <c r="D167" s="8">
        <f>Données!N161</f>
        <v>12176</v>
      </c>
      <c r="E167" s="236">
        <f>Données!O161+Données!P161+Données!R161</f>
        <v>58774.95</v>
      </c>
      <c r="F167" s="497">
        <f t="shared" si="8"/>
        <v>33040.275000000001</v>
      </c>
      <c r="G167" s="497">
        <f>Ecrêtage!M161</f>
        <v>0</v>
      </c>
      <c r="H167" s="498">
        <f t="shared" si="9"/>
        <v>112704.27089799137</v>
      </c>
      <c r="I167" s="321">
        <f t="shared" si="10"/>
        <v>145744.54589799137</v>
      </c>
    </row>
    <row r="168" spans="1:9" s="35" customFormat="1" x14ac:dyDescent="0.25">
      <c r="A168" s="38">
        <f>Données!A162</f>
        <v>5674</v>
      </c>
      <c r="B168" s="548" t="str">
        <f>Données!B162</f>
        <v>Lovatens</v>
      </c>
      <c r="C168" s="31">
        <f>VPI!R162</f>
        <v>3538.9463999999998</v>
      </c>
      <c r="D168" s="8">
        <f>Données!N162</f>
        <v>0</v>
      </c>
      <c r="E168" s="236">
        <f>Données!O162+Données!P162+Données!R162</f>
        <v>37950.15</v>
      </c>
      <c r="F168" s="497">
        <f t="shared" si="8"/>
        <v>18975.075000000001</v>
      </c>
      <c r="G168" s="497">
        <f>Ecrêtage!M162</f>
        <v>0</v>
      </c>
      <c r="H168" s="498">
        <f t="shared" si="9"/>
        <v>41225.226384597707</v>
      </c>
      <c r="I168" s="321">
        <f t="shared" si="10"/>
        <v>60200.301384597711</v>
      </c>
    </row>
    <row r="169" spans="1:9" s="35" customFormat="1" x14ac:dyDescent="0.25">
      <c r="A169" s="38">
        <f>Données!A163</f>
        <v>5675</v>
      </c>
      <c r="B169" s="548" t="str">
        <f>Données!B163</f>
        <v>Lucens</v>
      </c>
      <c r="C169" s="31">
        <f>VPI!R163</f>
        <v>92803.818404185746</v>
      </c>
      <c r="D169" s="8">
        <f>Données!N163</f>
        <v>34660.699999999997</v>
      </c>
      <c r="E169" s="236">
        <f>Données!O163+Données!P163+Données!R163</f>
        <v>762471.64999999991</v>
      </c>
      <c r="F169" s="497">
        <f t="shared" si="8"/>
        <v>391634.03499999997</v>
      </c>
      <c r="G169" s="497">
        <f>Ecrêtage!M163</f>
        <v>0</v>
      </c>
      <c r="H169" s="498">
        <f t="shared" si="9"/>
        <v>1081072.7235280119</v>
      </c>
      <c r="I169" s="321">
        <f t="shared" si="10"/>
        <v>1472706.7585280119</v>
      </c>
    </row>
    <row r="170" spans="1:9" s="35" customFormat="1" x14ac:dyDescent="0.25">
      <c r="A170" s="38">
        <f>Données!A164</f>
        <v>5678</v>
      </c>
      <c r="B170" s="548" t="str">
        <f>Données!B164</f>
        <v>Moudon</v>
      </c>
      <c r="C170" s="31">
        <f>VPI!R164</f>
        <v>130675.7416551724</v>
      </c>
      <c r="D170" s="8">
        <f>Données!N164</f>
        <v>241493.45</v>
      </c>
      <c r="E170" s="236">
        <f>Données!O164+Données!P164+Données!R164</f>
        <v>998833.15</v>
      </c>
      <c r="F170" s="497">
        <f t="shared" si="8"/>
        <v>571864.61</v>
      </c>
      <c r="G170" s="497">
        <f>Ecrêtage!M164</f>
        <v>0</v>
      </c>
      <c r="H170" s="498">
        <f t="shared" si="9"/>
        <v>1522243.1830868328</v>
      </c>
      <c r="I170" s="321">
        <f t="shared" si="10"/>
        <v>2094107.7930868329</v>
      </c>
    </row>
    <row r="171" spans="1:9" s="35" customFormat="1" x14ac:dyDescent="0.25">
      <c r="A171" s="38">
        <f>Données!A165</f>
        <v>5680</v>
      </c>
      <c r="B171" s="548" t="str">
        <f>Données!B165</f>
        <v>Ogens</v>
      </c>
      <c r="C171" s="31">
        <f>VPI!R165</f>
        <v>10088.612863247865</v>
      </c>
      <c r="D171" s="8">
        <f>Données!N165</f>
        <v>0</v>
      </c>
      <c r="E171" s="236">
        <f>Données!O165+Données!P165+Données!R165</f>
        <v>149443.70000000001</v>
      </c>
      <c r="F171" s="497">
        <f t="shared" si="8"/>
        <v>74721.850000000006</v>
      </c>
      <c r="G171" s="497">
        <f>Ecrêtage!M165</f>
        <v>0</v>
      </c>
      <c r="H171" s="498">
        <f t="shared" si="9"/>
        <v>117522.36462071247</v>
      </c>
      <c r="I171" s="321">
        <f t="shared" si="10"/>
        <v>192244.21462071248</v>
      </c>
    </row>
    <row r="172" spans="1:9" s="35" customFormat="1" x14ac:dyDescent="0.25">
      <c r="A172" s="38">
        <f>Données!A166</f>
        <v>5683</v>
      </c>
      <c r="B172" s="548" t="str">
        <f>Données!B166</f>
        <v>Prévonloup</v>
      </c>
      <c r="C172" s="31">
        <f>VPI!R166</f>
        <v>5181.5891034482765</v>
      </c>
      <c r="D172" s="8">
        <f>Données!N166</f>
        <v>0</v>
      </c>
      <c r="E172" s="236">
        <f>Données!O166+Données!P166+Données!R166</f>
        <v>11117</v>
      </c>
      <c r="F172" s="497">
        <f t="shared" si="8"/>
        <v>5558.5</v>
      </c>
      <c r="G172" s="497">
        <f>Ecrêtage!M166</f>
        <v>0</v>
      </c>
      <c r="H172" s="498">
        <f t="shared" si="9"/>
        <v>60360.389697233019</v>
      </c>
      <c r="I172" s="321">
        <f t="shared" si="10"/>
        <v>65918.889697233011</v>
      </c>
    </row>
    <row r="173" spans="1:9" s="35" customFormat="1" x14ac:dyDescent="0.25">
      <c r="A173" s="38">
        <f>Données!A167</f>
        <v>5684</v>
      </c>
      <c r="B173" s="548" t="str">
        <f>Données!B167</f>
        <v>Rossenges</v>
      </c>
      <c r="C173" s="31">
        <f>VPI!R167</f>
        <v>7033.3142000000007</v>
      </c>
      <c r="D173" s="8">
        <f>Données!N167</f>
        <v>0</v>
      </c>
      <c r="E173" s="236">
        <f>Données!O167+Données!P167+Données!R167</f>
        <v>12926.65</v>
      </c>
      <c r="F173" s="497">
        <f t="shared" si="8"/>
        <v>6463.3249999999998</v>
      </c>
      <c r="G173" s="497">
        <f>Ecrêtage!M167</f>
        <v>52195.312685599412</v>
      </c>
      <c r="H173" s="498">
        <f t="shared" si="9"/>
        <v>81931.156156817116</v>
      </c>
      <c r="I173" s="321">
        <f t="shared" si="10"/>
        <v>140589.79384241652</v>
      </c>
    </row>
    <row r="174" spans="1:9" s="35" customFormat="1" x14ac:dyDescent="0.25">
      <c r="A174" s="38">
        <f>Données!A168</f>
        <v>5688</v>
      </c>
      <c r="B174" s="548" t="str">
        <f>Données!B168</f>
        <v>Syens</v>
      </c>
      <c r="C174" s="31">
        <f>VPI!R168</f>
        <v>5277.0104615384616</v>
      </c>
      <c r="D174" s="8">
        <f>Données!N168</f>
        <v>925.7</v>
      </c>
      <c r="E174" s="236">
        <f>Données!O168+Données!P168+Données!R168</f>
        <v>25477.3</v>
      </c>
      <c r="F174" s="497">
        <f t="shared" si="8"/>
        <v>13016.359999999999</v>
      </c>
      <c r="G174" s="497">
        <f>Ecrêtage!M168</f>
        <v>0</v>
      </c>
      <c r="H174" s="498">
        <f t="shared" si="9"/>
        <v>61471.954169979384</v>
      </c>
      <c r="I174" s="321">
        <f t="shared" si="10"/>
        <v>74488.314169979378</v>
      </c>
    </row>
    <row r="175" spans="1:9" s="35" customFormat="1" x14ac:dyDescent="0.25">
      <c r="A175" s="38">
        <f>Données!A169</f>
        <v>5690</v>
      </c>
      <c r="B175" s="548" t="str">
        <f>Données!B169</f>
        <v>Villars-le-Comte</v>
      </c>
      <c r="C175" s="31">
        <f>VPI!R169</f>
        <v>4331.3836666666666</v>
      </c>
      <c r="D175" s="8">
        <f>Données!N169</f>
        <v>0</v>
      </c>
      <c r="E175" s="236">
        <f>Données!O169+Données!P169+Données!R169</f>
        <v>34360.5</v>
      </c>
      <c r="F175" s="497">
        <f t="shared" si="8"/>
        <v>17180.25</v>
      </c>
      <c r="G175" s="497">
        <f>Ecrêtage!M169</f>
        <v>0</v>
      </c>
      <c r="H175" s="498">
        <f t="shared" si="9"/>
        <v>50456.337009478935</v>
      </c>
      <c r="I175" s="321">
        <f t="shared" si="10"/>
        <v>67636.587009478942</v>
      </c>
    </row>
    <row r="176" spans="1:9" s="35" customFormat="1" x14ac:dyDescent="0.25">
      <c r="A176" s="38">
        <f>Données!A170</f>
        <v>5692</v>
      </c>
      <c r="B176" s="548" t="str">
        <f>Données!B170</f>
        <v>Vucherens</v>
      </c>
      <c r="C176" s="31">
        <f>VPI!R170</f>
        <v>18948.300519480523</v>
      </c>
      <c r="D176" s="8">
        <f>Données!N170</f>
        <v>13129.25</v>
      </c>
      <c r="E176" s="236">
        <f>Données!O170+Données!P170+Données!R170</f>
        <v>174345.25</v>
      </c>
      <c r="F176" s="497">
        <f t="shared" si="8"/>
        <v>91111.4</v>
      </c>
      <c r="G176" s="497">
        <f>Ecrêtage!M170</f>
        <v>0</v>
      </c>
      <c r="H176" s="498">
        <f t="shared" si="9"/>
        <v>220728.96569413284</v>
      </c>
      <c r="I176" s="321">
        <f t="shared" si="10"/>
        <v>311840.36569413287</v>
      </c>
    </row>
    <row r="177" spans="1:9" s="35" customFormat="1" x14ac:dyDescent="0.25">
      <c r="A177" s="38">
        <f>Données!A171</f>
        <v>5693</v>
      </c>
      <c r="B177" s="548" t="str">
        <f>Données!B171</f>
        <v>Montanaire</v>
      </c>
      <c r="C177" s="31">
        <f>VPI!R171</f>
        <v>80078.044999999984</v>
      </c>
      <c r="D177" s="8">
        <f>Données!N171</f>
        <v>74880.2</v>
      </c>
      <c r="E177" s="236">
        <f>Données!O171+Données!P171+Données!R171</f>
        <v>395721</v>
      </c>
      <c r="F177" s="497">
        <f t="shared" si="8"/>
        <v>220324.56</v>
      </c>
      <c r="G177" s="497">
        <f>Ecrêtage!M171</f>
        <v>0</v>
      </c>
      <c r="H177" s="498">
        <f t="shared" si="9"/>
        <v>932830.04612926662</v>
      </c>
      <c r="I177" s="321">
        <f t="shared" si="10"/>
        <v>1153154.6061292666</v>
      </c>
    </row>
    <row r="178" spans="1:9" s="35" customFormat="1" x14ac:dyDescent="0.25">
      <c r="A178" s="38">
        <f>Données!A172</f>
        <v>5701</v>
      </c>
      <c r="B178" s="548" t="str">
        <f>Données!B172</f>
        <v>Arnex-sur-Nyon</v>
      </c>
      <c r="C178" s="31">
        <f>VPI!R172</f>
        <v>12996.826285714285</v>
      </c>
      <c r="D178" s="8">
        <f>Données!N172</f>
        <v>1445.9</v>
      </c>
      <c r="E178" s="236">
        <f>Données!O172+Données!P172+Données!R172</f>
        <v>411475.85</v>
      </c>
      <c r="F178" s="497">
        <f t="shared" si="8"/>
        <v>206171.69499999998</v>
      </c>
      <c r="G178" s="497">
        <f>Ecrêtage!M172</f>
        <v>19191.342960303195</v>
      </c>
      <c r="H178" s="498">
        <f t="shared" si="9"/>
        <v>151400.17546178761</v>
      </c>
      <c r="I178" s="321">
        <f t="shared" si="10"/>
        <v>376763.21342209075</v>
      </c>
    </row>
    <row r="179" spans="1:9" s="35" customFormat="1" x14ac:dyDescent="0.25">
      <c r="A179" s="38">
        <f>Données!A173</f>
        <v>5702</v>
      </c>
      <c r="B179" s="548" t="str">
        <f>Données!B173</f>
        <v>Arzier-Le Muids</v>
      </c>
      <c r="C179" s="31">
        <f>VPI!R173</f>
        <v>187984.45531250001</v>
      </c>
      <c r="D179" s="8">
        <f>Données!N173</f>
        <v>82459.899999999994</v>
      </c>
      <c r="E179" s="236">
        <f>Données!O173+Données!P173+Données!R173</f>
        <v>1637186</v>
      </c>
      <c r="F179" s="497">
        <f t="shared" si="8"/>
        <v>843330.97</v>
      </c>
      <c r="G179" s="497">
        <f>Ecrêtage!M173</f>
        <v>677685.32871357549</v>
      </c>
      <c r="H179" s="498">
        <f t="shared" si="9"/>
        <v>2189833.032521517</v>
      </c>
      <c r="I179" s="321">
        <f t="shared" si="10"/>
        <v>3710849.3312350921</v>
      </c>
    </row>
    <row r="180" spans="1:9" s="35" customFormat="1" x14ac:dyDescent="0.25">
      <c r="A180" s="38">
        <f>Données!A174</f>
        <v>5703</v>
      </c>
      <c r="B180" s="548" t="str">
        <f>Données!B174</f>
        <v>Bassins</v>
      </c>
      <c r="C180" s="31">
        <f>VPI!R174</f>
        <v>65441.246975369453</v>
      </c>
      <c r="D180" s="8">
        <f>Données!N174</f>
        <v>43670.25</v>
      </c>
      <c r="E180" s="236">
        <f>Données!O174+Données!P174+Données!R174</f>
        <v>452512.75</v>
      </c>
      <c r="F180" s="497">
        <f t="shared" si="8"/>
        <v>239357.45</v>
      </c>
      <c r="G180" s="497">
        <f>Ecrêtage!M174</f>
        <v>0</v>
      </c>
      <c r="H180" s="498">
        <f t="shared" si="9"/>
        <v>762325.82145069388</v>
      </c>
      <c r="I180" s="321">
        <f t="shared" si="10"/>
        <v>1001683.271450694</v>
      </c>
    </row>
    <row r="181" spans="1:9" s="35" customFormat="1" x14ac:dyDescent="0.25">
      <c r="A181" s="38">
        <f>Données!A175</f>
        <v>5704</v>
      </c>
      <c r="B181" s="548" t="str">
        <f>Données!B175</f>
        <v>Begnins</v>
      </c>
      <c r="C181" s="31">
        <f>VPI!R175</f>
        <v>129730.03685333332</v>
      </c>
      <c r="D181" s="8">
        <f>Données!N175</f>
        <v>16362.45</v>
      </c>
      <c r="E181" s="236">
        <f>Données!O175+Données!P175+Données!R175</f>
        <v>2621209.1</v>
      </c>
      <c r="F181" s="497">
        <f t="shared" si="8"/>
        <v>1315513.2850000001</v>
      </c>
      <c r="G181" s="497">
        <f>Ecrêtage!M175</f>
        <v>553867.76033349906</v>
      </c>
      <c r="H181" s="498">
        <f t="shared" si="9"/>
        <v>1511226.6572222938</v>
      </c>
      <c r="I181" s="321">
        <f t="shared" si="10"/>
        <v>3380607.7025557929</v>
      </c>
    </row>
    <row r="182" spans="1:9" s="35" customFormat="1" x14ac:dyDescent="0.25">
      <c r="A182" s="38">
        <f>Données!A176</f>
        <v>5705</v>
      </c>
      <c r="B182" s="548" t="str">
        <f>Données!B176</f>
        <v>Bogis-Bossey</v>
      </c>
      <c r="C182" s="31">
        <f>VPI!R176</f>
        <v>51044.070201342278</v>
      </c>
      <c r="D182" s="8">
        <f>Données!N176</f>
        <v>50994.15</v>
      </c>
      <c r="E182" s="236">
        <f>Données!O176+Données!P176+Données!R176</f>
        <v>663216</v>
      </c>
      <c r="F182" s="497">
        <f t="shared" si="8"/>
        <v>346906.245</v>
      </c>
      <c r="G182" s="497">
        <f>Ecrêtage!M176</f>
        <v>94352.015731119463</v>
      </c>
      <c r="H182" s="498">
        <f t="shared" si="9"/>
        <v>594612.9474132848</v>
      </c>
      <c r="I182" s="321">
        <f t="shared" si="10"/>
        <v>1035871.2081444042</v>
      </c>
    </row>
    <row r="183" spans="1:9" s="35" customFormat="1" x14ac:dyDescent="0.25">
      <c r="A183" s="38">
        <f>Données!A177</f>
        <v>5706</v>
      </c>
      <c r="B183" s="548" t="str">
        <f>Données!B177</f>
        <v>Borex</v>
      </c>
      <c r="C183" s="31">
        <f>VPI!R177</f>
        <v>156857.9796491228</v>
      </c>
      <c r="D183" s="8">
        <f>Données!N177</f>
        <v>9334.2000000000007</v>
      </c>
      <c r="E183" s="236">
        <f>Données!O177+Données!P177+Données!R177</f>
        <v>388901.3</v>
      </c>
      <c r="F183" s="497">
        <f t="shared" si="8"/>
        <v>197250.91</v>
      </c>
      <c r="G183" s="497">
        <f>Ecrêtage!M177</f>
        <v>2378113.9473586702</v>
      </c>
      <c r="H183" s="498">
        <f t="shared" si="9"/>
        <v>1827240.3677167047</v>
      </c>
      <c r="I183" s="321">
        <f t="shared" si="10"/>
        <v>4402605.2250753753</v>
      </c>
    </row>
    <row r="184" spans="1:9" s="35" customFormat="1" x14ac:dyDescent="0.25">
      <c r="A184" s="38">
        <f>Données!A178</f>
        <v>5707</v>
      </c>
      <c r="B184" s="548" t="str">
        <f>Données!B178</f>
        <v>Chavannes-de-Bogis</v>
      </c>
      <c r="C184" s="31">
        <f>VPI!R178</f>
        <v>86804.197126436775</v>
      </c>
      <c r="D184" s="8">
        <f>Données!N178</f>
        <v>677002.4</v>
      </c>
      <c r="E184" s="236">
        <f>Données!O178+Données!P178+Données!R178</f>
        <v>648259.35</v>
      </c>
      <c r="F184" s="497">
        <f t="shared" si="8"/>
        <v>527230.39500000002</v>
      </c>
      <c r="G184" s="497">
        <f>Ecrêtage!M178</f>
        <v>329003.78059758357</v>
      </c>
      <c r="H184" s="498">
        <f t="shared" si="9"/>
        <v>1011183.067839231</v>
      </c>
      <c r="I184" s="321">
        <f t="shared" si="10"/>
        <v>1867417.2434368145</v>
      </c>
    </row>
    <row r="185" spans="1:9" s="35" customFormat="1" x14ac:dyDescent="0.25">
      <c r="A185" s="38">
        <f>Données!A179</f>
        <v>5708</v>
      </c>
      <c r="B185" s="548" t="str">
        <f>Données!B179</f>
        <v>Chavannes-des-Bois</v>
      </c>
      <c r="C185" s="31">
        <f>VPI!R179</f>
        <v>68806.761617647047</v>
      </c>
      <c r="D185" s="8">
        <f>Données!N179</f>
        <v>14254.75</v>
      </c>
      <c r="E185" s="236">
        <f>Données!O179+Données!P179+Données!R179</f>
        <v>239306.10000000003</v>
      </c>
      <c r="F185" s="497">
        <f t="shared" si="8"/>
        <v>123929.47500000002</v>
      </c>
      <c r="G185" s="497">
        <f>Ecrêtage!M179</f>
        <v>328483.97045205964</v>
      </c>
      <c r="H185" s="498">
        <f t="shared" si="9"/>
        <v>801530.73934054165</v>
      </c>
      <c r="I185" s="321">
        <f t="shared" si="10"/>
        <v>1253944.1847926013</v>
      </c>
    </row>
    <row r="186" spans="1:9" s="35" customFormat="1" x14ac:dyDescent="0.25">
      <c r="A186" s="38">
        <f>Données!A180</f>
        <v>5709</v>
      </c>
      <c r="B186" s="548" t="str">
        <f>Données!B180</f>
        <v>Chéserex</v>
      </c>
      <c r="C186" s="31">
        <f>VPI!R180</f>
        <v>90983.63491228073</v>
      </c>
      <c r="D186" s="8">
        <f>Données!N180</f>
        <v>56721.8</v>
      </c>
      <c r="E186" s="236">
        <f>Données!O180+Données!P180+Données!R180</f>
        <v>537884.6</v>
      </c>
      <c r="F186" s="497">
        <f t="shared" si="8"/>
        <v>285958.83999999997</v>
      </c>
      <c r="G186" s="497">
        <f>Ecrêtage!M180</f>
        <v>450936.56659355439</v>
      </c>
      <c r="H186" s="498">
        <f t="shared" si="9"/>
        <v>1059869.3855754246</v>
      </c>
      <c r="I186" s="321">
        <f t="shared" si="10"/>
        <v>1796764.7921689791</v>
      </c>
    </row>
    <row r="187" spans="1:9" s="35" customFormat="1" x14ac:dyDescent="0.25">
      <c r="A187" s="38">
        <f>Données!A181</f>
        <v>5710</v>
      </c>
      <c r="B187" s="548" t="str">
        <f>Données!B181</f>
        <v>Coinsins</v>
      </c>
      <c r="C187" s="31">
        <f>VPI!R181</f>
        <v>33549.646470588232</v>
      </c>
      <c r="D187" s="8">
        <f>Données!N181</f>
        <v>42380.65</v>
      </c>
      <c r="E187" s="236">
        <f>Données!O181+Données!P181+Données!R181</f>
        <v>189893.2</v>
      </c>
      <c r="F187" s="497">
        <f t="shared" si="8"/>
        <v>107660.79500000001</v>
      </c>
      <c r="G187" s="497">
        <f>Ecrêtage!M181</f>
        <v>118815.61356807195</v>
      </c>
      <c r="H187" s="498">
        <f t="shared" si="9"/>
        <v>390820.20876982465</v>
      </c>
      <c r="I187" s="321">
        <f t="shared" si="10"/>
        <v>617296.61733789661</v>
      </c>
    </row>
    <row r="188" spans="1:9" s="35" customFormat="1" x14ac:dyDescent="0.25">
      <c r="A188" s="38">
        <f>Données!A182</f>
        <v>5711</v>
      </c>
      <c r="B188" s="548" t="str">
        <f>Données!B182</f>
        <v>Commugny</v>
      </c>
      <c r="C188" s="31">
        <f>VPI!R182</f>
        <v>305461.09360323887</v>
      </c>
      <c r="D188" s="8">
        <f>Données!N182</f>
        <v>27324.400000000001</v>
      </c>
      <c r="E188" s="236">
        <f>Données!O182+Données!P182+Données!R182</f>
        <v>2364425.4</v>
      </c>
      <c r="F188" s="497">
        <f t="shared" si="8"/>
        <v>1190410.02</v>
      </c>
      <c r="G188" s="497">
        <f>Ecrêtage!M182</f>
        <v>3176021.6321264938</v>
      </c>
      <c r="H188" s="498">
        <f t="shared" si="9"/>
        <v>3558319.7121833535</v>
      </c>
      <c r="I188" s="321">
        <f t="shared" si="10"/>
        <v>7924751.3643098474</v>
      </c>
    </row>
    <row r="189" spans="1:9" s="35" customFormat="1" x14ac:dyDescent="0.25">
      <c r="A189" s="38">
        <f>Données!A183</f>
        <v>5712</v>
      </c>
      <c r="B189" s="548" t="str">
        <f>Données!B183</f>
        <v>Coppet</v>
      </c>
      <c r="C189" s="31">
        <f>VPI!R183</f>
        <v>422782.58779874217</v>
      </c>
      <c r="D189" s="8">
        <f>Données!N183</f>
        <v>171358.1</v>
      </c>
      <c r="E189" s="236">
        <f>Données!O183+Données!P183+Données!R183</f>
        <v>2940108.55</v>
      </c>
      <c r="F189" s="497">
        <f t="shared" si="8"/>
        <v>1521461.7049999998</v>
      </c>
      <c r="G189" s="497">
        <f>Ecrêtage!M183</f>
        <v>5726730.1547582531</v>
      </c>
      <c r="H189" s="498">
        <f t="shared" si="9"/>
        <v>4924999.1165362671</v>
      </c>
      <c r="I189" s="321">
        <f t="shared" si="10"/>
        <v>12173190.976294521</v>
      </c>
    </row>
    <row r="190" spans="1:9" s="35" customFormat="1" x14ac:dyDescent="0.25">
      <c r="A190" s="38">
        <f>Données!A184</f>
        <v>5713</v>
      </c>
      <c r="B190" s="548" t="str">
        <f>Données!B184</f>
        <v>Crans</v>
      </c>
      <c r="C190" s="31">
        <f>VPI!R184</f>
        <v>284269.17355932208</v>
      </c>
      <c r="D190" s="8">
        <f>Données!N184</f>
        <v>38257.35</v>
      </c>
      <c r="E190" s="236">
        <f>Données!O184+Données!P184+Données!R184</f>
        <v>1669448.1</v>
      </c>
      <c r="F190" s="497">
        <f t="shared" si="8"/>
        <v>846201.255</v>
      </c>
      <c r="G190" s="497">
        <f>Ecrêtage!M184</f>
        <v>3866772.5350793628</v>
      </c>
      <c r="H190" s="498">
        <f t="shared" si="9"/>
        <v>3311454.7974350643</v>
      </c>
      <c r="I190" s="321">
        <f t="shared" si="10"/>
        <v>8024428.5875144266</v>
      </c>
    </row>
    <row r="191" spans="1:9" s="35" customFormat="1" x14ac:dyDescent="0.25">
      <c r="A191" s="38">
        <f>Données!A185</f>
        <v>5714</v>
      </c>
      <c r="B191" s="548" t="str">
        <f>Données!B185</f>
        <v>Crassier</v>
      </c>
      <c r="C191" s="31">
        <f>VPI!R185</f>
        <v>62524.655789473691</v>
      </c>
      <c r="D191" s="8">
        <f>Données!N185</f>
        <v>131082.9</v>
      </c>
      <c r="E191" s="236">
        <f>Données!O185+Données!P185+Données!R185</f>
        <v>464090.45</v>
      </c>
      <c r="F191" s="497">
        <f t="shared" si="8"/>
        <v>271370.09499999997</v>
      </c>
      <c r="G191" s="497">
        <f>Ecrêtage!M185</f>
        <v>36542.501108181103</v>
      </c>
      <c r="H191" s="498">
        <f t="shared" si="9"/>
        <v>728350.41794928024</v>
      </c>
      <c r="I191" s="321">
        <f t="shared" si="10"/>
        <v>1036263.0140574613</v>
      </c>
    </row>
    <row r="192" spans="1:9" s="35" customFormat="1" x14ac:dyDescent="0.25">
      <c r="A192" s="38">
        <f>Données!A186</f>
        <v>5715</v>
      </c>
      <c r="B192" s="548" t="str">
        <f>Données!B186</f>
        <v>Duillier</v>
      </c>
      <c r="C192" s="31">
        <f>VPI!R186</f>
        <v>60550.113787878792</v>
      </c>
      <c r="D192" s="8">
        <f>Données!N186</f>
        <v>117778.5</v>
      </c>
      <c r="E192" s="236">
        <f>Données!O186+Données!P186+Données!R186</f>
        <v>368954.85</v>
      </c>
      <c r="F192" s="497">
        <f t="shared" si="8"/>
        <v>219810.97499999998</v>
      </c>
      <c r="G192" s="497">
        <f>Ecrêtage!M186</f>
        <v>85656.635361672204</v>
      </c>
      <c r="H192" s="498">
        <f t="shared" si="9"/>
        <v>705348.95598262083</v>
      </c>
      <c r="I192" s="321">
        <f t="shared" si="10"/>
        <v>1010816.5663442931</v>
      </c>
    </row>
    <row r="193" spans="1:9" s="35" customFormat="1" x14ac:dyDescent="0.25">
      <c r="A193" s="38">
        <f>Données!A187</f>
        <v>5716</v>
      </c>
      <c r="B193" s="548" t="str">
        <f>Données!B187</f>
        <v>Eysins</v>
      </c>
      <c r="C193" s="31">
        <f>VPI!R187</f>
        <v>232571.69630252098</v>
      </c>
      <c r="D193" s="8">
        <f>Données!N187</f>
        <v>672454.95</v>
      </c>
      <c r="E193" s="236">
        <f>Données!O187+Données!P187+Données!R187</f>
        <v>464270.64999999997</v>
      </c>
      <c r="F193" s="497">
        <f t="shared" si="8"/>
        <v>433871.80999999994</v>
      </c>
      <c r="G193" s="497">
        <f>Ecrêtage!M187</f>
        <v>3506701.7644810486</v>
      </c>
      <c r="H193" s="498">
        <f t="shared" si="9"/>
        <v>2709230.3038896928</v>
      </c>
      <c r="I193" s="321">
        <f t="shared" si="10"/>
        <v>6649803.8783707414</v>
      </c>
    </row>
    <row r="194" spans="1:9" s="35" customFormat="1" x14ac:dyDescent="0.25">
      <c r="A194" s="38">
        <f>Données!A188</f>
        <v>5717</v>
      </c>
      <c r="B194" s="548" t="str">
        <f>Données!B188</f>
        <v>Founex</v>
      </c>
      <c r="C194" s="31">
        <f>VPI!R188</f>
        <v>361582.97087719297</v>
      </c>
      <c r="D194" s="8">
        <f>Données!N188</f>
        <v>206504.3</v>
      </c>
      <c r="E194" s="236">
        <f>Données!O188+Données!P188+Données!R188</f>
        <v>3620464.9</v>
      </c>
      <c r="F194" s="497">
        <f t="shared" si="8"/>
        <v>1872183.74</v>
      </c>
      <c r="G194" s="497">
        <f>Ecrêtage!M188</f>
        <v>3356750.0052048936</v>
      </c>
      <c r="H194" s="498">
        <f t="shared" si="9"/>
        <v>4212084.0912503451</v>
      </c>
      <c r="I194" s="321">
        <f t="shared" si="10"/>
        <v>9441017.836455239</v>
      </c>
    </row>
    <row r="195" spans="1:9" s="35" customFormat="1" x14ac:dyDescent="0.25">
      <c r="A195" s="38">
        <f>Données!A189</f>
        <v>5718</v>
      </c>
      <c r="B195" s="548" t="str">
        <f>Données!B189</f>
        <v>Genolier</v>
      </c>
      <c r="C195" s="31">
        <f>VPI!R189</f>
        <v>212699.2265454545</v>
      </c>
      <c r="D195" s="8">
        <f>Données!N189</f>
        <v>253669.75</v>
      </c>
      <c r="E195" s="236">
        <f>Données!O189+Données!P189+Données!R189</f>
        <v>1130565.8</v>
      </c>
      <c r="F195" s="497">
        <f t="shared" si="8"/>
        <v>641383.82500000007</v>
      </c>
      <c r="G195" s="497">
        <f>Ecrêtage!M189</f>
        <v>2230875.8576402073</v>
      </c>
      <c r="H195" s="498">
        <f t="shared" si="9"/>
        <v>2477735.6803610241</v>
      </c>
      <c r="I195" s="321">
        <f t="shared" si="10"/>
        <v>5349995.3630012311</v>
      </c>
    </row>
    <row r="196" spans="1:9" s="35" customFormat="1" x14ac:dyDescent="0.25">
      <c r="A196" s="38">
        <f>Données!A190</f>
        <v>5719</v>
      </c>
      <c r="B196" s="548" t="str">
        <f>Données!B190</f>
        <v>Gingins</v>
      </c>
      <c r="C196" s="31">
        <f>VPI!R190</f>
        <v>119943.29911111109</v>
      </c>
      <c r="D196" s="8">
        <f>Données!N190</f>
        <v>56832</v>
      </c>
      <c r="E196" s="236">
        <f>Données!O190+Données!P190+Données!R190</f>
        <v>1146505.4500000002</v>
      </c>
      <c r="F196" s="497">
        <f t="shared" si="8"/>
        <v>590302.32500000007</v>
      </c>
      <c r="G196" s="497">
        <f>Ecrêtage!M190</f>
        <v>1142380.8730958863</v>
      </c>
      <c r="H196" s="498">
        <f t="shared" si="9"/>
        <v>1397220.8392789087</v>
      </c>
      <c r="I196" s="321">
        <f t="shared" si="10"/>
        <v>3129904.0373747949</v>
      </c>
    </row>
    <row r="197" spans="1:9" s="35" customFormat="1" x14ac:dyDescent="0.25">
      <c r="A197" s="38">
        <f>Données!A191</f>
        <v>5720</v>
      </c>
      <c r="B197" s="548" t="str">
        <f>Données!B191</f>
        <v>Givrins</v>
      </c>
      <c r="C197" s="31">
        <f>VPI!R191</f>
        <v>84868.432139303477</v>
      </c>
      <c r="D197" s="8">
        <f>Données!N191</f>
        <v>16911.75</v>
      </c>
      <c r="E197" s="236">
        <f>Données!O191+Données!P191+Données!R191</f>
        <v>430178.25</v>
      </c>
      <c r="F197" s="497">
        <f t="shared" si="8"/>
        <v>220162.65</v>
      </c>
      <c r="G197" s="497">
        <f>Ecrêtage!M191</f>
        <v>709382.60391992435</v>
      </c>
      <c r="H197" s="498">
        <f t="shared" si="9"/>
        <v>988633.31974981423</v>
      </c>
      <c r="I197" s="321">
        <f t="shared" si="10"/>
        <v>1918178.5736697386</v>
      </c>
    </row>
    <row r="198" spans="1:9" s="35" customFormat="1" x14ac:dyDescent="0.25">
      <c r="A198" s="38">
        <f>Données!A192</f>
        <v>5721</v>
      </c>
      <c r="B198" s="548" t="str">
        <f>Données!B192</f>
        <v>Gland</v>
      </c>
      <c r="C198" s="31">
        <f>VPI!R192</f>
        <v>688985.30491803284</v>
      </c>
      <c r="D198" s="8">
        <f>Données!N192</f>
        <v>2399698.6</v>
      </c>
      <c r="E198" s="236">
        <f>Données!O192+Données!P192+Données!R192</f>
        <v>3637519.7</v>
      </c>
      <c r="F198" s="497">
        <f t="shared" si="8"/>
        <v>2538669.4300000002</v>
      </c>
      <c r="G198" s="497">
        <f>Ecrêtage!M192</f>
        <v>310251.33724882355</v>
      </c>
      <c r="H198" s="498">
        <f t="shared" si="9"/>
        <v>8025997.5598689448</v>
      </c>
      <c r="I198" s="321">
        <f t="shared" si="10"/>
        <v>10874918.327117767</v>
      </c>
    </row>
    <row r="199" spans="1:9" s="35" customFormat="1" x14ac:dyDescent="0.25">
      <c r="A199" s="38">
        <f>Données!A193</f>
        <v>5722</v>
      </c>
      <c r="B199" s="548" t="str">
        <f>Données!B193</f>
        <v>Grens</v>
      </c>
      <c r="C199" s="31">
        <f>VPI!R193</f>
        <v>20912.723225806454</v>
      </c>
      <c r="D199" s="8">
        <f>Données!N193</f>
        <v>19125.8</v>
      </c>
      <c r="E199" s="236">
        <f>Données!O193+Données!P193+Données!R193</f>
        <v>216352.8</v>
      </c>
      <c r="F199" s="497">
        <f t="shared" si="8"/>
        <v>113914.14</v>
      </c>
      <c r="G199" s="497">
        <f>Ecrêtage!M193</f>
        <v>19046.769131876175</v>
      </c>
      <c r="H199" s="498">
        <f t="shared" si="9"/>
        <v>243612.54787648257</v>
      </c>
      <c r="I199" s="321">
        <f t="shared" si="10"/>
        <v>376573.45700835873</v>
      </c>
    </row>
    <row r="200" spans="1:9" s="35" customFormat="1" x14ac:dyDescent="0.25">
      <c r="A200" s="38">
        <f>Données!A194</f>
        <v>5723</v>
      </c>
      <c r="B200" s="548" t="str">
        <f>Données!B194</f>
        <v>Mies</v>
      </c>
      <c r="C200" s="31">
        <f>VPI!R194</f>
        <v>253771.19326923077</v>
      </c>
      <c r="D200" s="8">
        <f>Données!N194</f>
        <v>212985</v>
      </c>
      <c r="E200" s="236">
        <f>Données!O194+Données!P194+Données!R194</f>
        <v>1982292.9</v>
      </c>
      <c r="F200" s="497">
        <f t="shared" si="8"/>
        <v>1055041.95</v>
      </c>
      <c r="G200" s="497">
        <f>Ecrêtage!M194</f>
        <v>2841208.5647462388</v>
      </c>
      <c r="H200" s="498">
        <f t="shared" si="9"/>
        <v>2956183.4822967472</v>
      </c>
      <c r="I200" s="321">
        <f t="shared" si="10"/>
        <v>6852433.9970429856</v>
      </c>
    </row>
    <row r="201" spans="1:9" s="35" customFormat="1" x14ac:dyDescent="0.25">
      <c r="A201" s="38">
        <f>Données!A195</f>
        <v>5724</v>
      </c>
      <c r="B201" s="548" t="str">
        <f>Données!B195</f>
        <v>Nyon</v>
      </c>
      <c r="C201" s="31">
        <f>VPI!R195</f>
        <v>1520148.6004918031</v>
      </c>
      <c r="D201" s="8">
        <f>Données!N195</f>
        <v>5455835.7000000002</v>
      </c>
      <c r="E201" s="236">
        <f>Données!O195+Données!P195+Données!R195</f>
        <v>8311215.4499999993</v>
      </c>
      <c r="F201" s="497">
        <f t="shared" si="8"/>
        <v>5792358.4349999996</v>
      </c>
      <c r="G201" s="497">
        <f>Ecrêtage!M195</f>
        <v>6561076.0432702005</v>
      </c>
      <c r="H201" s="498">
        <f t="shared" si="9"/>
        <v>17708228.130695611</v>
      </c>
      <c r="I201" s="321">
        <f t="shared" si="10"/>
        <v>30061662.60896581</v>
      </c>
    </row>
    <row r="202" spans="1:9" s="35" customFormat="1" x14ac:dyDescent="0.25">
      <c r="A202" s="38">
        <f>Données!A196</f>
        <v>5725</v>
      </c>
      <c r="B202" s="548" t="str">
        <f>Données!B196</f>
        <v>Prangins</v>
      </c>
      <c r="C202" s="31">
        <f>VPI!R196</f>
        <v>388958.996077922</v>
      </c>
      <c r="D202" s="8">
        <f>Données!N196</f>
        <v>1061787.3999999999</v>
      </c>
      <c r="E202" s="236">
        <f>Données!O196+Données!P196+Données!R196</f>
        <v>1596922.0999999999</v>
      </c>
      <c r="F202" s="497">
        <f t="shared" si="8"/>
        <v>1116997.27</v>
      </c>
      <c r="G202" s="497">
        <f>Ecrêtage!M196</f>
        <v>3198853.6057605054</v>
      </c>
      <c r="H202" s="498">
        <f t="shared" si="9"/>
        <v>4530987.7164678695</v>
      </c>
      <c r="I202" s="321">
        <f t="shared" si="10"/>
        <v>8846838.5922283754</v>
      </c>
    </row>
    <row r="203" spans="1:9" s="35" customFormat="1" x14ac:dyDescent="0.25">
      <c r="A203" s="38">
        <f>Données!A197</f>
        <v>5726</v>
      </c>
      <c r="B203" s="548" t="str">
        <f>Données!B197</f>
        <v>La Rippe</v>
      </c>
      <c r="C203" s="31">
        <f>VPI!R197</f>
        <v>69785.913125000021</v>
      </c>
      <c r="D203" s="8">
        <f>Données!N197</f>
        <v>20131.75</v>
      </c>
      <c r="E203" s="236">
        <f>Données!O197+Données!P197+Données!R197</f>
        <v>411332.55</v>
      </c>
      <c r="F203" s="497">
        <f t="shared" si="8"/>
        <v>211705.8</v>
      </c>
      <c r="G203" s="497">
        <f>Ecrêtage!M197</f>
        <v>151369.65940536879</v>
      </c>
      <c r="H203" s="498">
        <f t="shared" si="9"/>
        <v>812936.88625348906</v>
      </c>
      <c r="I203" s="321">
        <f t="shared" si="10"/>
        <v>1176012.3456588578</v>
      </c>
    </row>
    <row r="204" spans="1:9" s="35" customFormat="1" x14ac:dyDescent="0.25">
      <c r="A204" s="38">
        <f>Données!A198</f>
        <v>5727</v>
      </c>
      <c r="B204" s="548" t="str">
        <f>Données!B198</f>
        <v>Saint-Cergue</v>
      </c>
      <c r="C204" s="31">
        <f>VPI!R198</f>
        <v>107048.1634848485</v>
      </c>
      <c r="D204" s="8">
        <f>Données!N198</f>
        <v>188988.35</v>
      </c>
      <c r="E204" s="236">
        <f>Données!O198+Données!P198+Données!R198</f>
        <v>1409286.2</v>
      </c>
      <c r="F204" s="497">
        <f t="shared" si="8"/>
        <v>761339.60499999998</v>
      </c>
      <c r="G204" s="497">
        <f>Ecrêtage!M198</f>
        <v>0</v>
      </c>
      <c r="H204" s="498">
        <f t="shared" si="9"/>
        <v>1247005.2594518824</v>
      </c>
      <c r="I204" s="321">
        <f t="shared" si="10"/>
        <v>2008344.8644518824</v>
      </c>
    </row>
    <row r="205" spans="1:9" s="35" customFormat="1" x14ac:dyDescent="0.25">
      <c r="A205" s="38">
        <f>Données!A199</f>
        <v>5728</v>
      </c>
      <c r="B205" s="548" t="str">
        <f>Données!B199</f>
        <v>Signy-Avenex</v>
      </c>
      <c r="C205" s="31">
        <f>VPI!R199</f>
        <v>66000.760172413793</v>
      </c>
      <c r="D205" s="8">
        <f>Données!N199</f>
        <v>185182.65</v>
      </c>
      <c r="E205" s="236">
        <f>Données!O199+Données!P199+Données!R199</f>
        <v>219984.55</v>
      </c>
      <c r="F205" s="497">
        <f t="shared" ref="F205:F268" si="11">D205*$D$11+E205*$E$11</f>
        <v>165547.07</v>
      </c>
      <c r="G205" s="497">
        <f>Ecrêtage!M199</f>
        <v>816556.16146433167</v>
      </c>
      <c r="H205" s="498">
        <f t="shared" ref="H205:H268" si="12">$H$11*C205</f>
        <v>768843.59697092301</v>
      </c>
      <c r="I205" s="321">
        <f t="shared" ref="I205:I268" si="13">F205+H205+G205</f>
        <v>1750946.8284352547</v>
      </c>
    </row>
    <row r="206" spans="1:9" s="35" customFormat="1" x14ac:dyDescent="0.25">
      <c r="A206" s="38">
        <f>Données!A200</f>
        <v>5729</v>
      </c>
      <c r="B206" s="548" t="str">
        <f>Données!B200</f>
        <v>Tannay</v>
      </c>
      <c r="C206" s="31">
        <f>VPI!R200</f>
        <v>189085.86771349865</v>
      </c>
      <c r="D206" s="8">
        <f>Données!N200</f>
        <v>15753.15</v>
      </c>
      <c r="E206" s="236">
        <f>Données!O200+Données!P200+Données!R200</f>
        <v>1809913.5</v>
      </c>
      <c r="F206" s="497">
        <f t="shared" si="11"/>
        <v>909682.69499999995</v>
      </c>
      <c r="G206" s="497">
        <f>Ecrêtage!M200</f>
        <v>2334625.7977200588</v>
      </c>
      <c r="H206" s="498">
        <f t="shared" si="12"/>
        <v>2202663.3979585217</v>
      </c>
      <c r="I206" s="321">
        <f t="shared" si="13"/>
        <v>5446971.8906785809</v>
      </c>
    </row>
    <row r="207" spans="1:9" s="35" customFormat="1" x14ac:dyDescent="0.25">
      <c r="A207" s="38">
        <f>Données!A201</f>
        <v>5730</v>
      </c>
      <c r="B207" s="548" t="str">
        <f>Données!B201</f>
        <v>Trélex</v>
      </c>
      <c r="C207" s="31">
        <f>VPI!R201</f>
        <v>121414.34176176177</v>
      </c>
      <c r="D207" s="8">
        <f>Données!N201</f>
        <v>17011.650000000001</v>
      </c>
      <c r="E207" s="236">
        <f>Données!O201+Données!P201+Données!R201</f>
        <v>1095255.6000000001</v>
      </c>
      <c r="F207" s="497">
        <f t="shared" si="11"/>
        <v>552731.29500000004</v>
      </c>
      <c r="G207" s="497">
        <f>Ecrêtage!M201</f>
        <v>889710.24017083086</v>
      </c>
      <c r="H207" s="498">
        <f t="shared" si="12"/>
        <v>1414357.0316480477</v>
      </c>
      <c r="I207" s="321">
        <f t="shared" si="13"/>
        <v>2856798.5668188785</v>
      </c>
    </row>
    <row r="208" spans="1:9" s="35" customFormat="1" x14ac:dyDescent="0.25">
      <c r="A208" s="38">
        <f>Données!A202</f>
        <v>5731</v>
      </c>
      <c r="B208" s="548" t="str">
        <f>Données!B202</f>
        <v>Le Vaud</v>
      </c>
      <c r="C208" s="31">
        <f>VPI!R202</f>
        <v>69610.558648648643</v>
      </c>
      <c r="D208" s="8">
        <f>Données!N202</f>
        <v>40435</v>
      </c>
      <c r="E208" s="236">
        <f>Données!O202+Données!P202+Données!R202</f>
        <v>224967.45</v>
      </c>
      <c r="F208" s="497">
        <f t="shared" si="11"/>
        <v>124614.22500000001</v>
      </c>
      <c r="G208" s="497">
        <f>Ecrêtage!M202</f>
        <v>20788.045658566014</v>
      </c>
      <c r="H208" s="498">
        <f t="shared" si="12"/>
        <v>810894.17998782243</v>
      </c>
      <c r="I208" s="321">
        <f t="shared" si="13"/>
        <v>956296.45064638846</v>
      </c>
    </row>
    <row r="209" spans="1:9" s="35" customFormat="1" x14ac:dyDescent="0.25">
      <c r="A209" s="38">
        <f>Données!A203</f>
        <v>5732</v>
      </c>
      <c r="B209" s="548" t="str">
        <f>Données!B203</f>
        <v>Vich</v>
      </c>
      <c r="C209" s="31">
        <f>VPI!R203</f>
        <v>79861.73920634923</v>
      </c>
      <c r="D209" s="8">
        <f>Données!N203</f>
        <v>112018.45</v>
      </c>
      <c r="E209" s="236">
        <f>Données!O203+Données!P203+Données!R203</f>
        <v>300613.8</v>
      </c>
      <c r="F209" s="497">
        <f t="shared" si="11"/>
        <v>183912.435</v>
      </c>
      <c r="G209" s="497">
        <f>Ecrêtage!M203</f>
        <v>376547.86472371069</v>
      </c>
      <c r="H209" s="498">
        <f t="shared" si="12"/>
        <v>930310.29750816512</v>
      </c>
      <c r="I209" s="321">
        <f t="shared" si="13"/>
        <v>1490770.5972318756</v>
      </c>
    </row>
    <row r="210" spans="1:9" s="35" customFormat="1" x14ac:dyDescent="0.25">
      <c r="A210" s="38">
        <f>Données!A204</f>
        <v>5741</v>
      </c>
      <c r="B210" s="548" t="str">
        <f>Données!B204</f>
        <v>L'Abergement</v>
      </c>
      <c r="C210" s="31">
        <f>VPI!R204</f>
        <v>10833.904395833331</v>
      </c>
      <c r="D210" s="8">
        <f>Données!N204</f>
        <v>5545.6</v>
      </c>
      <c r="E210" s="236">
        <f>Données!O204+Données!P204+Données!R204</f>
        <v>30731.75</v>
      </c>
      <c r="F210" s="497">
        <f t="shared" si="11"/>
        <v>17029.555</v>
      </c>
      <c r="G210" s="497">
        <f>Ecrêtage!M204</f>
        <v>0</v>
      </c>
      <c r="H210" s="498">
        <f t="shared" si="12"/>
        <v>126204.27405945379</v>
      </c>
      <c r="I210" s="321">
        <f t="shared" si="13"/>
        <v>143233.8290594538</v>
      </c>
    </row>
    <row r="211" spans="1:9" s="35" customFormat="1" x14ac:dyDescent="0.25">
      <c r="A211" s="38">
        <f>Données!A205</f>
        <v>5742</v>
      </c>
      <c r="B211" s="548" t="str">
        <f>Données!B205</f>
        <v>Agiez</v>
      </c>
      <c r="C211" s="31">
        <f>VPI!R205</f>
        <v>9049.0364473684222</v>
      </c>
      <c r="D211" s="8">
        <f>Données!N205</f>
        <v>3021.6</v>
      </c>
      <c r="E211" s="236">
        <f>Données!O205+Données!P205+Données!R205</f>
        <v>0</v>
      </c>
      <c r="F211" s="497">
        <f t="shared" si="11"/>
        <v>906.4799999999999</v>
      </c>
      <c r="G211" s="497">
        <f>Ecrêtage!M205</f>
        <v>0</v>
      </c>
      <c r="H211" s="498">
        <f t="shared" si="12"/>
        <v>105412.32726927965</v>
      </c>
      <c r="I211" s="321">
        <f t="shared" si="13"/>
        <v>106318.80726927964</v>
      </c>
    </row>
    <row r="212" spans="1:9" s="35" customFormat="1" x14ac:dyDescent="0.25">
      <c r="A212" s="38">
        <f>Données!A206</f>
        <v>5743</v>
      </c>
      <c r="B212" s="548" t="str">
        <f>Données!B206</f>
        <v>Arnex-sur-Orbe</v>
      </c>
      <c r="C212" s="31">
        <f>VPI!R206</f>
        <v>19423.544507042254</v>
      </c>
      <c r="D212" s="8">
        <f>Données!N206</f>
        <v>27200.2</v>
      </c>
      <c r="E212" s="236">
        <f>Données!O206+Données!P206+Données!R206</f>
        <v>161662</v>
      </c>
      <c r="F212" s="497">
        <f t="shared" si="11"/>
        <v>88991.06</v>
      </c>
      <c r="G212" s="497">
        <f>Ecrêtage!M206</f>
        <v>0</v>
      </c>
      <c r="H212" s="498">
        <f t="shared" si="12"/>
        <v>226265.0882460741</v>
      </c>
      <c r="I212" s="321">
        <f t="shared" si="13"/>
        <v>315256.1482460741</v>
      </c>
    </row>
    <row r="213" spans="1:9" s="35" customFormat="1" x14ac:dyDescent="0.25">
      <c r="A213" s="38">
        <f>Données!A207</f>
        <v>5744</v>
      </c>
      <c r="B213" s="548" t="str">
        <f>Données!B207</f>
        <v>Ballaigues</v>
      </c>
      <c r="C213" s="31">
        <f>VPI!R207</f>
        <v>54105.101538461538</v>
      </c>
      <c r="D213" s="8">
        <f>Données!N207</f>
        <v>1643117.75</v>
      </c>
      <c r="E213" s="236">
        <f>Données!O207+Données!P207+Données!R207</f>
        <v>168565</v>
      </c>
      <c r="F213" s="497">
        <f t="shared" si="11"/>
        <v>577217.82499999995</v>
      </c>
      <c r="G213" s="497">
        <f>Ecrêtage!M207</f>
        <v>0</v>
      </c>
      <c r="H213" s="498">
        <f t="shared" si="12"/>
        <v>630270.93585953233</v>
      </c>
      <c r="I213" s="321">
        <f t="shared" si="13"/>
        <v>1207488.7608595323</v>
      </c>
    </row>
    <row r="214" spans="1:9" s="35" customFormat="1" x14ac:dyDescent="0.25">
      <c r="A214" s="38">
        <f>Données!A208</f>
        <v>5745</v>
      </c>
      <c r="B214" s="548" t="str">
        <f>Données!B208</f>
        <v>Baulmes</v>
      </c>
      <c r="C214" s="31">
        <f>VPI!R208</f>
        <v>27705.104967320265</v>
      </c>
      <c r="D214" s="8">
        <f>Données!N208</f>
        <v>212726.7</v>
      </c>
      <c r="E214" s="236">
        <f>Données!O208+Données!P208+Données!R208</f>
        <v>145742.70000000001</v>
      </c>
      <c r="F214" s="497">
        <f t="shared" si="11"/>
        <v>136689.36000000002</v>
      </c>
      <c r="G214" s="497">
        <f>Ecrêtage!M208</f>
        <v>0</v>
      </c>
      <c r="H214" s="498">
        <f t="shared" si="12"/>
        <v>322737.07911677344</v>
      </c>
      <c r="I214" s="321">
        <f t="shared" si="13"/>
        <v>459426.43911677343</v>
      </c>
    </row>
    <row r="215" spans="1:9" s="35" customFormat="1" x14ac:dyDescent="0.25">
      <c r="A215" s="38">
        <f>Données!A209</f>
        <v>5746</v>
      </c>
      <c r="B215" s="548" t="str">
        <f>Données!B209</f>
        <v>Bavois</v>
      </c>
      <c r="C215" s="31">
        <f>VPI!R209</f>
        <v>29513.59275462963</v>
      </c>
      <c r="D215" s="8">
        <f>Données!N209</f>
        <v>4091.65</v>
      </c>
      <c r="E215" s="236">
        <f>Données!O209+Données!P209+Données!R209</f>
        <v>251850.59999999998</v>
      </c>
      <c r="F215" s="497">
        <f t="shared" si="11"/>
        <v>127152.79499999998</v>
      </c>
      <c r="G215" s="497">
        <f>Ecrêtage!M209</f>
        <v>0</v>
      </c>
      <c r="H215" s="498">
        <f t="shared" si="12"/>
        <v>343804.1736750885</v>
      </c>
      <c r="I215" s="321">
        <f t="shared" si="13"/>
        <v>470956.96867508849</v>
      </c>
    </row>
    <row r="216" spans="1:9" s="35" customFormat="1" x14ac:dyDescent="0.25">
      <c r="A216" s="38">
        <f>Données!A210</f>
        <v>5747</v>
      </c>
      <c r="B216" s="548" t="str">
        <f>Données!B210</f>
        <v>Bofflens</v>
      </c>
      <c r="C216" s="31">
        <f>VPI!R210</f>
        <v>5778.0378260869547</v>
      </c>
      <c r="D216" s="8">
        <f>Données!N210</f>
        <v>0</v>
      </c>
      <c r="E216" s="236">
        <f>Données!O210+Données!P210+Données!R210</f>
        <v>79297.5</v>
      </c>
      <c r="F216" s="497">
        <f t="shared" si="11"/>
        <v>39648.75</v>
      </c>
      <c r="G216" s="497">
        <f>Ecrêtage!M210</f>
        <v>0</v>
      </c>
      <c r="H216" s="498">
        <f t="shared" si="12"/>
        <v>67308.42757019533</v>
      </c>
      <c r="I216" s="321">
        <f t="shared" si="13"/>
        <v>106957.17757019533</v>
      </c>
    </row>
    <row r="217" spans="1:9" s="35" customFormat="1" x14ac:dyDescent="0.25">
      <c r="A217" s="38">
        <f>Données!A211</f>
        <v>5748</v>
      </c>
      <c r="B217" s="548" t="str">
        <f>Données!B211</f>
        <v>Bretonnières</v>
      </c>
      <c r="C217" s="31">
        <f>VPI!R211</f>
        <v>6762.4759338061467</v>
      </c>
      <c r="D217" s="8">
        <f>Données!N211</f>
        <v>1720.55</v>
      </c>
      <c r="E217" s="236">
        <f>Données!O211+Données!P211+Données!R211</f>
        <v>38967.949999999997</v>
      </c>
      <c r="F217" s="497">
        <f t="shared" si="11"/>
        <v>20000.14</v>
      </c>
      <c r="G217" s="497">
        <f>Ecrêtage!M211</f>
        <v>0</v>
      </c>
      <c r="H217" s="498">
        <f t="shared" si="12"/>
        <v>78776.15815022013</v>
      </c>
      <c r="I217" s="321">
        <f t="shared" si="13"/>
        <v>98776.298150220129</v>
      </c>
    </row>
    <row r="218" spans="1:9" s="35" customFormat="1" x14ac:dyDescent="0.25">
      <c r="A218" s="38">
        <f>Données!A212</f>
        <v>5749</v>
      </c>
      <c r="B218" s="548" t="str">
        <f>Données!B212</f>
        <v>Chavornay</v>
      </c>
      <c r="C218" s="31">
        <f>VPI!R212</f>
        <v>144692.07858156026</v>
      </c>
      <c r="D218" s="8">
        <f>Données!N212</f>
        <v>650839.5</v>
      </c>
      <c r="E218" s="236">
        <f>Données!O212+Données!P212+Données!R212</f>
        <v>470950.10000000003</v>
      </c>
      <c r="F218" s="497">
        <f t="shared" si="11"/>
        <v>430726.9</v>
      </c>
      <c r="G218" s="497">
        <f>Ecrêtage!M212</f>
        <v>0</v>
      </c>
      <c r="H218" s="498">
        <f t="shared" si="12"/>
        <v>1685519.649459179</v>
      </c>
      <c r="I218" s="321">
        <f t="shared" si="13"/>
        <v>2116246.5494591789</v>
      </c>
    </row>
    <row r="219" spans="1:9" s="35" customFormat="1" x14ac:dyDescent="0.25">
      <c r="A219" s="38">
        <f>Données!A213</f>
        <v>5750</v>
      </c>
      <c r="B219" s="548" t="str">
        <f>Données!B213</f>
        <v>Les Clées</v>
      </c>
      <c r="C219" s="31">
        <f>VPI!R213</f>
        <v>5460.4465833333343</v>
      </c>
      <c r="D219" s="8">
        <f>Données!N213</f>
        <v>9772.5499999999993</v>
      </c>
      <c r="E219" s="236">
        <f>Données!O213+Données!P213+Données!R213</f>
        <v>55920.55</v>
      </c>
      <c r="F219" s="497">
        <f t="shared" si="11"/>
        <v>30892.04</v>
      </c>
      <c r="G219" s="497">
        <f>Ecrêtage!M213</f>
        <v>0</v>
      </c>
      <c r="H219" s="498">
        <f t="shared" si="12"/>
        <v>63608.803614239478</v>
      </c>
      <c r="I219" s="321">
        <f t="shared" si="13"/>
        <v>94500.843614239478</v>
      </c>
    </row>
    <row r="220" spans="1:9" s="35" customFormat="1" x14ac:dyDescent="0.25">
      <c r="A220" s="38">
        <f>Données!A214</f>
        <v>5752</v>
      </c>
      <c r="B220" s="548" t="str">
        <f>Données!B214</f>
        <v>Croy</v>
      </c>
      <c r="C220" s="31">
        <f>VPI!R214</f>
        <v>10204.254034749034</v>
      </c>
      <c r="D220" s="8">
        <f>Données!N214</f>
        <v>34274.050000000003</v>
      </c>
      <c r="E220" s="236">
        <f>Données!O214+Données!P214+Données!R214</f>
        <v>30677</v>
      </c>
      <c r="F220" s="497">
        <f t="shared" si="11"/>
        <v>25620.715</v>
      </c>
      <c r="G220" s="497">
        <f>Ecrêtage!M214</f>
        <v>0</v>
      </c>
      <c r="H220" s="498">
        <f t="shared" si="12"/>
        <v>118869.46992711547</v>
      </c>
      <c r="I220" s="321">
        <f t="shared" si="13"/>
        <v>144490.18492711548</v>
      </c>
    </row>
    <row r="221" spans="1:9" s="35" customFormat="1" x14ac:dyDescent="0.25">
      <c r="A221" s="38">
        <f>Données!A215</f>
        <v>5754</v>
      </c>
      <c r="B221" s="548" t="str">
        <f>Données!B215</f>
        <v>Juriens</v>
      </c>
      <c r="C221" s="31">
        <f>VPI!R215</f>
        <v>8633.2483544303759</v>
      </c>
      <c r="D221" s="8">
        <f>Données!N215</f>
        <v>0</v>
      </c>
      <c r="E221" s="236">
        <f>Données!O215+Données!P215+Données!R215</f>
        <v>325112.40000000002</v>
      </c>
      <c r="F221" s="497">
        <f t="shared" si="11"/>
        <v>162556.20000000001</v>
      </c>
      <c r="G221" s="497">
        <f>Ecrêtage!M215</f>
        <v>0</v>
      </c>
      <c r="H221" s="498">
        <f t="shared" si="12"/>
        <v>100568.80710198038</v>
      </c>
      <c r="I221" s="321">
        <f t="shared" si="13"/>
        <v>263125.00710198039</v>
      </c>
    </row>
    <row r="222" spans="1:9" s="35" customFormat="1" x14ac:dyDescent="0.25">
      <c r="A222" s="38">
        <f>Données!A216</f>
        <v>5755</v>
      </c>
      <c r="B222" s="548" t="str">
        <f>Données!B216</f>
        <v>Lignerolle</v>
      </c>
      <c r="C222" s="31">
        <f>VPI!R216</f>
        <v>10920.942602365787</v>
      </c>
      <c r="D222" s="8">
        <f>Données!N216</f>
        <v>50773.55</v>
      </c>
      <c r="E222" s="236">
        <f>Données!O216+Données!P216+Données!R216</f>
        <v>73124.95</v>
      </c>
      <c r="F222" s="497">
        <f t="shared" si="11"/>
        <v>51794.54</v>
      </c>
      <c r="G222" s="497">
        <f>Ecrêtage!M216</f>
        <v>0</v>
      </c>
      <c r="H222" s="498">
        <f t="shared" si="12"/>
        <v>127218.18310549356</v>
      </c>
      <c r="I222" s="321">
        <f t="shared" si="13"/>
        <v>179012.72310549355</v>
      </c>
    </row>
    <row r="223" spans="1:9" s="35" customFormat="1" x14ac:dyDescent="0.25">
      <c r="A223" s="38">
        <f>Données!A217</f>
        <v>5756</v>
      </c>
      <c r="B223" s="548" t="str">
        <f>Données!B217</f>
        <v>Montcherand</v>
      </c>
      <c r="C223" s="31">
        <f>VPI!R217</f>
        <v>17503.400416666664</v>
      </c>
      <c r="D223" s="8">
        <f>Données!N217</f>
        <v>11823.3</v>
      </c>
      <c r="E223" s="236">
        <f>Données!O217+Données!P217+Données!R217</f>
        <v>19326.25</v>
      </c>
      <c r="F223" s="497">
        <f t="shared" si="11"/>
        <v>13210.115</v>
      </c>
      <c r="G223" s="497">
        <f>Ecrêtage!M217</f>
        <v>0</v>
      </c>
      <c r="H223" s="498">
        <f t="shared" si="12"/>
        <v>203897.30815853699</v>
      </c>
      <c r="I223" s="321">
        <f t="shared" si="13"/>
        <v>217107.42315853699</v>
      </c>
    </row>
    <row r="224" spans="1:9" s="35" customFormat="1" x14ac:dyDescent="0.25">
      <c r="A224" s="38">
        <f>Données!A218</f>
        <v>5757</v>
      </c>
      <c r="B224" s="548" t="str">
        <f>Données!B218</f>
        <v>Orbe</v>
      </c>
      <c r="C224" s="31">
        <f>VPI!R218</f>
        <v>217762.06927152316</v>
      </c>
      <c r="D224" s="8">
        <f>Données!N218</f>
        <v>3330927</v>
      </c>
      <c r="E224" s="236">
        <f>Données!O218+Données!P218+Données!R218</f>
        <v>1528466.2000000002</v>
      </c>
      <c r="F224" s="497">
        <f t="shared" si="11"/>
        <v>1763511.2000000002</v>
      </c>
      <c r="G224" s="497">
        <f>Ecrêtage!M218</f>
        <v>0</v>
      </c>
      <c r="H224" s="498">
        <f t="shared" si="12"/>
        <v>2536712.7921736795</v>
      </c>
      <c r="I224" s="321">
        <f t="shared" si="13"/>
        <v>4300223.9921736792</v>
      </c>
    </row>
    <row r="225" spans="1:9" s="35" customFormat="1" x14ac:dyDescent="0.25">
      <c r="A225" s="38">
        <f>Données!A219</f>
        <v>5758</v>
      </c>
      <c r="B225" s="548" t="str">
        <f>Données!B219</f>
        <v>La Praz</v>
      </c>
      <c r="C225" s="31">
        <f>VPI!R219</f>
        <v>4500.7334939759048</v>
      </c>
      <c r="D225" s="8">
        <f>Données!N219</f>
        <v>497.55</v>
      </c>
      <c r="E225" s="236">
        <f>Données!O219+Données!P219+Données!R219</f>
        <v>2090</v>
      </c>
      <c r="F225" s="497">
        <f t="shared" si="11"/>
        <v>1194.2649999999999</v>
      </c>
      <c r="G225" s="497">
        <f>Ecrêtage!M219</f>
        <v>0</v>
      </c>
      <c r="H225" s="498">
        <f t="shared" si="12"/>
        <v>52429.095050972828</v>
      </c>
      <c r="I225" s="321">
        <f t="shared" si="13"/>
        <v>53623.360050972828</v>
      </c>
    </row>
    <row r="226" spans="1:9" s="35" customFormat="1" x14ac:dyDescent="0.25">
      <c r="A226" s="38">
        <f>Données!A220</f>
        <v>5759</v>
      </c>
      <c r="B226" s="548" t="str">
        <f>Données!B220</f>
        <v>Premier</v>
      </c>
      <c r="C226" s="31">
        <f>VPI!R220</f>
        <v>5667.0675471698114</v>
      </c>
      <c r="D226" s="8">
        <f>Données!N220</f>
        <v>4142.25</v>
      </c>
      <c r="E226" s="236">
        <f>Données!O220+Données!P220+Données!R220</f>
        <v>41408.65</v>
      </c>
      <c r="F226" s="497">
        <f t="shared" si="11"/>
        <v>21947</v>
      </c>
      <c r="G226" s="497">
        <f>Ecrêtage!M220</f>
        <v>0</v>
      </c>
      <c r="H226" s="498">
        <f t="shared" si="12"/>
        <v>66015.733543995564</v>
      </c>
      <c r="I226" s="321">
        <f t="shared" si="13"/>
        <v>87962.733543995564</v>
      </c>
    </row>
    <row r="227" spans="1:9" s="35" customFormat="1" x14ac:dyDescent="0.25">
      <c r="A227" s="38">
        <f>Données!A221</f>
        <v>5760</v>
      </c>
      <c r="B227" s="548" t="str">
        <f>Données!B221</f>
        <v>Rances</v>
      </c>
      <c r="C227" s="31">
        <f>VPI!R221</f>
        <v>16308.735686274507</v>
      </c>
      <c r="D227" s="8">
        <f>Données!N221</f>
        <v>31918.75</v>
      </c>
      <c r="E227" s="236">
        <f>Données!O221+Données!P221+Données!R221</f>
        <v>122747.29999999999</v>
      </c>
      <c r="F227" s="497">
        <f t="shared" si="11"/>
        <v>70949.274999999994</v>
      </c>
      <c r="G227" s="497">
        <f>Ecrêtage!M221</f>
        <v>0</v>
      </c>
      <c r="H227" s="498">
        <f t="shared" si="12"/>
        <v>189980.64528844916</v>
      </c>
      <c r="I227" s="321">
        <f t="shared" si="13"/>
        <v>260929.92028844915</v>
      </c>
    </row>
    <row r="228" spans="1:9" s="35" customFormat="1" x14ac:dyDescent="0.25">
      <c r="A228" s="38">
        <f>Données!A222</f>
        <v>5761</v>
      </c>
      <c r="B228" s="548" t="str">
        <f>Données!B222</f>
        <v>Romainmôtier-Envy</v>
      </c>
      <c r="C228" s="31">
        <f>VPI!R222</f>
        <v>14407.779147025813</v>
      </c>
      <c r="D228" s="8">
        <f>Données!N222</f>
        <v>75342.05</v>
      </c>
      <c r="E228" s="236">
        <f>Données!O222+Données!P222+Données!R222</f>
        <v>50770.2</v>
      </c>
      <c r="F228" s="497">
        <f t="shared" si="11"/>
        <v>47987.714999999997</v>
      </c>
      <c r="G228" s="497">
        <f>Ecrêtage!M222</f>
        <v>0</v>
      </c>
      <c r="H228" s="498">
        <f t="shared" si="12"/>
        <v>167836.38119962066</v>
      </c>
      <c r="I228" s="321">
        <f t="shared" si="13"/>
        <v>215824.09619962066</v>
      </c>
    </row>
    <row r="229" spans="1:9" s="35" customFormat="1" x14ac:dyDescent="0.25">
      <c r="A229" s="38">
        <f>Données!A223</f>
        <v>5762</v>
      </c>
      <c r="B229" s="548" t="str">
        <f>Données!B223</f>
        <v>Sergey</v>
      </c>
      <c r="C229" s="31">
        <f>VPI!R223</f>
        <v>3741.4505128205124</v>
      </c>
      <c r="D229" s="8">
        <f>Données!N223</f>
        <v>11860.15</v>
      </c>
      <c r="E229" s="236">
        <f>Données!O223+Données!P223+Données!R223</f>
        <v>6230.7</v>
      </c>
      <c r="F229" s="497">
        <f t="shared" si="11"/>
        <v>6673.3949999999995</v>
      </c>
      <c r="G229" s="497">
        <f>Ecrêtage!M223</f>
        <v>0</v>
      </c>
      <c r="H229" s="498">
        <f t="shared" si="12"/>
        <v>43584.199070603281</v>
      </c>
      <c r="I229" s="321">
        <f t="shared" si="13"/>
        <v>50257.594070603278</v>
      </c>
    </row>
    <row r="230" spans="1:9" s="35" customFormat="1" x14ac:dyDescent="0.25">
      <c r="A230" s="38">
        <f>Données!A224</f>
        <v>5763</v>
      </c>
      <c r="B230" s="548" t="str">
        <f>Données!B224</f>
        <v>Valeyres-sous-Rances</v>
      </c>
      <c r="C230" s="31">
        <f>VPI!R224</f>
        <v>22295.640563380282</v>
      </c>
      <c r="D230" s="8">
        <f>Données!N224</f>
        <v>28645.15</v>
      </c>
      <c r="E230" s="236">
        <f>Données!O224+Données!P224+Données!R224</f>
        <v>22840.15</v>
      </c>
      <c r="F230" s="497">
        <f t="shared" si="11"/>
        <v>20013.620000000003</v>
      </c>
      <c r="G230" s="497">
        <f>Ecrêtage!M224</f>
        <v>0</v>
      </c>
      <c r="H230" s="498">
        <f t="shared" si="12"/>
        <v>259722.16748322942</v>
      </c>
      <c r="I230" s="321">
        <f t="shared" si="13"/>
        <v>279735.78748322942</v>
      </c>
    </row>
    <row r="231" spans="1:9" s="35" customFormat="1" x14ac:dyDescent="0.25">
      <c r="A231" s="38">
        <f>Données!A225</f>
        <v>5764</v>
      </c>
      <c r="B231" s="548" t="str">
        <f>Données!B225</f>
        <v>Vallorbe</v>
      </c>
      <c r="C231" s="31">
        <f>VPI!R225</f>
        <v>83717.114965034954</v>
      </c>
      <c r="D231" s="8">
        <f>Données!N225</f>
        <v>2438828.15</v>
      </c>
      <c r="E231" s="236">
        <f>Données!O225+Données!P225+Données!R225</f>
        <v>651890.39999999991</v>
      </c>
      <c r="F231" s="497">
        <f t="shared" si="11"/>
        <v>1057593.645</v>
      </c>
      <c r="G231" s="497">
        <f>Ecrêtage!M225</f>
        <v>0</v>
      </c>
      <c r="H231" s="498">
        <f t="shared" si="12"/>
        <v>975221.6130481544</v>
      </c>
      <c r="I231" s="321">
        <f t="shared" si="13"/>
        <v>2032815.2580481544</v>
      </c>
    </row>
    <row r="232" spans="1:9" s="35" customFormat="1" x14ac:dyDescent="0.25">
      <c r="A232" s="38">
        <f>Données!A226</f>
        <v>5765</v>
      </c>
      <c r="B232" s="548" t="str">
        <f>Données!B226</f>
        <v>Vaulion</v>
      </c>
      <c r="C232" s="31">
        <f>VPI!R226</f>
        <v>9628.0504938271606</v>
      </c>
      <c r="D232" s="8">
        <f>Données!N226</f>
        <v>28577.200000000001</v>
      </c>
      <c r="E232" s="236">
        <f>Données!O226+Données!P226+Données!R226</f>
        <v>13833.349999999999</v>
      </c>
      <c r="F232" s="497">
        <f t="shared" si="11"/>
        <v>15489.834999999999</v>
      </c>
      <c r="G232" s="497">
        <f>Ecrêtage!M226</f>
        <v>0</v>
      </c>
      <c r="H232" s="498">
        <f t="shared" si="12"/>
        <v>112157.26840348938</v>
      </c>
      <c r="I232" s="321">
        <f t="shared" si="13"/>
        <v>127647.10340348937</v>
      </c>
    </row>
    <row r="233" spans="1:9" s="35" customFormat="1" x14ac:dyDescent="0.25">
      <c r="A233" s="38">
        <f>Données!A227</f>
        <v>5766</v>
      </c>
      <c r="B233" s="548" t="str">
        <f>Données!B227</f>
        <v>Vuiteboeuf</v>
      </c>
      <c r="C233" s="31">
        <f>VPI!R227</f>
        <v>15422.760361904762</v>
      </c>
      <c r="D233" s="8">
        <f>Données!N227</f>
        <v>34762.300000000003</v>
      </c>
      <c r="E233" s="236">
        <f>Données!O227+Données!P227+Données!R227</f>
        <v>169681.75</v>
      </c>
      <c r="F233" s="497">
        <f t="shared" si="11"/>
        <v>95269.565000000002</v>
      </c>
      <c r="G233" s="497">
        <f>Ecrêtage!M227</f>
        <v>0</v>
      </c>
      <c r="H233" s="498">
        <f t="shared" si="12"/>
        <v>179659.90877819568</v>
      </c>
      <c r="I233" s="321">
        <f t="shared" si="13"/>
        <v>274929.47377819568</v>
      </c>
    </row>
    <row r="234" spans="1:9" s="35" customFormat="1" x14ac:dyDescent="0.25">
      <c r="A234" s="38">
        <f>Données!A228</f>
        <v>5785</v>
      </c>
      <c r="B234" s="548" t="str">
        <f>Données!B228</f>
        <v>Corcelles-le-Jorat</v>
      </c>
      <c r="C234" s="31">
        <f>VPI!R228</f>
        <v>15461.968933333332</v>
      </c>
      <c r="D234" s="8">
        <f>Données!N228</f>
        <v>0</v>
      </c>
      <c r="E234" s="236">
        <f>Données!O228+Données!P228+Données!R228</f>
        <v>36292.25</v>
      </c>
      <c r="F234" s="497">
        <f t="shared" si="11"/>
        <v>18146.125</v>
      </c>
      <c r="G234" s="497">
        <f>Ecrêtage!M228</f>
        <v>0</v>
      </c>
      <c r="H234" s="498">
        <f t="shared" si="12"/>
        <v>180116.64986739651</v>
      </c>
      <c r="I234" s="321">
        <f t="shared" si="13"/>
        <v>198262.77486739651</v>
      </c>
    </row>
    <row r="235" spans="1:9" s="35" customFormat="1" x14ac:dyDescent="0.25">
      <c r="A235" s="38">
        <f>Données!A229</f>
        <v>5790</v>
      </c>
      <c r="B235" s="548" t="str">
        <f>Données!B229</f>
        <v>Maracon</v>
      </c>
      <c r="C235" s="31">
        <f>VPI!R229</f>
        <v>16326.697583892621</v>
      </c>
      <c r="D235" s="8">
        <f>Données!N229</f>
        <v>8883.9500000000007</v>
      </c>
      <c r="E235" s="236">
        <f>Données!O229+Données!P229+Données!R229</f>
        <v>21054.25</v>
      </c>
      <c r="F235" s="497">
        <f t="shared" si="11"/>
        <v>13192.31</v>
      </c>
      <c r="G235" s="497">
        <f>Ecrêtage!M229</f>
        <v>0</v>
      </c>
      <c r="H235" s="498">
        <f t="shared" si="12"/>
        <v>190189.88363565996</v>
      </c>
      <c r="I235" s="321">
        <f t="shared" si="13"/>
        <v>203382.19363565996</v>
      </c>
    </row>
    <row r="236" spans="1:9" s="35" customFormat="1" x14ac:dyDescent="0.25">
      <c r="A236" s="38">
        <f>Données!A230</f>
        <v>5792</v>
      </c>
      <c r="B236" s="548" t="str">
        <f>Données!B230</f>
        <v>Montpreveyres</v>
      </c>
      <c r="C236" s="31">
        <f>VPI!R230</f>
        <v>19363.161854304632</v>
      </c>
      <c r="D236" s="8">
        <f>Données!N230</f>
        <v>0</v>
      </c>
      <c r="E236" s="236">
        <f>Données!O230+Données!P230+Données!R230</f>
        <v>39045.4</v>
      </c>
      <c r="F236" s="497">
        <f t="shared" si="11"/>
        <v>19522.7</v>
      </c>
      <c r="G236" s="497">
        <f>Ecrêtage!M230</f>
        <v>0</v>
      </c>
      <c r="H236" s="498">
        <f t="shared" si="12"/>
        <v>225561.69004574788</v>
      </c>
      <c r="I236" s="321">
        <f t="shared" si="13"/>
        <v>245084.39004574789</v>
      </c>
    </row>
    <row r="237" spans="1:9" s="35" customFormat="1" x14ac:dyDescent="0.25">
      <c r="A237" s="38">
        <f>Données!A231</f>
        <v>5798</v>
      </c>
      <c r="B237" s="548" t="str">
        <f>Données!B231</f>
        <v>Ropraz</v>
      </c>
      <c r="C237" s="31">
        <f>VPI!R231</f>
        <v>16208.351096774193</v>
      </c>
      <c r="D237" s="8">
        <f>Données!N231</f>
        <v>23607.15</v>
      </c>
      <c r="E237" s="236">
        <f>Données!O231+Données!P231+Données!R231</f>
        <v>62337.600000000006</v>
      </c>
      <c r="F237" s="497">
        <f t="shared" si="11"/>
        <v>38250.945000000007</v>
      </c>
      <c r="G237" s="497">
        <f>Ecrêtage!M231</f>
        <v>0</v>
      </c>
      <c r="H237" s="498">
        <f t="shared" si="12"/>
        <v>188811.26407722896</v>
      </c>
      <c r="I237" s="321">
        <f t="shared" si="13"/>
        <v>227062.20907722897</v>
      </c>
    </row>
    <row r="238" spans="1:9" s="35" customFormat="1" x14ac:dyDescent="0.25">
      <c r="A238" s="38">
        <f>Données!A232</f>
        <v>5799</v>
      </c>
      <c r="B238" s="548" t="str">
        <f>Données!B232</f>
        <v>Servion</v>
      </c>
      <c r="C238" s="31">
        <f>VPI!R232</f>
        <v>73170.718115942043</v>
      </c>
      <c r="D238" s="8">
        <f>Données!N232</f>
        <v>35318.199999999997</v>
      </c>
      <c r="E238" s="236">
        <f>Données!O232+Données!P232+Données!R232</f>
        <v>823281.3</v>
      </c>
      <c r="F238" s="497">
        <f t="shared" si="11"/>
        <v>422236.11000000004</v>
      </c>
      <c r="G238" s="497">
        <f>Ecrêtage!M232</f>
        <v>0</v>
      </c>
      <c r="H238" s="498">
        <f t="shared" si="12"/>
        <v>852366.5176317154</v>
      </c>
      <c r="I238" s="321">
        <f t="shared" si="13"/>
        <v>1274602.6276317155</v>
      </c>
    </row>
    <row r="239" spans="1:9" s="35" customFormat="1" x14ac:dyDescent="0.25">
      <c r="A239" s="38">
        <f>Données!A233</f>
        <v>5803</v>
      </c>
      <c r="B239" s="548" t="str">
        <f>Données!B233</f>
        <v>Vulliens</v>
      </c>
      <c r="C239" s="31">
        <f>VPI!R233</f>
        <v>16577.57405405405</v>
      </c>
      <c r="D239" s="8">
        <f>Données!N233</f>
        <v>1523.85</v>
      </c>
      <c r="E239" s="236">
        <f>Données!O233+Données!P233+Données!R233</f>
        <v>135281.45000000001</v>
      </c>
      <c r="F239" s="497">
        <f t="shared" si="11"/>
        <v>68097.88</v>
      </c>
      <c r="G239" s="497">
        <f>Ecrêtage!M233</f>
        <v>0</v>
      </c>
      <c r="H239" s="498">
        <f t="shared" si="12"/>
        <v>193112.34645594278</v>
      </c>
      <c r="I239" s="321">
        <f t="shared" si="13"/>
        <v>261210.22645594279</v>
      </c>
    </row>
    <row r="240" spans="1:9" s="35" customFormat="1" x14ac:dyDescent="0.25">
      <c r="A240" s="38">
        <f>Données!A234</f>
        <v>5804</v>
      </c>
      <c r="B240" s="548" t="str">
        <f>Données!B234</f>
        <v>Jorat-Menthue</v>
      </c>
      <c r="C240" s="31">
        <f>VPI!R234</f>
        <v>45125.345957446807</v>
      </c>
      <c r="D240" s="8">
        <f>Données!N234</f>
        <v>14036.3</v>
      </c>
      <c r="E240" s="236">
        <f>Données!O234+Données!P234+Données!R234</f>
        <v>199966.45</v>
      </c>
      <c r="F240" s="497">
        <f t="shared" si="11"/>
        <v>104194.11500000001</v>
      </c>
      <c r="G240" s="497">
        <f>Ecrêtage!M234</f>
        <v>0</v>
      </c>
      <c r="H240" s="498">
        <f t="shared" si="12"/>
        <v>525665.66218099138</v>
      </c>
      <c r="I240" s="321">
        <f t="shared" si="13"/>
        <v>629859.77718099137</v>
      </c>
    </row>
    <row r="241" spans="1:9" s="35" customFormat="1" x14ac:dyDescent="0.25">
      <c r="A241" s="38">
        <f>Données!A235</f>
        <v>5805</v>
      </c>
      <c r="B241" s="548" t="str">
        <f>Données!B235</f>
        <v>Oron</v>
      </c>
      <c r="C241" s="31">
        <f>VPI!R235</f>
        <v>174509.83123847167</v>
      </c>
      <c r="D241" s="8">
        <f>Données!N235</f>
        <v>146218.9</v>
      </c>
      <c r="E241" s="236">
        <f>Données!O235+Données!P235+Données!R235</f>
        <v>906430.55</v>
      </c>
      <c r="F241" s="497">
        <f t="shared" si="11"/>
        <v>497080.94500000001</v>
      </c>
      <c r="G241" s="497">
        <f>Ecrêtage!M235</f>
        <v>0</v>
      </c>
      <c r="H241" s="498">
        <f t="shared" si="12"/>
        <v>2032866.9852541243</v>
      </c>
      <c r="I241" s="321">
        <f t="shared" si="13"/>
        <v>2529947.9302541241</v>
      </c>
    </row>
    <row r="242" spans="1:9" s="35" customFormat="1" x14ac:dyDescent="0.25">
      <c r="A242" s="38">
        <f>Données!A236</f>
        <v>5806</v>
      </c>
      <c r="B242" s="548" t="str">
        <f>Données!B236</f>
        <v>Jorat-Mézières</v>
      </c>
      <c r="C242" s="31">
        <f>VPI!R236</f>
        <v>102977.86342465752</v>
      </c>
      <c r="D242" s="8">
        <f>Données!N236</f>
        <v>34602.65</v>
      </c>
      <c r="E242" s="236">
        <f>Données!O236+Données!P236+Données!R236</f>
        <v>723157.3</v>
      </c>
      <c r="F242" s="497">
        <f t="shared" si="11"/>
        <v>371959.44500000001</v>
      </c>
      <c r="G242" s="497">
        <f>Ecrêtage!M236</f>
        <v>0</v>
      </c>
      <c r="H242" s="498">
        <f t="shared" si="12"/>
        <v>1199590.2883083199</v>
      </c>
      <c r="I242" s="321">
        <f t="shared" si="13"/>
        <v>1571549.7333083199</v>
      </c>
    </row>
    <row r="243" spans="1:9" s="35" customFormat="1" x14ac:dyDescent="0.25">
      <c r="A243" s="38">
        <f>Données!A237</f>
        <v>5812</v>
      </c>
      <c r="B243" s="548" t="str">
        <f>Données!B237</f>
        <v>Champtauroz</v>
      </c>
      <c r="C243" s="31">
        <f>VPI!R237</f>
        <v>3602.9164935064928</v>
      </c>
      <c r="D243" s="8">
        <f>Données!N237</f>
        <v>0</v>
      </c>
      <c r="E243" s="236">
        <f>Données!O237+Données!P237+Données!R237</f>
        <v>46241.7</v>
      </c>
      <c r="F243" s="497">
        <f t="shared" si="11"/>
        <v>23120.85</v>
      </c>
      <c r="G243" s="497">
        <f>Ecrêtage!M237</f>
        <v>0</v>
      </c>
      <c r="H243" s="498">
        <f t="shared" si="12"/>
        <v>41970.414722756504</v>
      </c>
      <c r="I243" s="321">
        <f t="shared" si="13"/>
        <v>65091.264722756503</v>
      </c>
    </row>
    <row r="244" spans="1:9" s="35" customFormat="1" x14ac:dyDescent="0.25">
      <c r="A244" s="38">
        <f>Données!A238</f>
        <v>5813</v>
      </c>
      <c r="B244" s="548" t="str">
        <f>Données!B238</f>
        <v>Chevroux</v>
      </c>
      <c r="C244" s="31">
        <f>VPI!R238</f>
        <v>17498.80282238443</v>
      </c>
      <c r="D244" s="8">
        <f>Données!N238</f>
        <v>0</v>
      </c>
      <c r="E244" s="236">
        <f>Données!O238+Données!P238+Données!R238</f>
        <v>163566.75</v>
      </c>
      <c r="F244" s="497">
        <f t="shared" si="11"/>
        <v>81783.375</v>
      </c>
      <c r="G244" s="497">
        <f>Ecrêtage!M238</f>
        <v>0</v>
      </c>
      <c r="H244" s="498">
        <f t="shared" si="12"/>
        <v>203843.75073107507</v>
      </c>
      <c r="I244" s="321">
        <f t="shared" si="13"/>
        <v>285627.12573107507</v>
      </c>
    </row>
    <row r="245" spans="1:9" s="35" customFormat="1" x14ac:dyDescent="0.25">
      <c r="A245" s="38">
        <f>Données!A239</f>
        <v>5816</v>
      </c>
      <c r="B245" s="548" t="str">
        <f>Données!B239</f>
        <v>Corcelles-près-Payerne</v>
      </c>
      <c r="C245" s="31">
        <f>VPI!R239</f>
        <v>65701.749572471308</v>
      </c>
      <c r="D245" s="8">
        <f>Données!N239</f>
        <v>25586.25</v>
      </c>
      <c r="E245" s="236">
        <f>Données!O239+Données!P239+Données!R239</f>
        <v>416443.65</v>
      </c>
      <c r="F245" s="497">
        <f t="shared" si="11"/>
        <v>215897.7</v>
      </c>
      <c r="G245" s="497">
        <f>Ecrêtage!M239</f>
        <v>0</v>
      </c>
      <c r="H245" s="498">
        <f t="shared" si="12"/>
        <v>765360.41913188505</v>
      </c>
      <c r="I245" s="321">
        <f t="shared" si="13"/>
        <v>981258.119131885</v>
      </c>
    </row>
    <row r="246" spans="1:9" s="35" customFormat="1" x14ac:dyDescent="0.25">
      <c r="A246" s="38">
        <f>Données!A240</f>
        <v>5817</v>
      </c>
      <c r="B246" s="548" t="str">
        <f>Données!B240</f>
        <v>Grandcour</v>
      </c>
      <c r="C246" s="31">
        <f>VPI!R240</f>
        <v>25916.897414965984</v>
      </c>
      <c r="D246" s="8">
        <f>Données!N240</f>
        <v>4888.55</v>
      </c>
      <c r="E246" s="236">
        <f>Données!O240+Données!P240+Données!R240</f>
        <v>195607.7</v>
      </c>
      <c r="F246" s="497">
        <f t="shared" si="11"/>
        <v>99270.415000000008</v>
      </c>
      <c r="G246" s="497">
        <f>Ecrêtage!M240</f>
        <v>0</v>
      </c>
      <c r="H246" s="498">
        <f t="shared" si="12"/>
        <v>301906.22924336122</v>
      </c>
      <c r="I246" s="321">
        <f t="shared" si="13"/>
        <v>401176.6442433612</v>
      </c>
    </row>
    <row r="247" spans="1:9" s="35" customFormat="1" x14ac:dyDescent="0.25">
      <c r="A247" s="38">
        <f>Données!A241</f>
        <v>5819</v>
      </c>
      <c r="B247" s="548" t="str">
        <f>Données!B241</f>
        <v>Henniez</v>
      </c>
      <c r="C247" s="31">
        <f>VPI!R241</f>
        <v>10275.75579710145</v>
      </c>
      <c r="D247" s="8">
        <f>Données!N241</f>
        <v>5775.65</v>
      </c>
      <c r="E247" s="236">
        <f>Données!O241+Données!P241+Données!R241</f>
        <v>178431.65</v>
      </c>
      <c r="F247" s="497">
        <f t="shared" si="11"/>
        <v>90948.52</v>
      </c>
      <c r="G247" s="497">
        <f>Ecrêtage!M241</f>
        <v>0</v>
      </c>
      <c r="H247" s="498">
        <f t="shared" si="12"/>
        <v>119702.39476030199</v>
      </c>
      <c r="I247" s="321">
        <f t="shared" si="13"/>
        <v>210650.914760302</v>
      </c>
    </row>
    <row r="248" spans="1:9" s="35" customFormat="1" x14ac:dyDescent="0.25">
      <c r="A248" s="38">
        <f>Données!A242</f>
        <v>5821</v>
      </c>
      <c r="B248" s="548" t="str">
        <f>Données!B242</f>
        <v>Missy</v>
      </c>
      <c r="C248" s="31">
        <f>VPI!R242</f>
        <v>8375.965000000002</v>
      </c>
      <c r="D248" s="8">
        <f>Données!N242</f>
        <v>0</v>
      </c>
      <c r="E248" s="236">
        <f>Données!O242+Données!P242+Données!R242</f>
        <v>80545.649999999994</v>
      </c>
      <c r="F248" s="497">
        <f t="shared" si="11"/>
        <v>40272.824999999997</v>
      </c>
      <c r="G248" s="497">
        <f>Ecrêtage!M242</f>
        <v>0</v>
      </c>
      <c r="H248" s="498">
        <f t="shared" si="12"/>
        <v>97571.71041484749</v>
      </c>
      <c r="I248" s="321">
        <f t="shared" si="13"/>
        <v>137844.53541484749</v>
      </c>
    </row>
    <row r="249" spans="1:9" s="35" customFormat="1" x14ac:dyDescent="0.25">
      <c r="A249" s="38">
        <f>Données!A243</f>
        <v>5822</v>
      </c>
      <c r="B249" s="548" t="str">
        <f>Données!B243</f>
        <v>Payerne</v>
      </c>
      <c r="C249" s="31">
        <f>VPI!R243</f>
        <v>226909.24698630138</v>
      </c>
      <c r="D249" s="8">
        <f>Données!N243</f>
        <v>423703.7</v>
      </c>
      <c r="E249" s="236">
        <f>Données!O243+Données!P243+Données!R243</f>
        <v>1791234</v>
      </c>
      <c r="F249" s="497">
        <f t="shared" si="11"/>
        <v>1022728.11</v>
      </c>
      <c r="G249" s="497">
        <f>Ecrêtage!M243</f>
        <v>0</v>
      </c>
      <c r="H249" s="498">
        <f t="shared" si="12"/>
        <v>2643268.3681699364</v>
      </c>
      <c r="I249" s="321">
        <f t="shared" si="13"/>
        <v>3665996.4781699362</v>
      </c>
    </row>
    <row r="250" spans="1:9" s="35" customFormat="1" x14ac:dyDescent="0.25">
      <c r="A250" s="38">
        <f>Données!A244</f>
        <v>5827</v>
      </c>
      <c r="B250" s="548" t="str">
        <f>Données!B244</f>
        <v>Trey</v>
      </c>
      <c r="C250" s="31">
        <f>VPI!R244</f>
        <v>7715.2558974358981</v>
      </c>
      <c r="D250" s="8">
        <f>Données!N244</f>
        <v>0</v>
      </c>
      <c r="E250" s="236">
        <f>Données!O244+Données!P244+Données!R244</f>
        <v>49273.350000000006</v>
      </c>
      <c r="F250" s="497">
        <f t="shared" si="11"/>
        <v>24636.675000000003</v>
      </c>
      <c r="G250" s="497">
        <f>Ecrêtage!M244</f>
        <v>0</v>
      </c>
      <c r="H250" s="498">
        <f t="shared" si="12"/>
        <v>89875.102653969967</v>
      </c>
      <c r="I250" s="321">
        <f t="shared" si="13"/>
        <v>114511.77765396997</v>
      </c>
    </row>
    <row r="251" spans="1:9" s="35" customFormat="1" x14ac:dyDescent="0.25">
      <c r="A251" s="38">
        <f>Données!A245</f>
        <v>5828</v>
      </c>
      <c r="B251" s="548" t="str">
        <f>Données!B245</f>
        <v>Treytorrens (Payerne)</v>
      </c>
      <c r="C251" s="31">
        <f>VPI!R245</f>
        <v>2864.8065848670758</v>
      </c>
      <c r="D251" s="8">
        <f>Données!N245</f>
        <v>0</v>
      </c>
      <c r="E251" s="236">
        <f>Données!O245+Données!P245+Données!R245</f>
        <v>21894.9</v>
      </c>
      <c r="F251" s="497">
        <f t="shared" si="11"/>
        <v>10947.45</v>
      </c>
      <c r="G251" s="497">
        <f>Ecrêtage!M245</f>
        <v>0</v>
      </c>
      <c r="H251" s="498">
        <f t="shared" si="12"/>
        <v>33372.164102070448</v>
      </c>
      <c r="I251" s="321">
        <f t="shared" si="13"/>
        <v>44319.614102070453</v>
      </c>
    </row>
    <row r="252" spans="1:9" s="35" customFormat="1" x14ac:dyDescent="0.25">
      <c r="A252" s="38">
        <f>Données!A246</f>
        <v>5830</v>
      </c>
      <c r="B252" s="548" t="str">
        <f>Données!B246</f>
        <v>Villarzel</v>
      </c>
      <c r="C252" s="31">
        <f>VPI!R246</f>
        <v>12474.180666666667</v>
      </c>
      <c r="D252" s="8">
        <f>Données!N246</f>
        <v>9722.5499999999993</v>
      </c>
      <c r="E252" s="236">
        <f>Données!O246+Données!P246+Données!R246</f>
        <v>57770.399999999994</v>
      </c>
      <c r="F252" s="497">
        <f t="shared" si="11"/>
        <v>31801.964999999997</v>
      </c>
      <c r="G252" s="497">
        <f>Ecrêtage!M246</f>
        <v>0</v>
      </c>
      <c r="H252" s="498">
        <f t="shared" si="12"/>
        <v>145311.87077196347</v>
      </c>
      <c r="I252" s="321">
        <f t="shared" si="13"/>
        <v>177113.83577196347</v>
      </c>
    </row>
    <row r="253" spans="1:9" s="35" customFormat="1" x14ac:dyDescent="0.25">
      <c r="A253" s="38">
        <f>Données!A247</f>
        <v>5831</v>
      </c>
      <c r="B253" s="548" t="str">
        <f>Données!B247</f>
        <v>Valbroye</v>
      </c>
      <c r="C253" s="31">
        <f>VPI!R247</f>
        <v>87477.16732860521</v>
      </c>
      <c r="D253" s="8">
        <f>Données!N247</f>
        <v>24200.65</v>
      </c>
      <c r="E253" s="236">
        <f>Données!O247+Données!P247+Données!R247</f>
        <v>1418602.2000000002</v>
      </c>
      <c r="F253" s="497">
        <f t="shared" si="11"/>
        <v>716561.29500000004</v>
      </c>
      <c r="G253" s="497">
        <f>Ecrêtage!M247</f>
        <v>0</v>
      </c>
      <c r="H253" s="498">
        <f t="shared" si="12"/>
        <v>1019022.5052871907</v>
      </c>
      <c r="I253" s="321">
        <f t="shared" si="13"/>
        <v>1735583.8002871908</v>
      </c>
    </row>
    <row r="254" spans="1:9" s="35" customFormat="1" x14ac:dyDescent="0.25">
      <c r="A254" s="38">
        <f>Données!A248</f>
        <v>5841</v>
      </c>
      <c r="B254" s="548" t="str">
        <f>Données!B248</f>
        <v>Château-d'Oex</v>
      </c>
      <c r="C254" s="31">
        <f>VPI!R248</f>
        <v>123828.98781186093</v>
      </c>
      <c r="D254" s="8">
        <f>Données!N248</f>
        <v>7540.8</v>
      </c>
      <c r="E254" s="236">
        <f>Données!O248+Données!P248+Données!R248</f>
        <v>2229664.7999999998</v>
      </c>
      <c r="F254" s="497">
        <f t="shared" si="11"/>
        <v>1117094.6399999999</v>
      </c>
      <c r="G254" s="497">
        <f>Ecrêtage!M248</f>
        <v>0</v>
      </c>
      <c r="H254" s="498">
        <f t="shared" si="12"/>
        <v>1442485.2706216623</v>
      </c>
      <c r="I254" s="321">
        <f t="shared" si="13"/>
        <v>2559579.9106216622</v>
      </c>
    </row>
    <row r="255" spans="1:9" s="35" customFormat="1" x14ac:dyDescent="0.25">
      <c r="A255" s="38">
        <f>Données!A249</f>
        <v>5842</v>
      </c>
      <c r="B255" s="548" t="str">
        <f>Données!B249</f>
        <v>Rossinière</v>
      </c>
      <c r="C255" s="31">
        <f>VPI!R249</f>
        <v>16474.219053497945</v>
      </c>
      <c r="D255" s="8">
        <f>Données!N249</f>
        <v>984.1</v>
      </c>
      <c r="E255" s="236">
        <f>Données!O249+Données!P249+Données!R249</f>
        <v>100148.25</v>
      </c>
      <c r="F255" s="497">
        <f t="shared" si="11"/>
        <v>50369.355000000003</v>
      </c>
      <c r="G255" s="497">
        <f>Ecrêtage!M249</f>
        <v>0</v>
      </c>
      <c r="H255" s="498">
        <f t="shared" si="12"/>
        <v>191908.36289295193</v>
      </c>
      <c r="I255" s="321">
        <f t="shared" si="13"/>
        <v>242277.71789295194</v>
      </c>
    </row>
    <row r="256" spans="1:9" s="35" customFormat="1" x14ac:dyDescent="0.25">
      <c r="A256" s="38">
        <f>Données!A250</f>
        <v>5843</v>
      </c>
      <c r="B256" s="548" t="str">
        <f>Données!B250</f>
        <v>Rougemont</v>
      </c>
      <c r="C256" s="31">
        <f>VPI!R250</f>
        <v>89736.824345991568</v>
      </c>
      <c r="D256" s="8">
        <f>Données!N250</f>
        <v>6430.85</v>
      </c>
      <c r="E256" s="236">
        <f>Données!O250+Données!P250+Données!R250</f>
        <v>1892069.2</v>
      </c>
      <c r="F256" s="497">
        <f t="shared" si="11"/>
        <v>947963.85499999998</v>
      </c>
      <c r="G256" s="497">
        <f>Ecrêtage!M250</f>
        <v>1416467.1634459959</v>
      </c>
      <c r="H256" s="498">
        <f t="shared" si="12"/>
        <v>1045345.275276953</v>
      </c>
      <c r="I256" s="321">
        <f t="shared" si="13"/>
        <v>3409776.293722949</v>
      </c>
    </row>
    <row r="257" spans="1:9" s="35" customFormat="1" x14ac:dyDescent="0.25">
      <c r="A257" s="38">
        <f>Données!A251</f>
        <v>5851</v>
      </c>
      <c r="B257" s="548" t="str">
        <f>Données!B251</f>
        <v>Allaman</v>
      </c>
      <c r="C257" s="31">
        <f>VPI!R251</f>
        <v>24432.115794871796</v>
      </c>
      <c r="D257" s="8">
        <f>Données!N251</f>
        <v>65972.95</v>
      </c>
      <c r="E257" s="236">
        <f>Données!O251+Données!P251+Données!R251</f>
        <v>574672.80000000005</v>
      </c>
      <c r="F257" s="497">
        <f t="shared" si="11"/>
        <v>307128.28500000003</v>
      </c>
      <c r="G257" s="497">
        <f>Ecrêtage!M251</f>
        <v>53239.272896788345</v>
      </c>
      <c r="H257" s="498">
        <f t="shared" si="12"/>
        <v>284609.99146477471</v>
      </c>
      <c r="I257" s="321">
        <f t="shared" si="13"/>
        <v>644977.54936156305</v>
      </c>
    </row>
    <row r="258" spans="1:9" s="35" customFormat="1" x14ac:dyDescent="0.25">
      <c r="A258" s="38">
        <f>Données!A252</f>
        <v>5852</v>
      </c>
      <c r="B258" s="548" t="str">
        <f>Données!B252</f>
        <v>Bursinel</v>
      </c>
      <c r="C258" s="31">
        <f>VPI!R252</f>
        <v>35649.594677419358</v>
      </c>
      <c r="D258" s="8">
        <f>Données!N252</f>
        <v>10092.549999999999</v>
      </c>
      <c r="E258" s="236">
        <f>Données!O252+Données!P252+Données!R252</f>
        <v>223546.15000000002</v>
      </c>
      <c r="F258" s="497">
        <f t="shared" si="11"/>
        <v>114800.84000000001</v>
      </c>
      <c r="G258" s="497">
        <f>Ecrêtage!M252</f>
        <v>179657.21127733489</v>
      </c>
      <c r="H258" s="498">
        <f t="shared" si="12"/>
        <v>415282.52903060714</v>
      </c>
      <c r="I258" s="321">
        <f t="shared" si="13"/>
        <v>709740.58030794212</v>
      </c>
    </row>
    <row r="259" spans="1:9" s="35" customFormat="1" x14ac:dyDescent="0.25">
      <c r="A259" s="38">
        <f>Données!A253</f>
        <v>5853</v>
      </c>
      <c r="B259" s="548" t="str">
        <f>Données!B253</f>
        <v>Bursins</v>
      </c>
      <c r="C259" s="31">
        <f>VPI!R253</f>
        <v>47536.23239436619</v>
      </c>
      <c r="D259" s="8">
        <f>Données!N253</f>
        <v>79871.399999999994</v>
      </c>
      <c r="E259" s="236">
        <f>Données!O253+Données!P253+Données!R253</f>
        <v>736189.64999999991</v>
      </c>
      <c r="F259" s="497">
        <f t="shared" si="11"/>
        <v>392056.24499999994</v>
      </c>
      <c r="G259" s="497">
        <f>Ecrêtage!M253</f>
        <v>168364.47352506957</v>
      </c>
      <c r="H259" s="498">
        <f t="shared" si="12"/>
        <v>553750.10537842382</v>
      </c>
      <c r="I259" s="321">
        <f t="shared" si="13"/>
        <v>1114170.8239034934</v>
      </c>
    </row>
    <row r="260" spans="1:9" s="35" customFormat="1" x14ac:dyDescent="0.25">
      <c r="A260" s="38">
        <f>Données!A254</f>
        <v>5854</v>
      </c>
      <c r="B260" s="548" t="str">
        <f>Données!B254</f>
        <v>Burtigny</v>
      </c>
      <c r="C260" s="31">
        <f>VPI!R254</f>
        <v>15260.883397027597</v>
      </c>
      <c r="D260" s="8">
        <f>Données!N254</f>
        <v>17144.25</v>
      </c>
      <c r="E260" s="236">
        <f>Données!O254+Données!P254+Données!R254</f>
        <v>102983.75</v>
      </c>
      <c r="F260" s="497">
        <f t="shared" si="11"/>
        <v>56635.15</v>
      </c>
      <c r="G260" s="497">
        <f>Ecrêtage!M254</f>
        <v>0</v>
      </c>
      <c r="H260" s="498">
        <f t="shared" si="12"/>
        <v>177774.20219515369</v>
      </c>
      <c r="I260" s="321">
        <f t="shared" si="13"/>
        <v>234409.35219515368</v>
      </c>
    </row>
    <row r="261" spans="1:9" s="35" customFormat="1" x14ac:dyDescent="0.25">
      <c r="A261" s="38">
        <f>Données!A255</f>
        <v>5855</v>
      </c>
      <c r="B261" s="548" t="str">
        <f>Données!B255</f>
        <v>Dully</v>
      </c>
      <c r="C261" s="31">
        <f>VPI!R255</f>
        <v>82571.89</v>
      </c>
      <c r="D261" s="8">
        <f>Données!N255</f>
        <v>1933.5</v>
      </c>
      <c r="E261" s="236">
        <f>Données!O255+Données!P255+Données!R255</f>
        <v>1364872.9500000002</v>
      </c>
      <c r="F261" s="497">
        <f t="shared" si="11"/>
        <v>683016.52500000014</v>
      </c>
      <c r="G261" s="497">
        <f>Ecrêtage!M255</f>
        <v>1102730.3631959143</v>
      </c>
      <c r="H261" s="498">
        <f t="shared" si="12"/>
        <v>961880.8745603211</v>
      </c>
      <c r="I261" s="321">
        <f t="shared" si="13"/>
        <v>2747627.7627562354</v>
      </c>
    </row>
    <row r="262" spans="1:9" s="35" customFormat="1" x14ac:dyDescent="0.25">
      <c r="A262" s="38">
        <f>Données!A256</f>
        <v>5856</v>
      </c>
      <c r="B262" s="548" t="str">
        <f>Données!B256</f>
        <v>Essertines-sur-Rolle</v>
      </c>
      <c r="C262" s="31">
        <f>VPI!R256</f>
        <v>36688.113684210526</v>
      </c>
      <c r="D262" s="8">
        <f>Données!N256</f>
        <v>7815.05</v>
      </c>
      <c r="E262" s="236">
        <f>Données!O256+Données!P256+Données!R256</f>
        <v>206666.75</v>
      </c>
      <c r="F262" s="497">
        <f t="shared" si="11"/>
        <v>105677.89</v>
      </c>
      <c r="G262" s="497">
        <f>Ecrêtage!M256</f>
        <v>235.69351125851986</v>
      </c>
      <c r="H262" s="498">
        <f t="shared" si="12"/>
        <v>427380.24861168739</v>
      </c>
      <c r="I262" s="321">
        <f t="shared" si="13"/>
        <v>533293.83212294593</v>
      </c>
    </row>
    <row r="263" spans="1:9" s="35" customFormat="1" x14ac:dyDescent="0.25">
      <c r="A263" s="38">
        <f>Données!A257</f>
        <v>5857</v>
      </c>
      <c r="B263" s="548" t="str">
        <f>Données!B257</f>
        <v>Gilly</v>
      </c>
      <c r="C263" s="31">
        <f>VPI!R257</f>
        <v>86828.689767441872</v>
      </c>
      <c r="D263" s="8">
        <f>Données!N257</f>
        <v>80326.95</v>
      </c>
      <c r="E263" s="236">
        <f>Données!O257+Données!P257+Données!R257</f>
        <v>454337.9</v>
      </c>
      <c r="F263" s="497">
        <f t="shared" si="11"/>
        <v>251267.035</v>
      </c>
      <c r="G263" s="497">
        <f>Ecrêtage!M257</f>
        <v>234370.29206881914</v>
      </c>
      <c r="H263" s="498">
        <f t="shared" si="12"/>
        <v>1011468.3828895498</v>
      </c>
      <c r="I263" s="321">
        <f t="shared" si="13"/>
        <v>1497105.7099583689</v>
      </c>
    </row>
    <row r="264" spans="1:9" s="35" customFormat="1" x14ac:dyDescent="0.25">
      <c r="A264" s="38">
        <f>Données!A258</f>
        <v>5858</v>
      </c>
      <c r="B264" s="548" t="str">
        <f>Données!B258</f>
        <v>Luins</v>
      </c>
      <c r="C264" s="31">
        <f>VPI!R258</f>
        <v>41178.091054131051</v>
      </c>
      <c r="D264" s="8">
        <f>Données!N258</f>
        <v>4889.3</v>
      </c>
      <c r="E264" s="236">
        <f>Données!O258+Données!P258+Données!R258</f>
        <v>377904.45</v>
      </c>
      <c r="F264" s="497">
        <f t="shared" si="11"/>
        <v>190419.01500000001</v>
      </c>
      <c r="G264" s="497">
        <f>Ecrêtage!M258</f>
        <v>162255.01915617535</v>
      </c>
      <c r="H264" s="498">
        <f t="shared" si="12"/>
        <v>479684.04545266082</v>
      </c>
      <c r="I264" s="321">
        <f t="shared" si="13"/>
        <v>832358.07960883609</v>
      </c>
    </row>
    <row r="265" spans="1:9" s="35" customFormat="1" x14ac:dyDescent="0.25">
      <c r="A265" s="38">
        <f>Données!A259</f>
        <v>5859</v>
      </c>
      <c r="B265" s="548" t="str">
        <f>Données!B259</f>
        <v>Mont-sur-Rolle</v>
      </c>
      <c r="C265" s="31">
        <f>VPI!R259</f>
        <v>158441.81716535432</v>
      </c>
      <c r="D265" s="8">
        <f>Données!N259</f>
        <v>120650.05</v>
      </c>
      <c r="E265" s="236">
        <f>Données!O259+Données!P259+Données!R259</f>
        <v>1337129.05</v>
      </c>
      <c r="F265" s="497">
        <f t="shared" si="11"/>
        <v>704759.54</v>
      </c>
      <c r="G265" s="497">
        <f>Ecrêtage!M259</f>
        <v>313616.22033647116</v>
      </c>
      <c r="H265" s="498">
        <f t="shared" si="12"/>
        <v>1845690.5087425939</v>
      </c>
      <c r="I265" s="321">
        <f t="shared" si="13"/>
        <v>2864066.2690790654</v>
      </c>
    </row>
    <row r="266" spans="1:9" s="35" customFormat="1" x14ac:dyDescent="0.25">
      <c r="A266" s="38">
        <f>Données!A260</f>
        <v>5860</v>
      </c>
      <c r="B266" s="548" t="str">
        <f>Données!B260</f>
        <v>Perroy</v>
      </c>
      <c r="C266" s="31">
        <f>VPI!R260</f>
        <v>132374.98733727811</v>
      </c>
      <c r="D266" s="8">
        <f>Données!N260</f>
        <v>29243.5</v>
      </c>
      <c r="E266" s="236">
        <f>Données!O260+Données!P260+Données!R260</f>
        <v>770897.45</v>
      </c>
      <c r="F266" s="497">
        <f t="shared" si="11"/>
        <v>394221.77499999997</v>
      </c>
      <c r="G266" s="497">
        <f>Ecrêtage!M260</f>
        <v>1043776.4743371627</v>
      </c>
      <c r="H266" s="498">
        <f t="shared" si="12"/>
        <v>1542037.7151339578</v>
      </c>
      <c r="I266" s="321">
        <f t="shared" si="13"/>
        <v>2980035.9644711204</v>
      </c>
    </row>
    <row r="267" spans="1:9" s="35" customFormat="1" x14ac:dyDescent="0.25">
      <c r="A267" s="38">
        <f>Données!A261</f>
        <v>5861</v>
      </c>
      <c r="B267" s="548" t="str">
        <f>Données!B261</f>
        <v>Rolle</v>
      </c>
      <c r="C267" s="31">
        <f>VPI!R261</f>
        <v>897513.79815126071</v>
      </c>
      <c r="D267" s="8">
        <f>Données!N261</f>
        <v>705395.85</v>
      </c>
      <c r="E267" s="236">
        <f>Données!O261+Données!P261+Données!R261</f>
        <v>1626192.5499999998</v>
      </c>
      <c r="F267" s="497">
        <f t="shared" si="11"/>
        <v>1024715.0299999999</v>
      </c>
      <c r="G267" s="497">
        <f>Ecrêtage!M261</f>
        <v>14490502.328117538</v>
      </c>
      <c r="H267" s="498">
        <f t="shared" si="12"/>
        <v>10455148.321004765</v>
      </c>
      <c r="I267" s="321">
        <f t="shared" si="13"/>
        <v>25970365.679122303</v>
      </c>
    </row>
    <row r="268" spans="1:9" s="35" customFormat="1" x14ac:dyDescent="0.25">
      <c r="A268" s="38">
        <f>Données!A262</f>
        <v>5862</v>
      </c>
      <c r="B268" s="548" t="str">
        <f>Données!B262</f>
        <v>Tartegnin</v>
      </c>
      <c r="C268" s="31">
        <f>VPI!R262</f>
        <v>10371.497468354431</v>
      </c>
      <c r="D268" s="8">
        <f>Données!N262</f>
        <v>7523.45</v>
      </c>
      <c r="E268" s="236">
        <f>Données!O262+Données!P262+Données!R262</f>
        <v>160964.25</v>
      </c>
      <c r="F268" s="497">
        <f t="shared" si="11"/>
        <v>82739.16</v>
      </c>
      <c r="G268" s="497">
        <f>Ecrêtage!M262</f>
        <v>0</v>
      </c>
      <c r="H268" s="498">
        <f t="shared" si="12"/>
        <v>120817.69056468147</v>
      </c>
      <c r="I268" s="321">
        <f t="shared" si="13"/>
        <v>203556.85056468146</v>
      </c>
    </row>
    <row r="269" spans="1:9" s="35" customFormat="1" x14ac:dyDescent="0.25">
      <c r="A269" s="38">
        <f>Données!A263</f>
        <v>5863</v>
      </c>
      <c r="B269" s="548" t="str">
        <f>Données!B263</f>
        <v>Vinzel</v>
      </c>
      <c r="C269" s="31">
        <f>VPI!R263</f>
        <v>23661.929552238806</v>
      </c>
      <c r="D269" s="8">
        <f>Données!N263</f>
        <v>20078.099999999999</v>
      </c>
      <c r="E269" s="236">
        <f>Données!O263+Données!P263+Données!R263</f>
        <v>158269.1</v>
      </c>
      <c r="F269" s="497">
        <f t="shared" ref="F269:F311" si="14">D269*$D$11+E269*$E$11</f>
        <v>85157.98</v>
      </c>
      <c r="G269" s="497">
        <f>Ecrêtage!M263</f>
        <v>83017.473204251306</v>
      </c>
      <c r="H269" s="498">
        <f t="shared" ref="H269:H311" si="15">$H$11*C269</f>
        <v>275638.08326892083</v>
      </c>
      <c r="I269" s="321">
        <f t="shared" ref="I269:I311" si="16">F269+H269+G269</f>
        <v>443813.53647317213</v>
      </c>
    </row>
    <row r="270" spans="1:9" s="35" customFormat="1" x14ac:dyDescent="0.25">
      <c r="A270" s="38">
        <f>Données!A264</f>
        <v>5871</v>
      </c>
      <c r="B270" s="548" t="str">
        <f>Données!B264</f>
        <v>L'Abbaye</v>
      </c>
      <c r="C270" s="31">
        <f>VPI!R264</f>
        <v>50236.516429495467</v>
      </c>
      <c r="D270" s="8">
        <f>Données!N264</f>
        <v>739765.05</v>
      </c>
      <c r="E270" s="236">
        <f>Données!O264+Données!P264+Données!R264</f>
        <v>348170.6</v>
      </c>
      <c r="F270" s="497">
        <f t="shared" si="14"/>
        <v>396014.815</v>
      </c>
      <c r="G270" s="497">
        <f>Ecrêtage!M264</f>
        <v>0</v>
      </c>
      <c r="H270" s="498">
        <f t="shared" si="15"/>
        <v>585205.74444967939</v>
      </c>
      <c r="I270" s="321">
        <f t="shared" si="16"/>
        <v>981220.55944967945</v>
      </c>
    </row>
    <row r="271" spans="1:9" s="35" customFormat="1" x14ac:dyDescent="0.25">
      <c r="A271" s="38">
        <f>Données!A265</f>
        <v>5872</v>
      </c>
      <c r="B271" s="548" t="str">
        <f>Données!B265</f>
        <v>Le Chenit</v>
      </c>
      <c r="C271" s="31">
        <f>VPI!R265</f>
        <v>317064.3538829867</v>
      </c>
      <c r="D271" s="8">
        <f>Données!N265</f>
        <v>8102751.8499999996</v>
      </c>
      <c r="E271" s="236">
        <f>Données!O265+Données!P265+Données!R265</f>
        <v>644599.6</v>
      </c>
      <c r="F271" s="497">
        <f t="shared" si="14"/>
        <v>2753125.3549999995</v>
      </c>
      <c r="G271" s="497">
        <f>Ecrêtage!M265</f>
        <v>1573816.5074796802</v>
      </c>
      <c r="H271" s="498">
        <f t="shared" si="15"/>
        <v>3693486.2215806176</v>
      </c>
      <c r="I271" s="321">
        <f t="shared" si="16"/>
        <v>8020428.0840602983</v>
      </c>
    </row>
    <row r="272" spans="1:9" s="35" customFormat="1" x14ac:dyDescent="0.25">
      <c r="A272" s="38">
        <f>Données!A266</f>
        <v>5873</v>
      </c>
      <c r="B272" s="548" t="str">
        <f>Données!B266</f>
        <v>Le Lieu</v>
      </c>
      <c r="C272" s="31">
        <f>VPI!R266</f>
        <v>35207.025785714286</v>
      </c>
      <c r="D272" s="8">
        <f>Données!N266</f>
        <v>879860</v>
      </c>
      <c r="E272" s="236">
        <f>Données!O266+Données!P266+Données!R266</f>
        <v>247340.5</v>
      </c>
      <c r="F272" s="497">
        <f t="shared" si="14"/>
        <v>387628.25</v>
      </c>
      <c r="G272" s="497">
        <f>Ecrêtage!M266</f>
        <v>0</v>
      </c>
      <c r="H272" s="498">
        <f t="shared" si="15"/>
        <v>410127.03903750581</v>
      </c>
      <c r="I272" s="321">
        <f t="shared" si="16"/>
        <v>797755.28903750586</v>
      </c>
    </row>
    <row r="273" spans="1:9" s="35" customFormat="1" x14ac:dyDescent="0.25">
      <c r="A273" s="38">
        <f>Données!A267</f>
        <v>5882</v>
      </c>
      <c r="B273" s="548" t="str">
        <f>Données!B267</f>
        <v>Chardonne</v>
      </c>
      <c r="C273" s="31">
        <f>VPI!R267</f>
        <v>201724.94897058822</v>
      </c>
      <c r="D273" s="8">
        <f>Données!N267</f>
        <v>17097.55</v>
      </c>
      <c r="E273" s="236">
        <f>Données!O267+Données!P267+Données!R267</f>
        <v>3124951.8</v>
      </c>
      <c r="F273" s="497">
        <f t="shared" si="14"/>
        <v>1567605.1649999998</v>
      </c>
      <c r="G273" s="497">
        <f>Ecrêtage!M267</f>
        <v>747364.6226071876</v>
      </c>
      <c r="H273" s="498">
        <f t="shared" si="15"/>
        <v>2349896.197561489</v>
      </c>
      <c r="I273" s="321">
        <f t="shared" si="16"/>
        <v>4664865.9851686759</v>
      </c>
    </row>
    <row r="274" spans="1:9" s="35" customFormat="1" x14ac:dyDescent="0.25">
      <c r="A274" s="38">
        <f>Données!A268</f>
        <v>5883</v>
      </c>
      <c r="B274" s="548" t="str">
        <f>Données!B268</f>
        <v>Corseaux</v>
      </c>
      <c r="C274" s="31">
        <f>VPI!R268</f>
        <v>180896.25407407407</v>
      </c>
      <c r="D274" s="8">
        <f>Données!N268</f>
        <v>1881.65</v>
      </c>
      <c r="E274" s="236">
        <f>Données!O268+Données!P268+Données!R268</f>
        <v>1497488.25</v>
      </c>
      <c r="F274" s="497">
        <f t="shared" si="14"/>
        <v>749308.62</v>
      </c>
      <c r="G274" s="497">
        <f>Ecrêtage!M268</f>
        <v>1338768.9624226878</v>
      </c>
      <c r="H274" s="498">
        <f t="shared" si="15"/>
        <v>2107262.4966372503</v>
      </c>
      <c r="I274" s="321">
        <f t="shared" si="16"/>
        <v>4195340.079059938</v>
      </c>
    </row>
    <row r="275" spans="1:9" s="35" customFormat="1" x14ac:dyDescent="0.25">
      <c r="A275" s="38">
        <f>Données!A269</f>
        <v>5884</v>
      </c>
      <c r="B275" s="548" t="str">
        <f>Données!B269</f>
        <v>Corsier-sur-Vevey</v>
      </c>
      <c r="C275" s="31">
        <f>VPI!R269</f>
        <v>128051.27881136951</v>
      </c>
      <c r="D275" s="8">
        <f>Données!N269</f>
        <v>491143.6</v>
      </c>
      <c r="E275" s="236">
        <f>Données!O269+Données!P269+Données!R269</f>
        <v>1078848.2999999998</v>
      </c>
      <c r="F275" s="497">
        <f t="shared" si="14"/>
        <v>686767.22999999986</v>
      </c>
      <c r="G275" s="497">
        <f>Ecrêtage!M269</f>
        <v>0</v>
      </c>
      <c r="H275" s="498">
        <f t="shared" si="15"/>
        <v>1491670.7859254235</v>
      </c>
      <c r="I275" s="321">
        <f t="shared" si="16"/>
        <v>2178438.0159254232</v>
      </c>
    </row>
    <row r="276" spans="1:9" s="35" customFormat="1" x14ac:dyDescent="0.25">
      <c r="A276" s="38">
        <f>Données!A270</f>
        <v>5885</v>
      </c>
      <c r="B276" s="548" t="str">
        <f>Données!B270</f>
        <v>Jongny</v>
      </c>
      <c r="C276" s="31">
        <f>VPI!R270</f>
        <v>104091.36242206233</v>
      </c>
      <c r="D276" s="8">
        <f>Données!N270</f>
        <v>3104.95</v>
      </c>
      <c r="E276" s="236">
        <f>Données!O270+Données!P270+Données!R270</f>
        <v>590774</v>
      </c>
      <c r="F276" s="497">
        <f t="shared" si="14"/>
        <v>296318.48499999999</v>
      </c>
      <c r="G276" s="497">
        <f>Ecrêtage!M270</f>
        <v>206577.47782399101</v>
      </c>
      <c r="H276" s="498">
        <f t="shared" si="15"/>
        <v>1212561.4506426903</v>
      </c>
      <c r="I276" s="321">
        <f t="shared" si="16"/>
        <v>1715457.4134666815</v>
      </c>
    </row>
    <row r="277" spans="1:9" s="35" customFormat="1" x14ac:dyDescent="0.25">
      <c r="A277" s="38">
        <f>Données!A271</f>
        <v>5886</v>
      </c>
      <c r="B277" s="548" t="str">
        <f>Données!B271</f>
        <v>Montreux</v>
      </c>
      <c r="C277" s="31">
        <f>VPI!R271</f>
        <v>1153112.7161538461</v>
      </c>
      <c r="D277" s="8">
        <f>Données!N271</f>
        <v>920310.65</v>
      </c>
      <c r="E277" s="236">
        <f>Données!O271+Données!P271+Données!R271</f>
        <v>22752839.700000003</v>
      </c>
      <c r="F277" s="497">
        <f t="shared" si="14"/>
        <v>11652513.045000002</v>
      </c>
      <c r="G277" s="497">
        <f>Ecrêtage!M271</f>
        <v>0</v>
      </c>
      <c r="H277" s="498">
        <f t="shared" si="15"/>
        <v>13432622.989260495</v>
      </c>
      <c r="I277" s="321">
        <f t="shared" si="16"/>
        <v>25085136.034260496</v>
      </c>
    </row>
    <row r="278" spans="1:9" s="35" customFormat="1" x14ac:dyDescent="0.25">
      <c r="A278" s="38">
        <f>Données!A272</f>
        <v>5889</v>
      </c>
      <c r="B278" s="548" t="str">
        <f>Données!B272</f>
        <v>La Tour-de-Peilz</v>
      </c>
      <c r="C278" s="31">
        <f>VPI!R272</f>
        <v>709179.36611979152</v>
      </c>
      <c r="D278" s="8">
        <f>Données!N272</f>
        <v>244731.45</v>
      </c>
      <c r="E278" s="236">
        <f>Données!O272+Données!P272+Données!R272</f>
        <v>4417514.5</v>
      </c>
      <c r="F278" s="497">
        <f t="shared" si="14"/>
        <v>2282176.6850000001</v>
      </c>
      <c r="G278" s="497">
        <f>Ecrêtage!M272</f>
        <v>1387583.8141721133</v>
      </c>
      <c r="H278" s="498">
        <f t="shared" si="15"/>
        <v>8261238.4057509061</v>
      </c>
      <c r="I278" s="321">
        <f t="shared" si="16"/>
        <v>11930998.90492302</v>
      </c>
    </row>
    <row r="279" spans="1:9" s="35" customFormat="1" x14ac:dyDescent="0.25">
      <c r="A279" s="38">
        <f>Données!A273</f>
        <v>5890</v>
      </c>
      <c r="B279" s="548" t="str">
        <f>Données!B273</f>
        <v>Vevey</v>
      </c>
      <c r="C279" s="31">
        <f>VPI!R273</f>
        <v>945087.70393736032</v>
      </c>
      <c r="D279" s="8">
        <f>Données!N273</f>
        <v>859057.1</v>
      </c>
      <c r="E279" s="236">
        <f>Données!O273+Données!P273+Données!R273</f>
        <v>6501015.3999999994</v>
      </c>
      <c r="F279" s="497">
        <f t="shared" si="14"/>
        <v>3508224.8299999996</v>
      </c>
      <c r="G279" s="497">
        <f>Ecrêtage!M273</f>
        <v>0</v>
      </c>
      <c r="H279" s="498">
        <f t="shared" si="15"/>
        <v>11009337.284146868</v>
      </c>
      <c r="I279" s="321">
        <f t="shared" si="16"/>
        <v>14517562.114146868</v>
      </c>
    </row>
    <row r="280" spans="1:9" s="35" customFormat="1" x14ac:dyDescent="0.25">
      <c r="A280" s="38">
        <f>Données!A274</f>
        <v>5891</v>
      </c>
      <c r="B280" s="548" t="str">
        <f>Données!B274</f>
        <v>Veytaux</v>
      </c>
      <c r="C280" s="31">
        <f>VPI!R274</f>
        <v>41113.316211031175</v>
      </c>
      <c r="D280" s="8">
        <f>Données!N274</f>
        <v>172</v>
      </c>
      <c r="E280" s="236">
        <f>Données!O274+Données!P274+Données!R274</f>
        <v>595973.65</v>
      </c>
      <c r="F280" s="497">
        <f t="shared" si="14"/>
        <v>298038.42499999999</v>
      </c>
      <c r="G280" s="497">
        <f>Ecrêtage!M274</f>
        <v>0</v>
      </c>
      <c r="H280" s="498">
        <f t="shared" si="15"/>
        <v>478929.48257744487</v>
      </c>
      <c r="I280" s="321">
        <f t="shared" si="16"/>
        <v>776967.9075774448</v>
      </c>
    </row>
    <row r="281" spans="1:9" s="35" customFormat="1" x14ac:dyDescent="0.25">
      <c r="A281" s="38">
        <f>Données!A275</f>
        <v>5892</v>
      </c>
      <c r="B281" s="548" t="str">
        <f>Données!B275</f>
        <v>Blonay-Saint-Légier</v>
      </c>
      <c r="C281" s="31">
        <f>VPI!R275</f>
        <v>749734.6567883211</v>
      </c>
      <c r="D281" s="8">
        <f>Données!N275</f>
        <v>295689.34999999998</v>
      </c>
      <c r="E281" s="236">
        <f>Données!O275+Données!P275+Données!R275</f>
        <v>6663303.2999999998</v>
      </c>
      <c r="F281" s="497">
        <f t="shared" si="14"/>
        <v>3420358.4550000001</v>
      </c>
      <c r="G281" s="497">
        <f>Ecrêtage!M275</f>
        <v>2519461.1158080171</v>
      </c>
      <c r="H281" s="498">
        <f t="shared" si="15"/>
        <v>8733667.4425126091</v>
      </c>
      <c r="I281" s="321">
        <f t="shared" si="16"/>
        <v>14673487.013320627</v>
      </c>
    </row>
    <row r="282" spans="1:9" s="35" customFormat="1" x14ac:dyDescent="0.25">
      <c r="A282" s="38">
        <f>Données!A276</f>
        <v>5902</v>
      </c>
      <c r="B282" s="548" t="str">
        <f>Données!B276</f>
        <v>Belmont-sur-Yverdon</v>
      </c>
      <c r="C282" s="31">
        <f>VPI!R276</f>
        <v>11918.01</v>
      </c>
      <c r="D282" s="8">
        <f>Données!N276</f>
        <v>0</v>
      </c>
      <c r="E282" s="236">
        <f>Données!O276+Données!P276+Données!R276</f>
        <v>82151.3</v>
      </c>
      <c r="F282" s="497">
        <f t="shared" si="14"/>
        <v>41075.65</v>
      </c>
      <c r="G282" s="497">
        <f>Ecrêtage!M276</f>
        <v>0</v>
      </c>
      <c r="H282" s="498">
        <f t="shared" si="15"/>
        <v>138833.03242566754</v>
      </c>
      <c r="I282" s="321">
        <f t="shared" si="16"/>
        <v>179908.68242566753</v>
      </c>
    </row>
    <row r="283" spans="1:9" s="35" customFormat="1" x14ac:dyDescent="0.25">
      <c r="A283" s="38">
        <f>Données!A277</f>
        <v>5903</v>
      </c>
      <c r="B283" s="548" t="str">
        <f>Données!B277</f>
        <v>Bioley-Magnoux</v>
      </c>
      <c r="C283" s="31">
        <f>VPI!R277</f>
        <v>6275.4313293650803</v>
      </c>
      <c r="D283" s="8">
        <f>Données!N277</f>
        <v>29031.05</v>
      </c>
      <c r="E283" s="236">
        <f>Données!O277+Données!P277+Données!R277</f>
        <v>22110.7</v>
      </c>
      <c r="F283" s="497">
        <f t="shared" si="14"/>
        <v>19764.665000000001</v>
      </c>
      <c r="G283" s="497">
        <f>Ecrêtage!M277</f>
        <v>0</v>
      </c>
      <c r="H283" s="498">
        <f t="shared" si="15"/>
        <v>73102.570079635116</v>
      </c>
      <c r="I283" s="321">
        <f t="shared" si="16"/>
        <v>92867.235079635109</v>
      </c>
    </row>
    <row r="284" spans="1:9" s="35" customFormat="1" x14ac:dyDescent="0.25">
      <c r="A284" s="38">
        <f>Données!A278</f>
        <v>5904</v>
      </c>
      <c r="B284" s="548" t="str">
        <f>Données!B278</f>
        <v>Chamblon</v>
      </c>
      <c r="C284" s="31">
        <f>VPI!R278</f>
        <v>18890.250303030305</v>
      </c>
      <c r="D284" s="8">
        <f>Données!N278</f>
        <v>31054.2</v>
      </c>
      <c r="E284" s="236">
        <f>Données!O278+Données!P278+Données!R278</f>
        <v>122567.6</v>
      </c>
      <c r="F284" s="497">
        <f t="shared" si="14"/>
        <v>70600.06</v>
      </c>
      <c r="G284" s="497">
        <f>Ecrêtage!M278</f>
        <v>0</v>
      </c>
      <c r="H284" s="498">
        <f t="shared" si="15"/>
        <v>220052.73807033073</v>
      </c>
      <c r="I284" s="321">
        <f t="shared" si="16"/>
        <v>290652.79807033075</v>
      </c>
    </row>
    <row r="285" spans="1:9" s="35" customFormat="1" x14ac:dyDescent="0.25">
      <c r="A285" s="38">
        <f>Données!A279</f>
        <v>5905</v>
      </c>
      <c r="B285" s="548" t="str">
        <f>Données!B279</f>
        <v>Champvent</v>
      </c>
      <c r="C285" s="31">
        <f>VPI!R279</f>
        <v>21534.177714285714</v>
      </c>
      <c r="D285" s="8">
        <f>Données!N279</f>
        <v>173931</v>
      </c>
      <c r="E285" s="236">
        <f>Données!O279+Données!P279+Données!R279</f>
        <v>102119.54999999999</v>
      </c>
      <c r="F285" s="497">
        <f t="shared" si="14"/>
        <v>103239.07499999998</v>
      </c>
      <c r="G285" s="497">
        <f>Ecrêtage!M279</f>
        <v>0</v>
      </c>
      <c r="H285" s="498">
        <f t="shared" si="15"/>
        <v>250851.87819673883</v>
      </c>
      <c r="I285" s="321">
        <f t="shared" si="16"/>
        <v>354090.95319673885</v>
      </c>
    </row>
    <row r="286" spans="1:9" s="35" customFormat="1" x14ac:dyDescent="0.25">
      <c r="A286" s="38">
        <f>Données!A280</f>
        <v>5907</v>
      </c>
      <c r="B286" s="548" t="str">
        <f>Données!B280</f>
        <v>Chavannes-le-Chêne</v>
      </c>
      <c r="C286" s="31">
        <f>VPI!R280</f>
        <v>8453.4726666666666</v>
      </c>
      <c r="D286" s="8">
        <f>Données!N280</f>
        <v>10275.1</v>
      </c>
      <c r="E286" s="236">
        <f>Données!O280+Données!P280+Données!R280</f>
        <v>62426.55</v>
      </c>
      <c r="F286" s="497">
        <f t="shared" si="14"/>
        <v>34295.805</v>
      </c>
      <c r="G286" s="497">
        <f>Ecrêtage!M280</f>
        <v>0</v>
      </c>
      <c r="H286" s="498">
        <f t="shared" si="15"/>
        <v>98474.598094885601</v>
      </c>
      <c r="I286" s="321">
        <f t="shared" si="16"/>
        <v>132770.40309488561</v>
      </c>
    </row>
    <row r="287" spans="1:9" s="35" customFormat="1" x14ac:dyDescent="0.25">
      <c r="A287" s="38">
        <f>Données!A281</f>
        <v>5908</v>
      </c>
      <c r="B287" s="548" t="str">
        <f>Données!B281</f>
        <v>Chêne-Pâquier</v>
      </c>
      <c r="C287" s="31">
        <f>VPI!R281</f>
        <v>4917.9366666666683</v>
      </c>
      <c r="D287" s="8">
        <f>Données!N281</f>
        <v>0</v>
      </c>
      <c r="E287" s="236">
        <f>Données!O281+Données!P281+Données!R281</f>
        <v>24347.200000000001</v>
      </c>
      <c r="F287" s="497">
        <f t="shared" si="14"/>
        <v>12173.6</v>
      </c>
      <c r="G287" s="497">
        <f>Ecrêtage!M281</f>
        <v>0</v>
      </c>
      <c r="H287" s="498">
        <f t="shared" si="15"/>
        <v>57289.099498214287</v>
      </c>
      <c r="I287" s="321">
        <f t="shared" si="16"/>
        <v>69462.699498214293</v>
      </c>
    </row>
    <row r="288" spans="1:9" s="35" customFormat="1" x14ac:dyDescent="0.25">
      <c r="A288" s="38">
        <f>Données!A282</f>
        <v>5909</v>
      </c>
      <c r="B288" s="548" t="str">
        <f>Données!B282</f>
        <v>Cheseaux-Noréaz</v>
      </c>
      <c r="C288" s="31">
        <f>VPI!R282</f>
        <v>34179.649850746275</v>
      </c>
      <c r="D288" s="8">
        <f>Données!N282</f>
        <v>9007.6</v>
      </c>
      <c r="E288" s="236">
        <f>Données!O282+Données!P282+Données!R282</f>
        <v>209022.25</v>
      </c>
      <c r="F288" s="497">
        <f t="shared" si="14"/>
        <v>107213.405</v>
      </c>
      <c r="G288" s="497">
        <f>Ecrêtage!M282</f>
        <v>0</v>
      </c>
      <c r="H288" s="498">
        <f t="shared" si="15"/>
        <v>398159.12522532034</v>
      </c>
      <c r="I288" s="321">
        <f t="shared" si="16"/>
        <v>505372.53022532037</v>
      </c>
    </row>
    <row r="289" spans="1:9" s="35" customFormat="1" x14ac:dyDescent="0.25">
      <c r="A289" s="38">
        <f>Données!A283</f>
        <v>5910</v>
      </c>
      <c r="B289" s="548" t="str">
        <f>Données!B283</f>
        <v>Cronay</v>
      </c>
      <c r="C289" s="31">
        <f>VPI!R283</f>
        <v>10620.023506493504</v>
      </c>
      <c r="D289" s="8">
        <f>Données!N283</f>
        <v>6244.6</v>
      </c>
      <c r="E289" s="236">
        <f>Données!O283+Données!P283+Données!R283</f>
        <v>140175.34999999998</v>
      </c>
      <c r="F289" s="497">
        <f t="shared" si="14"/>
        <v>71961.054999999993</v>
      </c>
      <c r="G289" s="497">
        <f>Ecrêtage!M283</f>
        <v>0</v>
      </c>
      <c r="H289" s="498">
        <f t="shared" si="15"/>
        <v>123712.77317592148</v>
      </c>
      <c r="I289" s="321">
        <f t="shared" si="16"/>
        <v>195673.82817592146</v>
      </c>
    </row>
    <row r="290" spans="1:9" s="35" customFormat="1" x14ac:dyDescent="0.25">
      <c r="A290" s="38">
        <f>Données!A284</f>
        <v>5911</v>
      </c>
      <c r="B290" s="548" t="str">
        <f>Données!B284</f>
        <v>Cuarny</v>
      </c>
      <c r="C290" s="31">
        <f>VPI!R284</f>
        <v>7630.7251948051926</v>
      </c>
      <c r="D290" s="8">
        <f>Données!N284</f>
        <v>0</v>
      </c>
      <c r="E290" s="236">
        <f>Données!O284+Données!P284+Données!R284</f>
        <v>30659</v>
      </c>
      <c r="F290" s="497">
        <f t="shared" si="14"/>
        <v>15329.5</v>
      </c>
      <c r="G290" s="497">
        <f>Ecrêtage!M284</f>
        <v>0</v>
      </c>
      <c r="H290" s="498">
        <f t="shared" si="15"/>
        <v>88890.403549061244</v>
      </c>
      <c r="I290" s="321">
        <f t="shared" si="16"/>
        <v>104219.90354906124</v>
      </c>
    </row>
    <row r="291" spans="1:9" s="35" customFormat="1" x14ac:dyDescent="0.25">
      <c r="A291" s="38">
        <f>Données!A285</f>
        <v>5912</v>
      </c>
      <c r="B291" s="548" t="str">
        <f>Données!B285</f>
        <v>Démoret</v>
      </c>
      <c r="C291" s="31">
        <f>VPI!R285</f>
        <v>3035.5994871794869</v>
      </c>
      <c r="D291" s="8">
        <f>Données!N285</f>
        <v>0</v>
      </c>
      <c r="E291" s="236">
        <f>Données!O285+Données!P285+Données!R285</f>
        <v>41485.5</v>
      </c>
      <c r="F291" s="497">
        <f t="shared" si="14"/>
        <v>20742.75</v>
      </c>
      <c r="G291" s="497">
        <f>Ecrêtage!M285</f>
        <v>0</v>
      </c>
      <c r="H291" s="498">
        <f t="shared" si="15"/>
        <v>35361.732540493707</v>
      </c>
      <c r="I291" s="321">
        <f t="shared" si="16"/>
        <v>56104.482540493707</v>
      </c>
    </row>
    <row r="292" spans="1:9" s="35" customFormat="1" x14ac:dyDescent="0.25">
      <c r="A292" s="38">
        <f>Données!A286</f>
        <v>5913</v>
      </c>
      <c r="B292" s="548" t="str">
        <f>Données!B286</f>
        <v>Donneloye</v>
      </c>
      <c r="C292" s="31">
        <f>VPI!R286</f>
        <v>21868.165342465756</v>
      </c>
      <c r="D292" s="8">
        <f>Données!N286</f>
        <v>19227.599999999999</v>
      </c>
      <c r="E292" s="236">
        <f>Données!O286+Données!P286+Données!R286</f>
        <v>172847.4</v>
      </c>
      <c r="F292" s="497">
        <f t="shared" si="14"/>
        <v>92191.98</v>
      </c>
      <c r="G292" s="497">
        <f>Ecrêtage!M286</f>
        <v>0</v>
      </c>
      <c r="H292" s="498">
        <f t="shared" si="15"/>
        <v>254742.50383079113</v>
      </c>
      <c r="I292" s="321">
        <f t="shared" si="16"/>
        <v>346934.48383079114</v>
      </c>
    </row>
    <row r="293" spans="1:9" s="35" customFormat="1" x14ac:dyDescent="0.25">
      <c r="A293" s="38">
        <f>Données!A287</f>
        <v>5914</v>
      </c>
      <c r="B293" s="548" t="str">
        <f>Données!B287</f>
        <v>Ependes</v>
      </c>
      <c r="C293" s="31">
        <f>VPI!R287</f>
        <v>9826.1438095238063</v>
      </c>
      <c r="D293" s="8">
        <f>Données!N287</f>
        <v>20140.25</v>
      </c>
      <c r="E293" s="236">
        <f>Données!O287+Données!P287+Données!R287</f>
        <v>27240.5</v>
      </c>
      <c r="F293" s="497">
        <f t="shared" si="14"/>
        <v>19662.325000000001</v>
      </c>
      <c r="G293" s="497">
        <f>Ecrêtage!M287</f>
        <v>0</v>
      </c>
      <c r="H293" s="498">
        <f t="shared" si="15"/>
        <v>114464.85966423008</v>
      </c>
      <c r="I293" s="321">
        <f t="shared" si="16"/>
        <v>134127.1846642301</v>
      </c>
    </row>
    <row r="294" spans="1:9" s="35" customFormat="1" x14ac:dyDescent="0.25">
      <c r="A294" s="38">
        <f>Données!A288</f>
        <v>5919</v>
      </c>
      <c r="B294" s="548" t="str">
        <f>Données!B288</f>
        <v>Mathod</v>
      </c>
      <c r="C294" s="31">
        <f>VPI!R288</f>
        <v>20854.383912037036</v>
      </c>
      <c r="D294" s="8">
        <f>Données!N288</f>
        <v>14768.6</v>
      </c>
      <c r="E294" s="236">
        <f>Données!O288+Données!P288+Données!R288</f>
        <v>286691.59999999998</v>
      </c>
      <c r="F294" s="497">
        <f t="shared" si="14"/>
        <v>147776.37999999998</v>
      </c>
      <c r="G294" s="497">
        <f>Ecrêtage!M288</f>
        <v>0</v>
      </c>
      <c r="H294" s="498">
        <f t="shared" si="15"/>
        <v>242932.95255476015</v>
      </c>
      <c r="I294" s="321">
        <f t="shared" si="16"/>
        <v>390709.33255476016</v>
      </c>
    </row>
    <row r="295" spans="1:9" s="35" customFormat="1" x14ac:dyDescent="0.25">
      <c r="A295" s="38">
        <f>Données!A289</f>
        <v>5921</v>
      </c>
      <c r="B295" s="548" t="str">
        <f>Données!B289</f>
        <v>Molondin</v>
      </c>
      <c r="C295" s="31">
        <f>VPI!R289</f>
        <v>5090.9675308641981</v>
      </c>
      <c r="D295" s="8">
        <f>Données!N289</f>
        <v>11053.2</v>
      </c>
      <c r="E295" s="236">
        <f>Données!O289+Données!P289+Données!R289</f>
        <v>25072.3</v>
      </c>
      <c r="F295" s="497">
        <f t="shared" si="14"/>
        <v>15852.11</v>
      </c>
      <c r="G295" s="497">
        <f>Ecrêtage!M289</f>
        <v>0</v>
      </c>
      <c r="H295" s="498">
        <f t="shared" si="15"/>
        <v>59304.737979787715</v>
      </c>
      <c r="I295" s="321">
        <f t="shared" si="16"/>
        <v>75156.847979787708</v>
      </c>
    </row>
    <row r="296" spans="1:9" s="35" customFormat="1" x14ac:dyDescent="0.25">
      <c r="A296" s="38">
        <f>Données!A290</f>
        <v>5922</v>
      </c>
      <c r="B296" s="548" t="str">
        <f>Données!B290</f>
        <v>Montagny-près-Yverdon</v>
      </c>
      <c r="C296" s="31">
        <f>VPI!R290</f>
        <v>39799.996472868217</v>
      </c>
      <c r="D296" s="8">
        <f>Données!N290</f>
        <v>403748.6</v>
      </c>
      <c r="E296" s="236">
        <f>Données!O290+Données!P290+Données!R290</f>
        <v>71704.75</v>
      </c>
      <c r="F296" s="497">
        <f t="shared" si="14"/>
        <v>156976.95499999999</v>
      </c>
      <c r="G296" s="497">
        <f>Ecrêtage!M290</f>
        <v>32248.214226396358</v>
      </c>
      <c r="H296" s="498">
        <f t="shared" si="15"/>
        <v>463630.60618837929</v>
      </c>
      <c r="I296" s="321">
        <f t="shared" si="16"/>
        <v>652855.77541477571</v>
      </c>
    </row>
    <row r="297" spans="1:9" s="35" customFormat="1" x14ac:dyDescent="0.25">
      <c r="A297" s="38">
        <f>Données!A291</f>
        <v>5923</v>
      </c>
      <c r="B297" s="548" t="str">
        <f>Données!B291</f>
        <v>Oppens</v>
      </c>
      <c r="C297" s="31">
        <f>VPI!R291</f>
        <v>4459.4095061728403</v>
      </c>
      <c r="D297" s="8">
        <f>Données!N291</f>
        <v>40011.199999999997</v>
      </c>
      <c r="E297" s="236">
        <f>Données!O291+Données!P291+Données!R291</f>
        <v>1527.6</v>
      </c>
      <c r="F297" s="497">
        <f t="shared" si="14"/>
        <v>12767.159999999998</v>
      </c>
      <c r="G297" s="497">
        <f>Ecrêtage!M291</f>
        <v>0</v>
      </c>
      <c r="H297" s="498">
        <f t="shared" si="15"/>
        <v>51947.711452652242</v>
      </c>
      <c r="I297" s="321">
        <f t="shared" si="16"/>
        <v>64714.871452652238</v>
      </c>
    </row>
    <row r="298" spans="1:9" s="35" customFormat="1" x14ac:dyDescent="0.25">
      <c r="A298" s="38">
        <f>Données!A292</f>
        <v>5924</v>
      </c>
      <c r="B298" s="548" t="str">
        <f>Données!B292</f>
        <v>Orges</v>
      </c>
      <c r="C298" s="31">
        <f>VPI!R292</f>
        <v>11637.592027027025</v>
      </c>
      <c r="D298" s="8">
        <f>Données!N292</f>
        <v>20322.2</v>
      </c>
      <c r="E298" s="236">
        <f>Données!O292+Données!P292+Données!R292</f>
        <v>48779.55</v>
      </c>
      <c r="F298" s="497">
        <f t="shared" si="14"/>
        <v>30486.435000000001</v>
      </c>
      <c r="G298" s="497">
        <f>Ecrêtage!M292</f>
        <v>0</v>
      </c>
      <c r="H298" s="498">
        <f t="shared" si="15"/>
        <v>135566.44030714297</v>
      </c>
      <c r="I298" s="321">
        <f t="shared" si="16"/>
        <v>166052.87530714297</v>
      </c>
    </row>
    <row r="299" spans="1:9" s="35" customFormat="1" x14ac:dyDescent="0.25">
      <c r="A299" s="38">
        <f>Données!A293</f>
        <v>5925</v>
      </c>
      <c r="B299" s="548" t="str">
        <f>Données!B293</f>
        <v>Orzens</v>
      </c>
      <c r="C299" s="31">
        <f>VPI!R293</f>
        <v>5249.0272151898725</v>
      </c>
      <c r="D299" s="8">
        <f>Données!N293</f>
        <v>288.45</v>
      </c>
      <c r="E299" s="236">
        <f>Données!O293+Données!P293+Données!R293</f>
        <v>38686.75</v>
      </c>
      <c r="F299" s="497">
        <f t="shared" si="14"/>
        <v>19429.91</v>
      </c>
      <c r="G299" s="497">
        <f>Ecrêtage!M293</f>
        <v>0</v>
      </c>
      <c r="H299" s="498">
        <f t="shared" si="15"/>
        <v>61145.977018786434</v>
      </c>
      <c r="I299" s="321">
        <f t="shared" si="16"/>
        <v>80575.887018786438</v>
      </c>
    </row>
    <row r="300" spans="1:9" s="35" customFormat="1" x14ac:dyDescent="0.25">
      <c r="A300" s="38">
        <f>Données!A294</f>
        <v>5926</v>
      </c>
      <c r="B300" s="548" t="str">
        <f>Données!B294</f>
        <v>Pomy</v>
      </c>
      <c r="C300" s="31">
        <f>VPI!R294</f>
        <v>26782.680140845066</v>
      </c>
      <c r="D300" s="8">
        <f>Données!N294</f>
        <v>24861.65</v>
      </c>
      <c r="E300" s="236">
        <f>Données!O294+Données!P294+Données!R294</f>
        <v>99797.05</v>
      </c>
      <c r="F300" s="497">
        <f t="shared" si="14"/>
        <v>57357.020000000004</v>
      </c>
      <c r="G300" s="497">
        <f>Ecrêtage!M294</f>
        <v>0</v>
      </c>
      <c r="H300" s="498">
        <f t="shared" si="15"/>
        <v>311991.74194687075</v>
      </c>
      <c r="I300" s="321">
        <f t="shared" si="16"/>
        <v>369348.76194687077</v>
      </c>
    </row>
    <row r="301" spans="1:9" s="35" customFormat="1" x14ac:dyDescent="0.25">
      <c r="A301" s="38">
        <f>Données!A295</f>
        <v>5928</v>
      </c>
      <c r="B301" s="548" t="str">
        <f>Données!B295</f>
        <v>Rovray</v>
      </c>
      <c r="C301" s="31">
        <f>VPI!R295</f>
        <v>5095.519580419581</v>
      </c>
      <c r="D301" s="8">
        <f>Données!N295</f>
        <v>0</v>
      </c>
      <c r="E301" s="236">
        <f>Données!O295+Données!P295+Données!R295</f>
        <v>238.5</v>
      </c>
      <c r="F301" s="497">
        <f t="shared" si="14"/>
        <v>119.25</v>
      </c>
      <c r="G301" s="497">
        <f>Ecrêtage!M295</f>
        <v>0</v>
      </c>
      <c r="H301" s="498">
        <f t="shared" si="15"/>
        <v>59357.764856214708</v>
      </c>
      <c r="I301" s="321">
        <f t="shared" si="16"/>
        <v>59477.014856214708</v>
      </c>
    </row>
    <row r="302" spans="1:9" s="35" customFormat="1" x14ac:dyDescent="0.25">
      <c r="A302" s="38">
        <f>Données!A296</f>
        <v>5929</v>
      </c>
      <c r="B302" s="548" t="str">
        <f>Données!B296</f>
        <v>Suchy</v>
      </c>
      <c r="C302" s="31">
        <f>VPI!R296</f>
        <v>21603.071857142855</v>
      </c>
      <c r="D302" s="8">
        <f>Données!N296</f>
        <v>19827.2</v>
      </c>
      <c r="E302" s="236">
        <f>Données!O296+Données!P296+Données!R296</f>
        <v>89318.5</v>
      </c>
      <c r="F302" s="497">
        <f t="shared" si="14"/>
        <v>50607.41</v>
      </c>
      <c r="G302" s="497">
        <f>Ecrêtage!M296</f>
        <v>0</v>
      </c>
      <c r="H302" s="498">
        <f t="shared" si="15"/>
        <v>251654.42684112026</v>
      </c>
      <c r="I302" s="321">
        <f t="shared" si="16"/>
        <v>302261.83684112027</v>
      </c>
    </row>
    <row r="303" spans="1:9" s="35" customFormat="1" x14ac:dyDescent="0.25">
      <c r="A303" s="38">
        <f>Données!A297</f>
        <v>5930</v>
      </c>
      <c r="B303" s="548" t="str">
        <f>Données!B297</f>
        <v>Suscévaz</v>
      </c>
      <c r="C303" s="31">
        <f>VPI!R297</f>
        <v>5749.1651388888886</v>
      </c>
      <c r="D303" s="8">
        <f>Données!N297</f>
        <v>0</v>
      </c>
      <c r="E303" s="236">
        <f>Données!O297+Données!P297+Données!R297</f>
        <v>48537.95</v>
      </c>
      <c r="F303" s="497">
        <f t="shared" si="14"/>
        <v>24268.974999999999</v>
      </c>
      <c r="G303" s="497">
        <f>Ecrêtage!M297</f>
        <v>0</v>
      </c>
      <c r="H303" s="498">
        <f t="shared" si="15"/>
        <v>66972.089312551208</v>
      </c>
      <c r="I303" s="321">
        <f t="shared" si="16"/>
        <v>91241.0643125512</v>
      </c>
    </row>
    <row r="304" spans="1:9" s="35" customFormat="1" x14ac:dyDescent="0.25">
      <c r="A304" s="38">
        <f>Données!A298</f>
        <v>5931</v>
      </c>
      <c r="B304" s="548" t="str">
        <f>Données!B298</f>
        <v>Treycovagnes</v>
      </c>
      <c r="C304" s="31">
        <f>VPI!R298</f>
        <v>16306.743466666663</v>
      </c>
      <c r="D304" s="8">
        <f>Données!N298</f>
        <v>14546.55</v>
      </c>
      <c r="E304" s="236">
        <f>Données!O298+Données!P298+Données!R298</f>
        <v>198120.6</v>
      </c>
      <c r="F304" s="497">
        <f t="shared" si="14"/>
        <v>103424.265</v>
      </c>
      <c r="G304" s="497">
        <f>Ecrêtage!M298</f>
        <v>0</v>
      </c>
      <c r="H304" s="498">
        <f t="shared" si="15"/>
        <v>189957.43789984862</v>
      </c>
      <c r="I304" s="321">
        <f t="shared" si="16"/>
        <v>293381.70289984863</v>
      </c>
    </row>
    <row r="305" spans="1:9" s="35" customFormat="1" x14ac:dyDescent="0.25">
      <c r="A305" s="38">
        <f>Données!A299</f>
        <v>5932</v>
      </c>
      <c r="B305" s="548" t="str">
        <f>Données!B299</f>
        <v>Ursins</v>
      </c>
      <c r="C305" s="31">
        <f>VPI!R299</f>
        <v>7945.6340000000009</v>
      </c>
      <c r="D305" s="8">
        <f>Données!N299</f>
        <v>0</v>
      </c>
      <c r="E305" s="236">
        <f>Données!O299+Données!P299+Données!R299</f>
        <v>19469.650000000001</v>
      </c>
      <c r="F305" s="497">
        <f t="shared" si="14"/>
        <v>9734.8250000000007</v>
      </c>
      <c r="G305" s="497">
        <f>Ecrêtage!M299</f>
        <v>0</v>
      </c>
      <c r="H305" s="498">
        <f t="shared" si="15"/>
        <v>92558.779759749028</v>
      </c>
      <c r="I305" s="321">
        <f t="shared" si="16"/>
        <v>102293.60475974903</v>
      </c>
    </row>
    <row r="306" spans="1:9" s="35" customFormat="1" x14ac:dyDescent="0.25">
      <c r="A306" s="38">
        <f>Données!A300</f>
        <v>5933</v>
      </c>
      <c r="B306" s="548" t="str">
        <f>Données!B300</f>
        <v>Valeyres-sous-Montagny</v>
      </c>
      <c r="C306" s="31">
        <f>VPI!R300</f>
        <v>23478.314609929079</v>
      </c>
      <c r="D306" s="8">
        <f>Données!N300</f>
        <v>27780.9</v>
      </c>
      <c r="E306" s="236">
        <f>Données!O300+Données!P300+Données!R300</f>
        <v>93066.9</v>
      </c>
      <c r="F306" s="497">
        <f t="shared" si="14"/>
        <v>54867.72</v>
      </c>
      <c r="G306" s="497">
        <f>Ecrêtage!M300</f>
        <v>0</v>
      </c>
      <c r="H306" s="498">
        <f t="shared" si="15"/>
        <v>273499.15074247355</v>
      </c>
      <c r="I306" s="321">
        <f t="shared" si="16"/>
        <v>328366.87074247352</v>
      </c>
    </row>
    <row r="307" spans="1:9" s="35" customFormat="1" x14ac:dyDescent="0.25">
      <c r="A307" s="38">
        <f>Données!A301</f>
        <v>5934</v>
      </c>
      <c r="B307" s="548" t="str">
        <f>Données!B301</f>
        <v>Valeyres-sous-Ursins</v>
      </c>
      <c r="C307" s="31">
        <f>VPI!R301</f>
        <v>16787.585844155841</v>
      </c>
      <c r="D307" s="8">
        <f>Données!N301</f>
        <v>7121.8</v>
      </c>
      <c r="E307" s="236">
        <f>Données!O301+Données!P301+Données!R301</f>
        <v>56058.2</v>
      </c>
      <c r="F307" s="497">
        <f t="shared" si="14"/>
        <v>30165.64</v>
      </c>
      <c r="G307" s="497">
        <f>Ecrêtage!M301</f>
        <v>100134.59261317579</v>
      </c>
      <c r="H307" s="498">
        <f t="shared" si="15"/>
        <v>195558.77615896991</v>
      </c>
      <c r="I307" s="321">
        <f t="shared" si="16"/>
        <v>325859.00877214572</v>
      </c>
    </row>
    <row r="308" spans="1:9" s="35" customFormat="1" x14ac:dyDescent="0.25">
      <c r="A308" s="38">
        <f>Données!A302</f>
        <v>5935</v>
      </c>
      <c r="B308" s="548" t="str">
        <f>Données!B302</f>
        <v>Villars-Epeney</v>
      </c>
      <c r="C308" s="31">
        <f>VPI!R302</f>
        <v>6724.4138235294122</v>
      </c>
      <c r="D308" s="8">
        <f>Données!N302</f>
        <v>0</v>
      </c>
      <c r="E308" s="236">
        <f>Données!O302+Données!P302+Données!R302</f>
        <v>57862.7</v>
      </c>
      <c r="F308" s="497">
        <f t="shared" si="14"/>
        <v>28931.35</v>
      </c>
      <c r="G308" s="497">
        <f>Ecrêtage!M302</f>
        <v>40469.857735499645</v>
      </c>
      <c r="H308" s="498">
        <f t="shared" si="15"/>
        <v>78332.772199861036</v>
      </c>
      <c r="I308" s="321">
        <f t="shared" si="16"/>
        <v>147733.97993536069</v>
      </c>
    </row>
    <row r="309" spans="1:9" s="35" customFormat="1" x14ac:dyDescent="0.25">
      <c r="A309" s="38">
        <f>Données!A303</f>
        <v>5937</v>
      </c>
      <c r="B309" s="548" t="str">
        <f>Données!B303</f>
        <v>Vugelles-La Mothe</v>
      </c>
      <c r="C309" s="31">
        <f>VPI!R303</f>
        <v>3343.8941428571434</v>
      </c>
      <c r="D309" s="8">
        <f>Données!N303</f>
        <v>2274.35</v>
      </c>
      <c r="E309" s="236">
        <f>Données!O303+Données!P303+Données!R303</f>
        <v>16589.400000000001</v>
      </c>
      <c r="F309" s="497">
        <f t="shared" si="14"/>
        <v>8977.005000000001</v>
      </c>
      <c r="G309" s="497">
        <f>Ecrêtage!M303</f>
        <v>0</v>
      </c>
      <c r="H309" s="498">
        <f t="shared" si="15"/>
        <v>38953.060449125776</v>
      </c>
      <c r="I309" s="321">
        <f t="shared" si="16"/>
        <v>47930.065449125774</v>
      </c>
    </row>
    <row r="310" spans="1:9" s="35" customFormat="1" x14ac:dyDescent="0.25">
      <c r="A310" s="38">
        <f>Données!A304</f>
        <v>5938</v>
      </c>
      <c r="B310" s="548" t="str">
        <f>Données!B304</f>
        <v>Yverdon-les-Bains</v>
      </c>
      <c r="C310" s="31">
        <f>VPI!R304</f>
        <v>780594.69946666679</v>
      </c>
      <c r="D310" s="8">
        <f>Données!N304</f>
        <v>5431399.5</v>
      </c>
      <c r="E310" s="236">
        <f>Données!O304+Données!P304+Données!R304</f>
        <v>5270017.45</v>
      </c>
      <c r="F310" s="497">
        <f t="shared" si="14"/>
        <v>4264428.5750000002</v>
      </c>
      <c r="G310" s="497">
        <f>Ecrêtage!M304</f>
        <v>0</v>
      </c>
      <c r="H310" s="498">
        <f t="shared" si="15"/>
        <v>9093156.4264805913</v>
      </c>
      <c r="I310" s="321">
        <f t="shared" si="16"/>
        <v>13357585.001480591</v>
      </c>
    </row>
    <row r="311" spans="1:9" s="35" customFormat="1" x14ac:dyDescent="0.25">
      <c r="A311" s="39">
        <f>Données!A305</f>
        <v>5939</v>
      </c>
      <c r="B311" s="549" t="str">
        <f>Données!B305</f>
        <v>Yvonand</v>
      </c>
      <c r="C311" s="31">
        <f>VPI!R305</f>
        <v>97394.348251748248</v>
      </c>
      <c r="D311" s="8">
        <f>Données!N305</f>
        <v>174288.8</v>
      </c>
      <c r="E311" s="236">
        <f>Données!O305+Données!P305+Données!R305</f>
        <v>1383071.45</v>
      </c>
      <c r="F311" s="497">
        <f t="shared" si="14"/>
        <v>743822.36499999999</v>
      </c>
      <c r="G311" s="497">
        <f>Ecrêtage!M305</f>
        <v>0</v>
      </c>
      <c r="H311" s="498">
        <f t="shared" si="15"/>
        <v>1134547.8573110544</v>
      </c>
      <c r="I311" s="321">
        <f t="shared" si="16"/>
        <v>1878370.2223110544</v>
      </c>
    </row>
    <row r="312" spans="1:9" x14ac:dyDescent="0.25">
      <c r="A312" s="25"/>
      <c r="B312" s="172">
        <f>COUNTA(B12:B311)</f>
        <v>300</v>
      </c>
      <c r="C312" s="9">
        <f>SUM(C12:C311)</f>
        <v>40270921.104040481</v>
      </c>
      <c r="D312" s="75">
        <f>SUM(D12:D311)</f>
        <v>86039533.399999931</v>
      </c>
      <c r="E312" s="9">
        <f>SUM(E12:E311)</f>
        <v>296103944.04999989</v>
      </c>
      <c r="F312" s="545">
        <f t="shared" ref="F312" si="17">D312*$D$11+E312*$E$11</f>
        <v>173863832.04499993</v>
      </c>
      <c r="G312" s="545">
        <f>SUM(G12:G311)</f>
        <v>130102885.44580179</v>
      </c>
      <c r="H312" s="546">
        <f>SUM(H12:H311)</f>
        <v>469116412.50919831</v>
      </c>
      <c r="I312" s="327">
        <f>SUM(I12:I311)</f>
        <v>773083130.00000048</v>
      </c>
    </row>
    <row r="313" spans="1:9" x14ac:dyDescent="0.25">
      <c r="C313" s="52"/>
      <c r="D313" s="52"/>
      <c r="E313" s="52"/>
      <c r="F313" s="52"/>
    </row>
    <row r="314" spans="1:9" x14ac:dyDescent="0.25">
      <c r="A314" s="53"/>
      <c r="B314" s="54"/>
      <c r="C314" s="554"/>
      <c r="D314" s="35"/>
      <c r="E314" s="55"/>
      <c r="F314" s="14"/>
      <c r="G314" s="14"/>
      <c r="H314" s="14"/>
      <c r="I314" s="14"/>
    </row>
    <row r="315" spans="1:9" x14ac:dyDescent="0.25">
      <c r="F315" s="53"/>
      <c r="G315" s="53"/>
      <c r="H315" s="53"/>
      <c r="I315" s="53"/>
    </row>
    <row r="316" spans="1:9" x14ac:dyDescent="0.25">
      <c r="F316" s="54"/>
      <c r="G316" s="53"/>
      <c r="H316" s="53"/>
      <c r="I316" s="53"/>
    </row>
    <row r="317" spans="1:9" x14ac:dyDescent="0.25">
      <c r="F317" s="54"/>
      <c r="G317" s="53"/>
      <c r="H317" s="53"/>
      <c r="I317" s="53"/>
    </row>
    <row r="318" spans="1:9" x14ac:dyDescent="0.25">
      <c r="F318" s="54"/>
      <c r="G318" s="53"/>
      <c r="H318" s="53"/>
      <c r="I318" s="53"/>
    </row>
    <row r="319" spans="1:9" x14ac:dyDescent="0.25">
      <c r="F319" s="57"/>
      <c r="G319" s="53"/>
      <c r="H319" s="53"/>
      <c r="I319" s="53"/>
    </row>
    <row r="320" spans="1:9" x14ac:dyDescent="0.25">
      <c r="D320" s="15"/>
      <c r="E320" s="53"/>
      <c r="F320" s="53"/>
      <c r="G320" s="53"/>
      <c r="H320" s="53"/>
      <c r="I320" s="53"/>
    </row>
    <row r="321" spans="3:9" x14ac:dyDescent="0.25">
      <c r="C321" s="45"/>
      <c r="E321" s="53"/>
      <c r="F321" s="53"/>
      <c r="G321" s="53"/>
      <c r="H321" s="53"/>
      <c r="I321" s="53"/>
    </row>
    <row r="322" spans="3:9" x14ac:dyDescent="0.25">
      <c r="E322" s="53"/>
      <c r="F322" s="53"/>
      <c r="G322" s="53"/>
      <c r="H322" s="53"/>
      <c r="I322" s="53"/>
    </row>
    <row r="323" spans="3:9" x14ac:dyDescent="0.25">
      <c r="E323" s="53"/>
      <c r="F323" s="53"/>
      <c r="G323" s="53"/>
      <c r="H323" s="53"/>
      <c r="I323" s="53"/>
    </row>
    <row r="324" spans="3:9" x14ac:dyDescent="0.25">
      <c r="E324" s="53"/>
      <c r="F324" s="53"/>
      <c r="G324" s="53"/>
      <c r="H324" s="53"/>
      <c r="I324" s="53"/>
    </row>
  </sheetData>
  <sheetProtection sheet="1" objects="1" scenarios="1"/>
  <mergeCells count="11">
    <mergeCell ref="A4:C4"/>
    <mergeCell ref="A10:A11"/>
    <mergeCell ref="I10:I11"/>
    <mergeCell ref="G10:G11"/>
    <mergeCell ref="F10:F11"/>
    <mergeCell ref="C10:C11"/>
    <mergeCell ref="B10:B11"/>
    <mergeCell ref="A5:B5"/>
    <mergeCell ref="A6:B6"/>
    <mergeCell ref="A7:B7"/>
    <mergeCell ref="A8:B8"/>
  </mergeCells>
  <phoneticPr fontId="0" type="noConversion"/>
  <hyperlinks>
    <hyperlink ref="E1" location="VPI!A1" display="← Précédent" xr:uid="{BB8ECA03-C04E-4697-B3DD-619E0FB40F67}"/>
    <hyperlink ref="F1" location="'Table des matières'!A1" display="Table des             matières" xr:uid="{54975323-3646-4DA1-AA62-F5E15D2A8645}"/>
    <hyperlink ref="G1" location="Ecrêtage!A1" display="Suivant →" xr:uid="{6AA66BEC-28C4-4E9D-9CB2-8418588B3BDC}"/>
  </hyperlinks>
  <printOptions horizontalCentered="1"/>
  <pageMargins left="0" right="0" top="0" bottom="0" header="0.51181102362204722" footer="0.51181102362204722"/>
  <pageSetup paperSize="9" scale="73"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theme="5" tint="0.79998168889431442"/>
  </sheetPr>
  <dimension ref="A1:T312"/>
  <sheetViews>
    <sheetView workbookViewId="0">
      <pane ySplit="5" topLeftCell="A6" activePane="bottomLeft" state="frozen"/>
      <selection activeCell="C3" sqref="C3:E3"/>
      <selection pane="bottomLeft" activeCell="C3" sqref="C3:E3"/>
    </sheetView>
  </sheetViews>
  <sheetFormatPr baseColWidth="10" defaultColWidth="11" defaultRowHeight="15" x14ac:dyDescent="0.25"/>
  <cols>
    <col min="1" max="1" width="8.75" style="11" customWidth="1"/>
    <col min="2" max="2" width="23.625" style="11" customWidth="1"/>
    <col min="3" max="3" width="16.75" style="376" customWidth="1"/>
    <col min="4" max="4" width="11" style="11" customWidth="1"/>
    <col min="5" max="5" width="14.125" style="11" customWidth="1"/>
    <col min="6" max="6" width="10.875" style="45" customWidth="1"/>
    <col min="7" max="10" width="7" style="11" bestFit="1" customWidth="1"/>
    <col min="11" max="11" width="6.5" style="11" customWidth="1"/>
    <col min="12" max="12" width="9.625" style="11" customWidth="1"/>
    <col min="13" max="13" width="10.75" style="10" bestFit="1" customWidth="1"/>
    <col min="14" max="14" width="3.75" style="204" customWidth="1"/>
    <col min="15" max="15" width="12.625" style="204" customWidth="1"/>
    <col min="16" max="17" width="11" style="204" customWidth="1"/>
    <col min="18" max="18" width="11.25" style="204" customWidth="1"/>
    <col min="19" max="19" width="11" style="11"/>
    <col min="20" max="20" width="5.875" style="11" customWidth="1"/>
    <col min="21" max="16384" width="11" style="11"/>
  </cols>
  <sheetData>
    <row r="1" spans="1:20" s="280" customFormat="1" ht="29.1" customHeight="1" x14ac:dyDescent="0.4">
      <c r="A1" s="278" t="s">
        <v>541</v>
      </c>
      <c r="B1" s="279"/>
      <c r="C1" s="404" t="s">
        <v>405</v>
      </c>
      <c r="D1" s="311" t="s">
        <v>483</v>
      </c>
      <c r="E1" s="496" t="s">
        <v>406</v>
      </c>
      <c r="N1" s="281"/>
      <c r="O1" s="374"/>
      <c r="P1" s="372"/>
      <c r="Q1" s="372"/>
      <c r="R1" s="372"/>
      <c r="S1" s="372"/>
    </row>
    <row r="2" spans="1:20" s="217" customFormat="1" ht="15.75" customHeight="1" x14ac:dyDescent="0.25">
      <c r="A2" s="355" t="str">
        <f>Paramètres!B4</f>
        <v>Décompte 2022</v>
      </c>
      <c r="B2" s="32"/>
      <c r="C2" s="375"/>
      <c r="D2" s="33"/>
      <c r="E2" s="33"/>
      <c r="F2" s="44"/>
      <c r="M2" s="10"/>
      <c r="N2" s="237"/>
      <c r="O2" s="372"/>
      <c r="P2" s="372"/>
      <c r="Q2" s="372"/>
      <c r="R2" s="372"/>
      <c r="S2" s="372"/>
    </row>
    <row r="3" spans="1:20" ht="15" customHeight="1" x14ac:dyDescent="0.25">
      <c r="G3" s="325">
        <f>$E$306*G5</f>
        <v>48.441733642766906</v>
      </c>
      <c r="H3" s="325">
        <f>$E$306*H5</f>
        <v>58.130080371320282</v>
      </c>
      <c r="I3" s="325">
        <f>$E$306*I5</f>
        <v>72.662600464150358</v>
      </c>
      <c r="J3" s="325">
        <f>$E$306*J5</f>
        <v>96.883467285533811</v>
      </c>
      <c r="K3" s="325">
        <f>$E$306*K5</f>
        <v>145.32520092830072</v>
      </c>
      <c r="O3" s="372"/>
      <c r="P3" s="372"/>
      <c r="Q3" s="372"/>
      <c r="R3" s="372"/>
      <c r="S3" s="372"/>
      <c r="T3" s="217"/>
    </row>
    <row r="4" spans="1:20" ht="37.5" customHeight="1" x14ac:dyDescent="0.25">
      <c r="A4" s="654" t="s">
        <v>44</v>
      </c>
      <c r="B4" s="654" t="s">
        <v>84</v>
      </c>
      <c r="C4" s="672" t="s">
        <v>424</v>
      </c>
      <c r="D4" s="673"/>
      <c r="E4" s="674"/>
      <c r="F4" s="670" t="s">
        <v>248</v>
      </c>
      <c r="G4" s="322">
        <f>Paramètres!B24</f>
        <v>0.2</v>
      </c>
      <c r="H4" s="322">
        <f>Paramètres!C24</f>
        <v>0.3</v>
      </c>
      <c r="I4" s="322">
        <f>Paramètres!D24</f>
        <v>0.4</v>
      </c>
      <c r="J4" s="322">
        <f>Paramètres!E24</f>
        <v>0.5</v>
      </c>
      <c r="K4" s="322">
        <f>Paramètres!F24</f>
        <v>0.6</v>
      </c>
      <c r="L4" s="670" t="s">
        <v>251</v>
      </c>
      <c r="M4" s="670" t="s">
        <v>563</v>
      </c>
      <c r="O4" s="372"/>
      <c r="P4" s="372"/>
      <c r="Q4" s="372"/>
      <c r="R4" s="372"/>
      <c r="S4" s="372"/>
      <c r="T4" s="372"/>
    </row>
    <row r="5" spans="1:20" ht="37.5" customHeight="1" x14ac:dyDescent="0.25">
      <c r="A5" s="660"/>
      <c r="B5" s="660"/>
      <c r="C5" s="323" t="s">
        <v>413</v>
      </c>
      <c r="D5" s="323" t="s">
        <v>257</v>
      </c>
      <c r="E5" s="323" t="s">
        <v>485</v>
      </c>
      <c r="F5" s="670"/>
      <c r="G5" s="324">
        <f>Paramètres!B25</f>
        <v>1</v>
      </c>
      <c r="H5" s="324">
        <f>Paramètres!C25</f>
        <v>1.2</v>
      </c>
      <c r="I5" s="324">
        <f>Paramètres!D25</f>
        <v>1.5</v>
      </c>
      <c r="J5" s="324">
        <f>Paramètres!E25</f>
        <v>2</v>
      </c>
      <c r="K5" s="324">
        <f>Paramètres!F25</f>
        <v>3</v>
      </c>
      <c r="L5" s="671"/>
      <c r="M5" s="670"/>
      <c r="O5" s="372"/>
      <c r="P5" s="372"/>
      <c r="Q5" s="372"/>
      <c r="R5" s="372"/>
      <c r="S5" s="372"/>
      <c r="T5" s="372"/>
    </row>
    <row r="6" spans="1:20" x14ac:dyDescent="0.25">
      <c r="A6" s="68">
        <f>Données!A6</f>
        <v>5401</v>
      </c>
      <c r="B6" s="171" t="str">
        <f>Données!B6</f>
        <v>Aigle</v>
      </c>
      <c r="C6" s="377">
        <f>VPI!R6</f>
        <v>294634.51575757569</v>
      </c>
      <c r="D6" s="27">
        <f>Données!Z6</f>
        <v>10943</v>
      </c>
      <c r="E6" s="115">
        <f>C6/D6</f>
        <v>26.924473705343662</v>
      </c>
      <c r="F6" s="203">
        <f>E6/$E$306</f>
        <v>0.55581152202144402</v>
      </c>
      <c r="G6" s="500">
        <f t="shared" ref="G6" si="0">IF(E6-$G$3&lt;0,0,E6-$G$3)</f>
        <v>0</v>
      </c>
      <c r="H6" s="500">
        <f t="shared" ref="H6" si="1">IF(E6-$H$3&lt;0,0,E6-$H$3)</f>
        <v>0</v>
      </c>
      <c r="I6" s="500">
        <f t="shared" ref="I6" si="2">IF(E6-$I$3&lt;0,0,E6-$I$3)</f>
        <v>0</v>
      </c>
      <c r="J6" s="500">
        <f t="shared" ref="J6" si="3">IF(E6-$J$3&lt;0,0,E6-$J$3)</f>
        <v>0</v>
      </c>
      <c r="K6" s="500">
        <f t="shared" ref="K6" si="4">IF(E6-$K$3&lt;0,0,E6-$K$3)</f>
        <v>0</v>
      </c>
      <c r="L6" s="501">
        <f>(G6-H6)*$G$4+(H6-I6)*$H$4+(I6-J6)*$I$4+(J6-K6)*$J$4+(K6*$K$4)</f>
        <v>0</v>
      </c>
      <c r="M6" s="326">
        <f>L6*D6*VPI!Q6</f>
        <v>0</v>
      </c>
    </row>
    <row r="7" spans="1:20" x14ac:dyDescent="0.25">
      <c r="A7" s="170">
        <f>Données!A7</f>
        <v>5402</v>
      </c>
      <c r="B7" s="27" t="str">
        <f>Données!B7</f>
        <v>Bex</v>
      </c>
      <c r="C7" s="377">
        <f>VPI!R7</f>
        <v>191961.18746478873</v>
      </c>
      <c r="D7" s="27">
        <f>Données!Z7</f>
        <v>8165</v>
      </c>
      <c r="E7" s="115">
        <f t="shared" ref="E7:E70" si="5">C7/D7</f>
        <v>23.510249536410132</v>
      </c>
      <c r="F7" s="203">
        <f t="shared" ref="F7:F70" si="6">E7/$E$306</f>
        <v>0.48533047371479804</v>
      </c>
      <c r="G7" s="500">
        <f t="shared" ref="G7:G70" si="7">IF(E7-$G$3&lt;0,0,E7-$G$3)</f>
        <v>0</v>
      </c>
      <c r="H7" s="500">
        <f t="shared" ref="H7:H70" si="8">IF(E7-$H$3&lt;0,0,E7-$H$3)</f>
        <v>0</v>
      </c>
      <c r="I7" s="500">
        <f t="shared" ref="I7:I70" si="9">IF(E7-$I$3&lt;0,0,E7-$I$3)</f>
        <v>0</v>
      </c>
      <c r="J7" s="500">
        <f t="shared" ref="J7:J70" si="10">IF(E7-$J$3&lt;0,0,E7-$J$3)</f>
        <v>0</v>
      </c>
      <c r="K7" s="500">
        <f t="shared" ref="K7:K70" si="11">IF(E7-$K$3&lt;0,0,E7-$K$3)</f>
        <v>0</v>
      </c>
      <c r="L7" s="502">
        <f t="shared" ref="L7:L70" si="12">(G7-H7)*$G$4+(H7-I7)*$H$4+(I7-J7)*$I$4+(J7-K7)*$J$4+(K7*$K$4)</f>
        <v>0</v>
      </c>
      <c r="M7" s="326">
        <f>L7*D7*VPI!Q7</f>
        <v>0</v>
      </c>
    </row>
    <row r="8" spans="1:20" x14ac:dyDescent="0.25">
      <c r="A8" s="170">
        <f>Données!A8</f>
        <v>5403</v>
      </c>
      <c r="B8" s="27" t="str">
        <f>Données!B8</f>
        <v>Chessel</v>
      </c>
      <c r="C8" s="377">
        <f>VPI!R8</f>
        <v>13521.430615384616</v>
      </c>
      <c r="D8" s="27">
        <f>Données!Z8</f>
        <v>528</v>
      </c>
      <c r="E8" s="115">
        <f t="shared" si="5"/>
        <v>25.608770104895104</v>
      </c>
      <c r="F8" s="203">
        <f t="shared" si="6"/>
        <v>0.52865098292614232</v>
      </c>
      <c r="G8" s="500">
        <f t="shared" si="7"/>
        <v>0</v>
      </c>
      <c r="H8" s="500">
        <f t="shared" si="8"/>
        <v>0</v>
      </c>
      <c r="I8" s="500">
        <f t="shared" si="9"/>
        <v>0</v>
      </c>
      <c r="J8" s="500">
        <f t="shared" si="10"/>
        <v>0</v>
      </c>
      <c r="K8" s="500">
        <f t="shared" si="11"/>
        <v>0</v>
      </c>
      <c r="L8" s="502">
        <f t="shared" si="12"/>
        <v>0</v>
      </c>
      <c r="M8" s="326">
        <f>L8*D8*VPI!Q8</f>
        <v>0</v>
      </c>
    </row>
    <row r="9" spans="1:20" x14ac:dyDescent="0.25">
      <c r="A9" s="170">
        <f>Données!A9</f>
        <v>5404</v>
      </c>
      <c r="B9" s="27" t="str">
        <f>Données!B9</f>
        <v>Corbeyrier</v>
      </c>
      <c r="C9" s="377">
        <f>VPI!R9</f>
        <v>11663.247882882884</v>
      </c>
      <c r="D9" s="27">
        <f>Données!Z9</f>
        <v>440</v>
      </c>
      <c r="E9" s="115">
        <f t="shared" si="5"/>
        <v>26.507381552006557</v>
      </c>
      <c r="F9" s="203">
        <f t="shared" si="6"/>
        <v>0.54720133980928476</v>
      </c>
      <c r="G9" s="500">
        <f t="shared" si="7"/>
        <v>0</v>
      </c>
      <c r="H9" s="500">
        <f t="shared" si="8"/>
        <v>0</v>
      </c>
      <c r="I9" s="500">
        <f t="shared" si="9"/>
        <v>0</v>
      </c>
      <c r="J9" s="500">
        <f t="shared" si="10"/>
        <v>0</v>
      </c>
      <c r="K9" s="500">
        <f t="shared" si="11"/>
        <v>0</v>
      </c>
      <c r="L9" s="502">
        <f t="shared" si="12"/>
        <v>0</v>
      </c>
      <c r="M9" s="326">
        <f>L9*D9*VPI!Q9</f>
        <v>0</v>
      </c>
    </row>
    <row r="10" spans="1:20" x14ac:dyDescent="0.25">
      <c r="A10" s="170">
        <f>Données!A10</f>
        <v>5405</v>
      </c>
      <c r="B10" s="27" t="str">
        <f>Données!B10</f>
        <v>Gryon</v>
      </c>
      <c r="C10" s="377">
        <f>VPI!R10</f>
        <v>73286.214467120197</v>
      </c>
      <c r="D10" s="27">
        <f>Données!Z10</f>
        <v>1390</v>
      </c>
      <c r="E10" s="115">
        <f t="shared" si="5"/>
        <v>52.723895300086475</v>
      </c>
      <c r="F10" s="203">
        <f t="shared" si="6"/>
        <v>1.0883981917100312</v>
      </c>
      <c r="G10" s="500">
        <f t="shared" si="7"/>
        <v>4.2821616573195698</v>
      </c>
      <c r="H10" s="500">
        <f t="shared" si="8"/>
        <v>0</v>
      </c>
      <c r="I10" s="500">
        <f t="shared" si="9"/>
        <v>0</v>
      </c>
      <c r="J10" s="500">
        <f t="shared" si="10"/>
        <v>0</v>
      </c>
      <c r="K10" s="500">
        <f t="shared" si="11"/>
        <v>0</v>
      </c>
      <c r="L10" s="502">
        <f t="shared" si="12"/>
        <v>0.85643233146391395</v>
      </c>
      <c r="M10" s="326">
        <f>L10*D10*VPI!Q10</f>
        <v>87497.409144010759</v>
      </c>
    </row>
    <row r="11" spans="1:20" x14ac:dyDescent="0.25">
      <c r="A11" s="170">
        <f>Données!A11</f>
        <v>5406</v>
      </c>
      <c r="B11" s="27" t="str">
        <f>Données!B11</f>
        <v>Lavey-Morcles</v>
      </c>
      <c r="C11" s="377">
        <f>VPI!R11</f>
        <v>22111.529381387842</v>
      </c>
      <c r="D11" s="27">
        <f>Données!Z11</f>
        <v>977</v>
      </c>
      <c r="E11" s="115">
        <f t="shared" si="5"/>
        <v>22.632066920560739</v>
      </c>
      <c r="F11" s="203">
        <f t="shared" si="6"/>
        <v>0.4672018364879485</v>
      </c>
      <c r="G11" s="500">
        <f t="shared" si="7"/>
        <v>0</v>
      </c>
      <c r="H11" s="500">
        <f t="shared" si="8"/>
        <v>0</v>
      </c>
      <c r="I11" s="500">
        <f t="shared" si="9"/>
        <v>0</v>
      </c>
      <c r="J11" s="500">
        <f t="shared" si="10"/>
        <v>0</v>
      </c>
      <c r="K11" s="500">
        <f t="shared" si="11"/>
        <v>0</v>
      </c>
      <c r="L11" s="502">
        <f t="shared" si="12"/>
        <v>0</v>
      </c>
      <c r="M11" s="326">
        <f>L11*D11*VPI!Q11</f>
        <v>0</v>
      </c>
    </row>
    <row r="12" spans="1:20" x14ac:dyDescent="0.25">
      <c r="A12" s="170">
        <f>Données!A12</f>
        <v>5407</v>
      </c>
      <c r="B12" s="27" t="str">
        <f>Données!B12</f>
        <v>Leysin</v>
      </c>
      <c r="C12" s="377">
        <f>VPI!R12</f>
        <v>89841.412521367529</v>
      </c>
      <c r="D12" s="27">
        <f>Données!Z12</f>
        <v>3752</v>
      </c>
      <c r="E12" s="115">
        <f t="shared" si="5"/>
        <v>23.944939371366612</v>
      </c>
      <c r="F12" s="203">
        <f t="shared" si="6"/>
        <v>0.49430393115053095</v>
      </c>
      <c r="G12" s="500">
        <f t="shared" si="7"/>
        <v>0</v>
      </c>
      <c r="H12" s="500">
        <f t="shared" si="8"/>
        <v>0</v>
      </c>
      <c r="I12" s="500">
        <f t="shared" si="9"/>
        <v>0</v>
      </c>
      <c r="J12" s="500">
        <f t="shared" si="10"/>
        <v>0</v>
      </c>
      <c r="K12" s="500">
        <f t="shared" si="11"/>
        <v>0</v>
      </c>
      <c r="L12" s="502">
        <f t="shared" si="12"/>
        <v>0</v>
      </c>
      <c r="M12" s="326">
        <f>L12*D12*VPI!Q12</f>
        <v>0</v>
      </c>
    </row>
    <row r="13" spans="1:20" x14ac:dyDescent="0.25">
      <c r="A13" s="170">
        <f>Données!A13</f>
        <v>5408</v>
      </c>
      <c r="B13" s="27" t="str">
        <f>Données!B13</f>
        <v>Noville</v>
      </c>
      <c r="C13" s="377">
        <f>VPI!R13</f>
        <v>41973.380088888902</v>
      </c>
      <c r="D13" s="27">
        <f>Données!Z13</f>
        <v>1169</v>
      </c>
      <c r="E13" s="115">
        <f t="shared" si="5"/>
        <v>35.905372188955432</v>
      </c>
      <c r="F13" s="203">
        <f t="shared" si="6"/>
        <v>0.74120741536087975</v>
      </c>
      <c r="G13" s="500">
        <f t="shared" si="7"/>
        <v>0</v>
      </c>
      <c r="H13" s="500">
        <f t="shared" si="8"/>
        <v>0</v>
      </c>
      <c r="I13" s="500">
        <f t="shared" si="9"/>
        <v>0</v>
      </c>
      <c r="J13" s="500">
        <f t="shared" si="10"/>
        <v>0</v>
      </c>
      <c r="K13" s="500">
        <f t="shared" si="11"/>
        <v>0</v>
      </c>
      <c r="L13" s="502">
        <f t="shared" si="12"/>
        <v>0</v>
      </c>
      <c r="M13" s="326">
        <f>L13*D13*VPI!Q13</f>
        <v>0</v>
      </c>
    </row>
    <row r="14" spans="1:20" x14ac:dyDescent="0.25">
      <c r="A14" s="170">
        <f>Données!A14</f>
        <v>5409</v>
      </c>
      <c r="B14" s="27" t="str">
        <f>Données!B14</f>
        <v>Ollon</v>
      </c>
      <c r="C14" s="377">
        <f>VPI!R14</f>
        <v>405938.29721719451</v>
      </c>
      <c r="D14" s="27">
        <f>Données!Z14</f>
        <v>7971</v>
      </c>
      <c r="E14" s="115">
        <f t="shared" si="5"/>
        <v>50.926897154333773</v>
      </c>
      <c r="F14" s="203">
        <f t="shared" si="6"/>
        <v>1.0513021175066459</v>
      </c>
      <c r="G14" s="500">
        <f t="shared" si="7"/>
        <v>2.4851635115668671</v>
      </c>
      <c r="H14" s="500">
        <f t="shared" si="8"/>
        <v>0</v>
      </c>
      <c r="I14" s="500">
        <f t="shared" si="9"/>
        <v>0</v>
      </c>
      <c r="J14" s="500">
        <f t="shared" si="10"/>
        <v>0</v>
      </c>
      <c r="K14" s="500">
        <f t="shared" si="11"/>
        <v>0</v>
      </c>
      <c r="L14" s="502">
        <f t="shared" si="12"/>
        <v>0.49703270231337343</v>
      </c>
      <c r="M14" s="326">
        <f>L14*D14*VPI!Q14</f>
        <v>269405.64156951319</v>
      </c>
    </row>
    <row r="15" spans="1:20" x14ac:dyDescent="0.25">
      <c r="A15" s="170">
        <f>Données!A15</f>
        <v>5410</v>
      </c>
      <c r="B15" s="27" t="str">
        <f>Données!B15</f>
        <v>Ormont-Dessous</v>
      </c>
      <c r="C15" s="377">
        <f>VPI!R15</f>
        <v>38418.577099567097</v>
      </c>
      <c r="D15" s="27">
        <f>Données!Z15</f>
        <v>1178</v>
      </c>
      <c r="E15" s="115">
        <f t="shared" si="5"/>
        <v>32.613393123571392</v>
      </c>
      <c r="F15" s="203">
        <f t="shared" si="6"/>
        <v>0.67324991636506126</v>
      </c>
      <c r="G15" s="500">
        <f t="shared" si="7"/>
        <v>0</v>
      </c>
      <c r="H15" s="500">
        <f t="shared" si="8"/>
        <v>0</v>
      </c>
      <c r="I15" s="500">
        <f t="shared" si="9"/>
        <v>0</v>
      </c>
      <c r="J15" s="500">
        <f t="shared" si="10"/>
        <v>0</v>
      </c>
      <c r="K15" s="500">
        <f t="shared" si="11"/>
        <v>0</v>
      </c>
      <c r="L15" s="502">
        <f t="shared" si="12"/>
        <v>0</v>
      </c>
      <c r="M15" s="326">
        <f>L15*D15*VPI!Q15</f>
        <v>0</v>
      </c>
    </row>
    <row r="16" spans="1:20" x14ac:dyDescent="0.25">
      <c r="A16" s="170">
        <f>Données!A16</f>
        <v>5411</v>
      </c>
      <c r="B16" s="27" t="str">
        <f>Données!B16</f>
        <v>Ormont-Dessus</v>
      </c>
      <c r="C16" s="377">
        <f>VPI!R16</f>
        <v>76161.465657894747</v>
      </c>
      <c r="D16" s="27">
        <f>Données!Z16</f>
        <v>1425</v>
      </c>
      <c r="E16" s="115">
        <f t="shared" si="5"/>
        <v>53.44664256694368</v>
      </c>
      <c r="F16" s="203">
        <f t="shared" si="6"/>
        <v>1.1033181215413435</v>
      </c>
      <c r="G16" s="500">
        <f t="shared" si="7"/>
        <v>5.0049089241767746</v>
      </c>
      <c r="H16" s="500">
        <f t="shared" si="8"/>
        <v>0</v>
      </c>
      <c r="I16" s="500">
        <f t="shared" si="9"/>
        <v>0</v>
      </c>
      <c r="J16" s="500">
        <f t="shared" si="10"/>
        <v>0</v>
      </c>
      <c r="K16" s="500">
        <f t="shared" si="11"/>
        <v>0</v>
      </c>
      <c r="L16" s="502">
        <f t="shared" si="12"/>
        <v>1.000981784835355</v>
      </c>
      <c r="M16" s="326">
        <f>L16*D16*VPI!Q16</f>
        <v>108406.32729766895</v>
      </c>
    </row>
    <row r="17" spans="1:13" x14ac:dyDescent="0.25">
      <c r="A17" s="170">
        <f>Données!A17</f>
        <v>5412</v>
      </c>
      <c r="B17" s="27" t="str">
        <f>Données!B17</f>
        <v>Rennaz</v>
      </c>
      <c r="C17" s="377">
        <f>VPI!R17</f>
        <v>32240.440579710143</v>
      </c>
      <c r="D17" s="27">
        <f>Données!Z17</f>
        <v>929</v>
      </c>
      <c r="E17" s="115">
        <f t="shared" si="5"/>
        <v>34.704457028751499</v>
      </c>
      <c r="F17" s="203">
        <f t="shared" si="6"/>
        <v>0.71641649501397242</v>
      </c>
      <c r="G17" s="500">
        <f t="shared" si="7"/>
        <v>0</v>
      </c>
      <c r="H17" s="500">
        <f t="shared" si="8"/>
        <v>0</v>
      </c>
      <c r="I17" s="500">
        <f t="shared" si="9"/>
        <v>0</v>
      </c>
      <c r="J17" s="500">
        <f t="shared" si="10"/>
        <v>0</v>
      </c>
      <c r="K17" s="500">
        <f t="shared" si="11"/>
        <v>0</v>
      </c>
      <c r="L17" s="502">
        <f t="shared" si="12"/>
        <v>0</v>
      </c>
      <c r="M17" s="326">
        <f>L17*D17*VPI!Q17</f>
        <v>0</v>
      </c>
    </row>
    <row r="18" spans="1:13" x14ac:dyDescent="0.25">
      <c r="A18" s="170">
        <f>Données!A18</f>
        <v>5413</v>
      </c>
      <c r="B18" s="27" t="str">
        <f>Données!B18</f>
        <v>Roche</v>
      </c>
      <c r="C18" s="377">
        <f>VPI!R18</f>
        <v>42596.643504901964</v>
      </c>
      <c r="D18" s="27">
        <f>Données!Z18</f>
        <v>1943</v>
      </c>
      <c r="E18" s="115">
        <f t="shared" si="5"/>
        <v>21.92313098553884</v>
      </c>
      <c r="F18" s="203">
        <f t="shared" si="6"/>
        <v>0.45256701890999107</v>
      </c>
      <c r="G18" s="500">
        <f t="shared" si="7"/>
        <v>0</v>
      </c>
      <c r="H18" s="500">
        <f t="shared" si="8"/>
        <v>0</v>
      </c>
      <c r="I18" s="500">
        <f t="shared" si="9"/>
        <v>0</v>
      </c>
      <c r="J18" s="500">
        <f t="shared" si="10"/>
        <v>0</v>
      </c>
      <c r="K18" s="500">
        <f t="shared" si="11"/>
        <v>0</v>
      </c>
      <c r="L18" s="502">
        <f t="shared" si="12"/>
        <v>0</v>
      </c>
      <c r="M18" s="326">
        <f>L18*D18*VPI!Q18</f>
        <v>0</v>
      </c>
    </row>
    <row r="19" spans="1:13" x14ac:dyDescent="0.25">
      <c r="A19" s="170">
        <f>Données!A19</f>
        <v>5414</v>
      </c>
      <c r="B19" s="27" t="str">
        <f>Données!B19</f>
        <v>Villeneuve</v>
      </c>
      <c r="C19" s="377">
        <f>VPI!R19</f>
        <v>165881.46711111109</v>
      </c>
      <c r="D19" s="27">
        <f>Données!Z19</f>
        <v>5980</v>
      </c>
      <c r="E19" s="115">
        <f t="shared" si="5"/>
        <v>27.739375771088813</v>
      </c>
      <c r="F19" s="203">
        <f t="shared" si="6"/>
        <v>0.57263383626301589</v>
      </c>
      <c r="G19" s="500">
        <f t="shared" si="7"/>
        <v>0</v>
      </c>
      <c r="H19" s="500">
        <f t="shared" si="8"/>
        <v>0</v>
      </c>
      <c r="I19" s="500">
        <f t="shared" si="9"/>
        <v>0</v>
      </c>
      <c r="J19" s="500">
        <f t="shared" si="10"/>
        <v>0</v>
      </c>
      <c r="K19" s="500">
        <f t="shared" si="11"/>
        <v>0</v>
      </c>
      <c r="L19" s="502">
        <f t="shared" si="12"/>
        <v>0</v>
      </c>
      <c r="M19" s="326">
        <f>L19*D19*VPI!Q19</f>
        <v>0</v>
      </c>
    </row>
    <row r="20" spans="1:13" x14ac:dyDescent="0.25">
      <c r="A20" s="170">
        <f>Données!A20</f>
        <v>5415</v>
      </c>
      <c r="B20" s="27" t="str">
        <f>Données!B20</f>
        <v>Yvorne</v>
      </c>
      <c r="C20" s="377">
        <f>VPI!R20</f>
        <v>33675.515990675995</v>
      </c>
      <c r="D20" s="27">
        <f>Données!Z20</f>
        <v>1088</v>
      </c>
      <c r="E20" s="115">
        <f t="shared" si="5"/>
        <v>30.951761020841907</v>
      </c>
      <c r="F20" s="203">
        <f t="shared" si="6"/>
        <v>0.63894825170988656</v>
      </c>
      <c r="G20" s="500">
        <f t="shared" si="7"/>
        <v>0</v>
      </c>
      <c r="H20" s="500">
        <f t="shared" si="8"/>
        <v>0</v>
      </c>
      <c r="I20" s="500">
        <f t="shared" si="9"/>
        <v>0</v>
      </c>
      <c r="J20" s="500">
        <f t="shared" si="10"/>
        <v>0</v>
      </c>
      <c r="K20" s="500">
        <f t="shared" si="11"/>
        <v>0</v>
      </c>
      <c r="L20" s="502">
        <f t="shared" si="12"/>
        <v>0</v>
      </c>
      <c r="M20" s="326">
        <f>L20*D20*VPI!Q20</f>
        <v>0</v>
      </c>
    </row>
    <row r="21" spans="1:13" x14ac:dyDescent="0.25">
      <c r="A21" s="170">
        <f>Données!A21</f>
        <v>5422</v>
      </c>
      <c r="B21" s="27" t="str">
        <f>Données!B21</f>
        <v>Aubonne</v>
      </c>
      <c r="C21" s="377">
        <f>VPI!R21</f>
        <v>297608.37742857152</v>
      </c>
      <c r="D21" s="27">
        <f>Données!Z21</f>
        <v>3794</v>
      </c>
      <c r="E21" s="115">
        <f t="shared" si="5"/>
        <v>78.441849612169619</v>
      </c>
      <c r="F21" s="203">
        <f t="shared" si="6"/>
        <v>1.6193031032010183</v>
      </c>
      <c r="G21" s="500">
        <f t="shared" si="7"/>
        <v>30.000115969402714</v>
      </c>
      <c r="H21" s="500">
        <f t="shared" si="8"/>
        <v>20.311769240849337</v>
      </c>
      <c r="I21" s="500">
        <f t="shared" si="9"/>
        <v>5.7792491480192609</v>
      </c>
      <c r="J21" s="500">
        <f t="shared" si="10"/>
        <v>0</v>
      </c>
      <c r="K21" s="500">
        <f t="shared" si="11"/>
        <v>0</v>
      </c>
      <c r="L21" s="502">
        <f t="shared" si="12"/>
        <v>8.6091250327674018</v>
      </c>
      <c r="M21" s="326">
        <f>L21*D21*VPI!Q21</f>
        <v>2286411.4262023666</v>
      </c>
    </row>
    <row r="22" spans="1:13" x14ac:dyDescent="0.25">
      <c r="A22" s="170">
        <f>Données!A22</f>
        <v>5423</v>
      </c>
      <c r="B22" s="27" t="str">
        <f>Données!B22</f>
        <v>Ballens</v>
      </c>
      <c r="C22" s="377">
        <f>VPI!R22</f>
        <v>17345.890547945211</v>
      </c>
      <c r="D22" s="27">
        <f>Données!Z22</f>
        <v>590</v>
      </c>
      <c r="E22" s="115">
        <f t="shared" si="5"/>
        <v>29.399814488042733</v>
      </c>
      <c r="F22" s="203">
        <f t="shared" si="6"/>
        <v>0.60691086542961858</v>
      </c>
      <c r="G22" s="500">
        <f t="shared" si="7"/>
        <v>0</v>
      </c>
      <c r="H22" s="500">
        <f t="shared" si="8"/>
        <v>0</v>
      </c>
      <c r="I22" s="500">
        <f t="shared" si="9"/>
        <v>0</v>
      </c>
      <c r="J22" s="500">
        <f t="shared" si="10"/>
        <v>0</v>
      </c>
      <c r="K22" s="500">
        <f t="shared" si="11"/>
        <v>0</v>
      </c>
      <c r="L22" s="502">
        <f t="shared" si="12"/>
        <v>0</v>
      </c>
      <c r="M22" s="326">
        <f>L22*D22*VPI!Q22</f>
        <v>0</v>
      </c>
    </row>
    <row r="23" spans="1:13" x14ac:dyDescent="0.25">
      <c r="A23" s="170">
        <f>Données!A23</f>
        <v>5424</v>
      </c>
      <c r="B23" s="27" t="str">
        <f>Données!B23</f>
        <v>Berolle</v>
      </c>
      <c r="C23" s="377">
        <f>VPI!R23</f>
        <v>10263.254304635762</v>
      </c>
      <c r="D23" s="27">
        <f>Données!Z23</f>
        <v>305</v>
      </c>
      <c r="E23" s="115">
        <f t="shared" si="5"/>
        <v>33.650014113559877</v>
      </c>
      <c r="F23" s="203">
        <f t="shared" si="6"/>
        <v>0.69464925350755569</v>
      </c>
      <c r="G23" s="500">
        <f t="shared" si="7"/>
        <v>0</v>
      </c>
      <c r="H23" s="500">
        <f t="shared" si="8"/>
        <v>0</v>
      </c>
      <c r="I23" s="500">
        <f t="shared" si="9"/>
        <v>0</v>
      </c>
      <c r="J23" s="500">
        <f t="shared" si="10"/>
        <v>0</v>
      </c>
      <c r="K23" s="500">
        <f t="shared" si="11"/>
        <v>0</v>
      </c>
      <c r="L23" s="502">
        <f t="shared" si="12"/>
        <v>0</v>
      </c>
      <c r="M23" s="326">
        <f>L23*D23*VPI!Q23</f>
        <v>0</v>
      </c>
    </row>
    <row r="24" spans="1:13" x14ac:dyDescent="0.25">
      <c r="A24" s="170">
        <f>Données!A24</f>
        <v>5425</v>
      </c>
      <c r="B24" s="27" t="str">
        <f>Données!B24</f>
        <v>Bière</v>
      </c>
      <c r="C24" s="377">
        <f>VPI!R24</f>
        <v>42247.955252373817</v>
      </c>
      <c r="D24" s="27">
        <f>Données!Z24</f>
        <v>1688</v>
      </c>
      <c r="E24" s="115">
        <f t="shared" si="5"/>
        <v>25.028409509700129</v>
      </c>
      <c r="F24" s="203">
        <f t="shared" si="6"/>
        <v>0.51667039198621367</v>
      </c>
      <c r="G24" s="500">
        <f t="shared" si="7"/>
        <v>0</v>
      </c>
      <c r="H24" s="500">
        <f t="shared" si="8"/>
        <v>0</v>
      </c>
      <c r="I24" s="500">
        <f t="shared" si="9"/>
        <v>0</v>
      </c>
      <c r="J24" s="500">
        <f t="shared" si="10"/>
        <v>0</v>
      </c>
      <c r="K24" s="500">
        <f t="shared" si="11"/>
        <v>0</v>
      </c>
      <c r="L24" s="502">
        <f t="shared" si="12"/>
        <v>0</v>
      </c>
      <c r="M24" s="326">
        <f>L24*D24*VPI!Q24</f>
        <v>0</v>
      </c>
    </row>
    <row r="25" spans="1:13" x14ac:dyDescent="0.25">
      <c r="A25" s="170">
        <f>Données!A25</f>
        <v>5426</v>
      </c>
      <c r="B25" s="27" t="str">
        <f>Données!B25</f>
        <v>Bougy-Villars</v>
      </c>
      <c r="C25" s="377">
        <f>VPI!R25</f>
        <v>61985.534935400508</v>
      </c>
      <c r="D25" s="27">
        <f>Données!Z25</f>
        <v>506</v>
      </c>
      <c r="E25" s="115">
        <f t="shared" si="5"/>
        <v>122.50105718458599</v>
      </c>
      <c r="F25" s="203">
        <f t="shared" si="6"/>
        <v>2.5288330530853593</v>
      </c>
      <c r="G25" s="500">
        <f t="shared" si="7"/>
        <v>74.059323541819083</v>
      </c>
      <c r="H25" s="500">
        <f t="shared" si="8"/>
        <v>64.370976813265713</v>
      </c>
      <c r="I25" s="500">
        <f t="shared" si="9"/>
        <v>49.83845672043563</v>
      </c>
      <c r="J25" s="500">
        <f t="shared" si="10"/>
        <v>25.617589899052177</v>
      </c>
      <c r="K25" s="500">
        <f t="shared" si="11"/>
        <v>0</v>
      </c>
      <c r="L25" s="502">
        <f t="shared" si="12"/>
        <v>28.79456705163917</v>
      </c>
      <c r="M25" s="326">
        <f>L25*D25*VPI!Q25</f>
        <v>939768.28486434754</v>
      </c>
    </row>
    <row r="26" spans="1:13" x14ac:dyDescent="0.25">
      <c r="A26" s="170">
        <f>Données!A26</f>
        <v>5427</v>
      </c>
      <c r="B26" s="27" t="str">
        <f>Données!B26</f>
        <v>Féchy</v>
      </c>
      <c r="C26" s="377">
        <f>VPI!R26</f>
        <v>86972.782199519221</v>
      </c>
      <c r="D26" s="27">
        <f>Données!Z26</f>
        <v>887</v>
      </c>
      <c r="E26" s="115">
        <f t="shared" si="5"/>
        <v>98.052742051318177</v>
      </c>
      <c r="F26" s="203">
        <f t="shared" si="6"/>
        <v>2.0241377563901235</v>
      </c>
      <c r="G26" s="500">
        <f t="shared" si="7"/>
        <v>49.611008408551271</v>
      </c>
      <c r="H26" s="500">
        <f t="shared" si="8"/>
        <v>39.922661679997894</v>
      </c>
      <c r="I26" s="500">
        <f t="shared" si="9"/>
        <v>25.390141587167818</v>
      </c>
      <c r="J26" s="500">
        <f t="shared" si="10"/>
        <v>1.1692747657843654</v>
      </c>
      <c r="K26" s="500">
        <f t="shared" si="11"/>
        <v>0</v>
      </c>
      <c r="L26" s="502">
        <f t="shared" si="12"/>
        <v>16.570409485005264</v>
      </c>
      <c r="M26" s="326">
        <f>L26*D26*VPI!Q26</f>
        <v>940669.00564477884</v>
      </c>
    </row>
    <row r="27" spans="1:13" x14ac:dyDescent="0.25">
      <c r="A27" s="170">
        <f>Données!A27</f>
        <v>5428</v>
      </c>
      <c r="B27" s="27" t="str">
        <f>Données!B27</f>
        <v>Gimel</v>
      </c>
      <c r="C27" s="377">
        <f>VPI!R27</f>
        <v>71357.587986577171</v>
      </c>
      <c r="D27" s="27">
        <f>Données!Z27</f>
        <v>2414</v>
      </c>
      <c r="E27" s="115">
        <f t="shared" si="5"/>
        <v>29.559895603387396</v>
      </c>
      <c r="F27" s="203">
        <f t="shared" si="6"/>
        <v>0.61021547703838508</v>
      </c>
      <c r="G27" s="500">
        <f t="shared" si="7"/>
        <v>0</v>
      </c>
      <c r="H27" s="500">
        <f t="shared" si="8"/>
        <v>0</v>
      </c>
      <c r="I27" s="500">
        <f t="shared" si="9"/>
        <v>0</v>
      </c>
      <c r="J27" s="500">
        <f t="shared" si="10"/>
        <v>0</v>
      </c>
      <c r="K27" s="500">
        <f t="shared" si="11"/>
        <v>0</v>
      </c>
      <c r="L27" s="502">
        <f t="shared" si="12"/>
        <v>0</v>
      </c>
      <c r="M27" s="326">
        <f>L27*D27*VPI!Q27</f>
        <v>0</v>
      </c>
    </row>
    <row r="28" spans="1:13" x14ac:dyDescent="0.25">
      <c r="A28" s="170">
        <f>Données!A28</f>
        <v>5429</v>
      </c>
      <c r="B28" s="27" t="str">
        <f>Données!B28</f>
        <v>Longirod</v>
      </c>
      <c r="C28" s="377">
        <f>VPI!R28</f>
        <v>17142.381290322584</v>
      </c>
      <c r="D28" s="27">
        <f>Données!Z28</f>
        <v>542</v>
      </c>
      <c r="E28" s="115">
        <f t="shared" si="5"/>
        <v>31.628009760742774</v>
      </c>
      <c r="F28" s="203">
        <f t="shared" si="6"/>
        <v>0.65290829585050003</v>
      </c>
      <c r="G28" s="500">
        <f t="shared" si="7"/>
        <v>0</v>
      </c>
      <c r="H28" s="500">
        <f t="shared" si="8"/>
        <v>0</v>
      </c>
      <c r="I28" s="500">
        <f t="shared" si="9"/>
        <v>0</v>
      </c>
      <c r="J28" s="500">
        <f t="shared" si="10"/>
        <v>0</v>
      </c>
      <c r="K28" s="500">
        <f t="shared" si="11"/>
        <v>0</v>
      </c>
      <c r="L28" s="502">
        <f t="shared" si="12"/>
        <v>0</v>
      </c>
      <c r="M28" s="326">
        <f>L28*D28*VPI!Q28</f>
        <v>0</v>
      </c>
    </row>
    <row r="29" spans="1:13" x14ac:dyDescent="0.25">
      <c r="A29" s="170">
        <f>Données!A29</f>
        <v>5430</v>
      </c>
      <c r="B29" s="27" t="str">
        <f>Données!B29</f>
        <v>Marchissy</v>
      </c>
      <c r="C29" s="377">
        <f>VPI!R29</f>
        <v>17121.715483870968</v>
      </c>
      <c r="D29" s="27">
        <f>Données!Z29</f>
        <v>501</v>
      </c>
      <c r="E29" s="115">
        <f t="shared" si="5"/>
        <v>34.175080806129678</v>
      </c>
      <c r="F29" s="203">
        <f t="shared" si="6"/>
        <v>0.70548839267713825</v>
      </c>
      <c r="G29" s="500">
        <f t="shared" si="7"/>
        <v>0</v>
      </c>
      <c r="H29" s="500">
        <f t="shared" si="8"/>
        <v>0</v>
      </c>
      <c r="I29" s="500">
        <f t="shared" si="9"/>
        <v>0</v>
      </c>
      <c r="J29" s="500">
        <f t="shared" si="10"/>
        <v>0</v>
      </c>
      <c r="K29" s="500">
        <f t="shared" si="11"/>
        <v>0</v>
      </c>
      <c r="L29" s="502">
        <f t="shared" si="12"/>
        <v>0</v>
      </c>
      <c r="M29" s="326">
        <f>L29*D29*VPI!Q29</f>
        <v>0</v>
      </c>
    </row>
    <row r="30" spans="1:13" x14ac:dyDescent="0.25">
      <c r="A30" s="170">
        <f>Données!A30</f>
        <v>5431</v>
      </c>
      <c r="B30" s="27" t="str">
        <f>Données!B30</f>
        <v>Mollens</v>
      </c>
      <c r="C30" s="377">
        <f>VPI!R30</f>
        <v>9475.049594594595</v>
      </c>
      <c r="D30" s="27">
        <f>Données!Z30</f>
        <v>324</v>
      </c>
      <c r="E30" s="115">
        <f t="shared" si="5"/>
        <v>29.243980230230232</v>
      </c>
      <c r="F30" s="203">
        <f t="shared" si="6"/>
        <v>0.60369392321690385</v>
      </c>
      <c r="G30" s="500">
        <f t="shared" si="7"/>
        <v>0</v>
      </c>
      <c r="H30" s="500">
        <f t="shared" si="8"/>
        <v>0</v>
      </c>
      <c r="I30" s="500">
        <f t="shared" si="9"/>
        <v>0</v>
      </c>
      <c r="J30" s="500">
        <f t="shared" si="10"/>
        <v>0</v>
      </c>
      <c r="K30" s="500">
        <f t="shared" si="11"/>
        <v>0</v>
      </c>
      <c r="L30" s="502">
        <f t="shared" si="12"/>
        <v>0</v>
      </c>
      <c r="M30" s="326">
        <f>L30*D30*VPI!Q30</f>
        <v>0</v>
      </c>
    </row>
    <row r="31" spans="1:13" x14ac:dyDescent="0.25">
      <c r="A31" s="170">
        <f>Données!A31</f>
        <v>5434</v>
      </c>
      <c r="B31" s="27" t="str">
        <f>Données!B31</f>
        <v>Saint-George</v>
      </c>
      <c r="C31" s="377">
        <f>VPI!R31</f>
        <v>41109.419880095913</v>
      </c>
      <c r="D31" s="27">
        <f>Données!Z31</f>
        <v>1069</v>
      </c>
      <c r="E31" s="115">
        <f t="shared" si="5"/>
        <v>38.455958727872698</v>
      </c>
      <c r="F31" s="203">
        <f t="shared" si="6"/>
        <v>0.79386008377540307</v>
      </c>
      <c r="G31" s="500">
        <f t="shared" si="7"/>
        <v>0</v>
      </c>
      <c r="H31" s="500">
        <f t="shared" si="8"/>
        <v>0</v>
      </c>
      <c r="I31" s="500">
        <f t="shared" si="9"/>
        <v>0</v>
      </c>
      <c r="J31" s="500">
        <f t="shared" si="10"/>
        <v>0</v>
      </c>
      <c r="K31" s="500">
        <f t="shared" si="11"/>
        <v>0</v>
      </c>
      <c r="L31" s="502">
        <f t="shared" si="12"/>
        <v>0</v>
      </c>
      <c r="M31" s="326">
        <f>L31*D31*VPI!Q31</f>
        <v>0</v>
      </c>
    </row>
    <row r="32" spans="1:13" x14ac:dyDescent="0.25">
      <c r="A32" s="170">
        <f>Données!A32</f>
        <v>5435</v>
      </c>
      <c r="B32" s="27" t="str">
        <f>Données!B32</f>
        <v>Saint-Livres</v>
      </c>
      <c r="C32" s="377">
        <f>VPI!R32</f>
        <v>25462.29188405797</v>
      </c>
      <c r="D32" s="27">
        <f>Données!Z32</f>
        <v>698</v>
      </c>
      <c r="E32" s="115">
        <f t="shared" si="5"/>
        <v>36.478928200656114</v>
      </c>
      <c r="F32" s="203">
        <f t="shared" si="6"/>
        <v>0.75304753685468018</v>
      </c>
      <c r="G32" s="500">
        <f t="shared" si="7"/>
        <v>0</v>
      </c>
      <c r="H32" s="500">
        <f t="shared" si="8"/>
        <v>0</v>
      </c>
      <c r="I32" s="500">
        <f t="shared" si="9"/>
        <v>0</v>
      </c>
      <c r="J32" s="500">
        <f t="shared" si="10"/>
        <v>0</v>
      </c>
      <c r="K32" s="500">
        <f t="shared" si="11"/>
        <v>0</v>
      </c>
      <c r="L32" s="502">
        <f t="shared" si="12"/>
        <v>0</v>
      </c>
      <c r="M32" s="326">
        <f>L32*D32*VPI!Q32</f>
        <v>0</v>
      </c>
    </row>
    <row r="33" spans="1:13" x14ac:dyDescent="0.25">
      <c r="A33" s="170">
        <f>Données!A33</f>
        <v>5436</v>
      </c>
      <c r="B33" s="27" t="str">
        <f>Données!B33</f>
        <v>Saint-Oyens</v>
      </c>
      <c r="C33" s="377">
        <f>VPI!R33</f>
        <v>16425.371772151899</v>
      </c>
      <c r="D33" s="27">
        <f>Données!Z33</f>
        <v>456</v>
      </c>
      <c r="E33" s="115">
        <f t="shared" si="5"/>
        <v>36.020552131912062</v>
      </c>
      <c r="F33" s="203">
        <f t="shared" si="6"/>
        <v>0.74358511603951405</v>
      </c>
      <c r="G33" s="500">
        <f t="shared" si="7"/>
        <v>0</v>
      </c>
      <c r="H33" s="500">
        <f t="shared" si="8"/>
        <v>0</v>
      </c>
      <c r="I33" s="500">
        <f t="shared" si="9"/>
        <v>0</v>
      </c>
      <c r="J33" s="500">
        <f t="shared" si="10"/>
        <v>0</v>
      </c>
      <c r="K33" s="500">
        <f t="shared" si="11"/>
        <v>0</v>
      </c>
      <c r="L33" s="502">
        <f t="shared" si="12"/>
        <v>0</v>
      </c>
      <c r="M33" s="326">
        <f>L33*D33*VPI!Q33</f>
        <v>0</v>
      </c>
    </row>
    <row r="34" spans="1:13" x14ac:dyDescent="0.25">
      <c r="A34" s="170">
        <f>Données!A34</f>
        <v>5437</v>
      </c>
      <c r="B34" s="27" t="str">
        <f>Données!B34</f>
        <v>Saubraz</v>
      </c>
      <c r="C34" s="377">
        <f>VPI!R34</f>
        <v>12127.91725</v>
      </c>
      <c r="D34" s="27">
        <f>Données!Z34</f>
        <v>449</v>
      </c>
      <c r="E34" s="115">
        <f t="shared" si="5"/>
        <v>27.010951559020047</v>
      </c>
      <c r="F34" s="203">
        <f t="shared" si="6"/>
        <v>0.55759671522518262</v>
      </c>
      <c r="G34" s="500">
        <f t="shared" si="7"/>
        <v>0</v>
      </c>
      <c r="H34" s="500">
        <f t="shared" si="8"/>
        <v>0</v>
      </c>
      <c r="I34" s="500">
        <f t="shared" si="9"/>
        <v>0</v>
      </c>
      <c r="J34" s="500">
        <f t="shared" si="10"/>
        <v>0</v>
      </c>
      <c r="K34" s="500">
        <f t="shared" si="11"/>
        <v>0</v>
      </c>
      <c r="L34" s="502">
        <f t="shared" si="12"/>
        <v>0</v>
      </c>
      <c r="M34" s="326">
        <f>L34*D34*VPI!Q34</f>
        <v>0</v>
      </c>
    </row>
    <row r="35" spans="1:13" x14ac:dyDescent="0.25">
      <c r="A35" s="170">
        <f>Données!A35</f>
        <v>5451</v>
      </c>
      <c r="B35" s="27" t="str">
        <f>Données!B35</f>
        <v>Avenches</v>
      </c>
      <c r="C35" s="377">
        <f>VPI!R35</f>
        <v>142633.11649122802</v>
      </c>
      <c r="D35" s="27">
        <f>Données!Z35</f>
        <v>4699</v>
      </c>
      <c r="E35" s="115">
        <f t="shared" si="5"/>
        <v>30.353929876830819</v>
      </c>
      <c r="F35" s="203">
        <f t="shared" si="6"/>
        <v>0.62660700999422481</v>
      </c>
      <c r="G35" s="500">
        <f t="shared" si="7"/>
        <v>0</v>
      </c>
      <c r="H35" s="500">
        <f t="shared" si="8"/>
        <v>0</v>
      </c>
      <c r="I35" s="500">
        <f t="shared" si="9"/>
        <v>0</v>
      </c>
      <c r="J35" s="500">
        <f t="shared" si="10"/>
        <v>0</v>
      </c>
      <c r="K35" s="500">
        <f t="shared" si="11"/>
        <v>0</v>
      </c>
      <c r="L35" s="502">
        <f t="shared" si="12"/>
        <v>0</v>
      </c>
      <c r="M35" s="326">
        <f>L35*D35*VPI!Q35</f>
        <v>0</v>
      </c>
    </row>
    <row r="36" spans="1:13" x14ac:dyDescent="0.25">
      <c r="A36" s="170">
        <f>Données!A36</f>
        <v>5456</v>
      </c>
      <c r="B36" s="27" t="str">
        <f>Données!B36</f>
        <v>Cudrefin</v>
      </c>
      <c r="C36" s="377">
        <f>VPI!R36</f>
        <v>64060.385932203382</v>
      </c>
      <c r="D36" s="27">
        <f>Données!Z36</f>
        <v>1876</v>
      </c>
      <c r="E36" s="115">
        <f t="shared" si="5"/>
        <v>34.147327255971952</v>
      </c>
      <c r="F36" s="203">
        <f t="shared" si="6"/>
        <v>0.70491546623395196</v>
      </c>
      <c r="G36" s="500">
        <f t="shared" si="7"/>
        <v>0</v>
      </c>
      <c r="H36" s="500">
        <f t="shared" si="8"/>
        <v>0</v>
      </c>
      <c r="I36" s="500">
        <f t="shared" si="9"/>
        <v>0</v>
      </c>
      <c r="J36" s="500">
        <f t="shared" si="10"/>
        <v>0</v>
      </c>
      <c r="K36" s="500">
        <f t="shared" si="11"/>
        <v>0</v>
      </c>
      <c r="L36" s="502">
        <f t="shared" si="12"/>
        <v>0</v>
      </c>
      <c r="M36" s="326">
        <f>L36*D36*VPI!Q36</f>
        <v>0</v>
      </c>
    </row>
    <row r="37" spans="1:13" x14ac:dyDescent="0.25">
      <c r="A37" s="170">
        <f>Données!A37</f>
        <v>5458</v>
      </c>
      <c r="B37" s="27" t="str">
        <f>Données!B37</f>
        <v>Faoug</v>
      </c>
      <c r="C37" s="377">
        <f>VPI!R37</f>
        <v>32630.920512820507</v>
      </c>
      <c r="D37" s="27">
        <f>Données!Z37</f>
        <v>904</v>
      </c>
      <c r="E37" s="115">
        <f t="shared" si="5"/>
        <v>36.0961510097572</v>
      </c>
      <c r="F37" s="203">
        <f t="shared" si="6"/>
        <v>0.74514573066166279</v>
      </c>
      <c r="G37" s="500">
        <f t="shared" si="7"/>
        <v>0</v>
      </c>
      <c r="H37" s="500">
        <f t="shared" si="8"/>
        <v>0</v>
      </c>
      <c r="I37" s="500">
        <f t="shared" si="9"/>
        <v>0</v>
      </c>
      <c r="J37" s="500">
        <f t="shared" si="10"/>
        <v>0</v>
      </c>
      <c r="K37" s="500">
        <f t="shared" si="11"/>
        <v>0</v>
      </c>
      <c r="L37" s="502">
        <f t="shared" si="12"/>
        <v>0</v>
      </c>
      <c r="M37" s="326">
        <f>L37*D37*VPI!Q37</f>
        <v>0</v>
      </c>
    </row>
    <row r="38" spans="1:13" x14ac:dyDescent="0.25">
      <c r="A38" s="170">
        <f>Données!A38</f>
        <v>5464</v>
      </c>
      <c r="B38" s="27" t="str">
        <f>Données!B38</f>
        <v>Vully-les-Lacs</v>
      </c>
      <c r="C38" s="377">
        <f>VPI!R38</f>
        <v>117933.44731343284</v>
      </c>
      <c r="D38" s="27">
        <f>Données!Z38</f>
        <v>3543</v>
      </c>
      <c r="E38" s="115">
        <f t="shared" si="5"/>
        <v>33.286324389904841</v>
      </c>
      <c r="F38" s="203">
        <f t="shared" si="6"/>
        <v>0.6871414767145726</v>
      </c>
      <c r="G38" s="500">
        <f t="shared" si="7"/>
        <v>0</v>
      </c>
      <c r="H38" s="500">
        <f t="shared" si="8"/>
        <v>0</v>
      </c>
      <c r="I38" s="500">
        <f t="shared" si="9"/>
        <v>0</v>
      </c>
      <c r="J38" s="500">
        <f t="shared" si="10"/>
        <v>0</v>
      </c>
      <c r="K38" s="500">
        <f t="shared" si="11"/>
        <v>0</v>
      </c>
      <c r="L38" s="502">
        <f t="shared" si="12"/>
        <v>0</v>
      </c>
      <c r="M38" s="326">
        <f>L38*D38*VPI!Q38</f>
        <v>0</v>
      </c>
    </row>
    <row r="39" spans="1:13" x14ac:dyDescent="0.25">
      <c r="A39" s="170">
        <f>Données!A39</f>
        <v>5471</v>
      </c>
      <c r="B39" s="27" t="str">
        <f>Données!B39</f>
        <v>Bettens</v>
      </c>
      <c r="C39" s="377">
        <f>VPI!R39</f>
        <v>22692.287412698413</v>
      </c>
      <c r="D39" s="27">
        <f>Données!Z39</f>
        <v>650</v>
      </c>
      <c r="E39" s="115">
        <f t="shared" si="5"/>
        <v>34.911211404151402</v>
      </c>
      <c r="F39" s="203">
        <f t="shared" si="6"/>
        <v>0.72068459939117357</v>
      </c>
      <c r="G39" s="500">
        <f t="shared" si="7"/>
        <v>0</v>
      </c>
      <c r="H39" s="500">
        <f t="shared" si="8"/>
        <v>0</v>
      </c>
      <c r="I39" s="500">
        <f t="shared" si="9"/>
        <v>0</v>
      </c>
      <c r="J39" s="500">
        <f t="shared" si="10"/>
        <v>0</v>
      </c>
      <c r="K39" s="500">
        <f t="shared" si="11"/>
        <v>0</v>
      </c>
      <c r="L39" s="502">
        <f t="shared" si="12"/>
        <v>0</v>
      </c>
      <c r="M39" s="326">
        <f>L39*D39*VPI!Q39</f>
        <v>0</v>
      </c>
    </row>
    <row r="40" spans="1:13" x14ac:dyDescent="0.25">
      <c r="A40" s="170">
        <f>Données!A40</f>
        <v>5472</v>
      </c>
      <c r="B40" s="27" t="str">
        <f>Données!B40</f>
        <v>Bournens</v>
      </c>
      <c r="C40" s="377">
        <f>VPI!R40</f>
        <v>19974.836617647059</v>
      </c>
      <c r="D40" s="27">
        <f>Données!Z40</f>
        <v>514</v>
      </c>
      <c r="E40" s="115">
        <f t="shared" si="5"/>
        <v>38.861549839780274</v>
      </c>
      <c r="F40" s="203">
        <f t="shared" si="6"/>
        <v>0.8022328458837662</v>
      </c>
      <c r="G40" s="500">
        <f t="shared" si="7"/>
        <v>0</v>
      </c>
      <c r="H40" s="500">
        <f t="shared" si="8"/>
        <v>0</v>
      </c>
      <c r="I40" s="500">
        <f t="shared" si="9"/>
        <v>0</v>
      </c>
      <c r="J40" s="500">
        <f t="shared" si="10"/>
        <v>0</v>
      </c>
      <c r="K40" s="500">
        <f t="shared" si="11"/>
        <v>0</v>
      </c>
      <c r="L40" s="502">
        <f t="shared" si="12"/>
        <v>0</v>
      </c>
      <c r="M40" s="326">
        <f>L40*D40*VPI!Q40</f>
        <v>0</v>
      </c>
    </row>
    <row r="41" spans="1:13" x14ac:dyDescent="0.25">
      <c r="A41" s="170">
        <f>Données!A41</f>
        <v>5473</v>
      </c>
      <c r="B41" s="27" t="str">
        <f>Données!B41</f>
        <v>Boussens</v>
      </c>
      <c r="C41" s="377">
        <f>VPI!R41</f>
        <v>42017.076666666668</v>
      </c>
      <c r="D41" s="27">
        <f>Données!Z41</f>
        <v>1010</v>
      </c>
      <c r="E41" s="115">
        <f t="shared" si="5"/>
        <v>41.601066006600661</v>
      </c>
      <c r="F41" s="203">
        <f t="shared" si="6"/>
        <v>0.85878565604995305</v>
      </c>
      <c r="G41" s="500">
        <f t="shared" si="7"/>
        <v>0</v>
      </c>
      <c r="H41" s="500">
        <f t="shared" si="8"/>
        <v>0</v>
      </c>
      <c r="I41" s="500">
        <f t="shared" si="9"/>
        <v>0</v>
      </c>
      <c r="J41" s="500">
        <f t="shared" si="10"/>
        <v>0</v>
      </c>
      <c r="K41" s="500">
        <f t="shared" si="11"/>
        <v>0</v>
      </c>
      <c r="L41" s="502">
        <f t="shared" si="12"/>
        <v>0</v>
      </c>
      <c r="M41" s="326">
        <f>L41*D41*VPI!Q41</f>
        <v>0</v>
      </c>
    </row>
    <row r="42" spans="1:13" x14ac:dyDescent="0.25">
      <c r="A42" s="170">
        <f>Données!A42</f>
        <v>5474</v>
      </c>
      <c r="B42" s="27" t="str">
        <f>Données!B42</f>
        <v>La Chaux (Cossonay)</v>
      </c>
      <c r="C42" s="377">
        <f>VPI!R42</f>
        <v>13862.516425438596</v>
      </c>
      <c r="D42" s="27">
        <f>Données!Z42</f>
        <v>412</v>
      </c>
      <c r="E42" s="115">
        <f t="shared" si="5"/>
        <v>33.646884527763582</v>
      </c>
      <c r="F42" s="203">
        <f t="shared" si="6"/>
        <v>0.69458464835078371</v>
      </c>
      <c r="G42" s="500">
        <f t="shared" si="7"/>
        <v>0</v>
      </c>
      <c r="H42" s="500">
        <f t="shared" si="8"/>
        <v>0</v>
      </c>
      <c r="I42" s="500">
        <f t="shared" si="9"/>
        <v>0</v>
      </c>
      <c r="J42" s="500">
        <f t="shared" si="10"/>
        <v>0</v>
      </c>
      <c r="K42" s="500">
        <f t="shared" si="11"/>
        <v>0</v>
      </c>
      <c r="L42" s="502">
        <f t="shared" si="12"/>
        <v>0</v>
      </c>
      <c r="M42" s="326">
        <f>L42*D42*VPI!Q42</f>
        <v>0</v>
      </c>
    </row>
    <row r="43" spans="1:13" x14ac:dyDescent="0.25">
      <c r="A43" s="170">
        <f>Données!A43</f>
        <v>5475</v>
      </c>
      <c r="B43" s="27" t="str">
        <f>Données!B43</f>
        <v>Chavannes-le-Veyron</v>
      </c>
      <c r="C43" s="377">
        <f>VPI!R43</f>
        <v>4297.2048000000004</v>
      </c>
      <c r="D43" s="27">
        <f>Données!Z43</f>
        <v>163</v>
      </c>
      <c r="E43" s="115">
        <f t="shared" si="5"/>
        <v>26.363219631901842</v>
      </c>
      <c r="F43" s="203">
        <f t="shared" si="6"/>
        <v>0.54422535383058646</v>
      </c>
      <c r="G43" s="500">
        <f t="shared" si="7"/>
        <v>0</v>
      </c>
      <c r="H43" s="500">
        <f t="shared" si="8"/>
        <v>0</v>
      </c>
      <c r="I43" s="500">
        <f t="shared" si="9"/>
        <v>0</v>
      </c>
      <c r="J43" s="500">
        <f t="shared" si="10"/>
        <v>0</v>
      </c>
      <c r="K43" s="500">
        <f t="shared" si="11"/>
        <v>0</v>
      </c>
      <c r="L43" s="502">
        <f t="shared" si="12"/>
        <v>0</v>
      </c>
      <c r="M43" s="326">
        <f>L43*D43*VPI!Q43</f>
        <v>0</v>
      </c>
    </row>
    <row r="44" spans="1:13" x14ac:dyDescent="0.25">
      <c r="A44" s="170">
        <f>Données!A44</f>
        <v>5476</v>
      </c>
      <c r="B44" s="27" t="str">
        <f>Données!B44</f>
        <v>Chevilly</v>
      </c>
      <c r="C44" s="377">
        <f>VPI!R44</f>
        <v>13558.452965517243</v>
      </c>
      <c r="D44" s="27">
        <f>Données!Z44</f>
        <v>331</v>
      </c>
      <c r="E44" s="115">
        <f t="shared" si="5"/>
        <v>40.962093551411613</v>
      </c>
      <c r="F44" s="203">
        <f t="shared" si="6"/>
        <v>0.8455951195612893</v>
      </c>
      <c r="G44" s="500">
        <f t="shared" si="7"/>
        <v>0</v>
      </c>
      <c r="H44" s="500">
        <f t="shared" si="8"/>
        <v>0</v>
      </c>
      <c r="I44" s="500">
        <f t="shared" si="9"/>
        <v>0</v>
      </c>
      <c r="J44" s="500">
        <f t="shared" si="10"/>
        <v>0</v>
      </c>
      <c r="K44" s="500">
        <f t="shared" si="11"/>
        <v>0</v>
      </c>
      <c r="L44" s="502">
        <f t="shared" si="12"/>
        <v>0</v>
      </c>
      <c r="M44" s="326">
        <f>L44*D44*VPI!Q44</f>
        <v>0</v>
      </c>
    </row>
    <row r="45" spans="1:13" x14ac:dyDescent="0.25">
      <c r="A45" s="170">
        <f>Données!A45</f>
        <v>5477</v>
      </c>
      <c r="B45" s="27" t="str">
        <f>Données!B45</f>
        <v>Cossonay</v>
      </c>
      <c r="C45" s="377">
        <f>VPI!R45</f>
        <v>151490.5288235294</v>
      </c>
      <c r="D45" s="27">
        <f>Données!Z45</f>
        <v>4390</v>
      </c>
      <c r="E45" s="115">
        <f t="shared" si="5"/>
        <v>34.508093126088703</v>
      </c>
      <c r="F45" s="203">
        <f t="shared" si="6"/>
        <v>0.71236288487460631</v>
      </c>
      <c r="G45" s="500">
        <f t="shared" si="7"/>
        <v>0</v>
      </c>
      <c r="H45" s="500">
        <f t="shared" si="8"/>
        <v>0</v>
      </c>
      <c r="I45" s="500">
        <f t="shared" si="9"/>
        <v>0</v>
      </c>
      <c r="J45" s="500">
        <f t="shared" si="10"/>
        <v>0</v>
      </c>
      <c r="K45" s="500">
        <f t="shared" si="11"/>
        <v>0</v>
      </c>
      <c r="L45" s="502">
        <f t="shared" si="12"/>
        <v>0</v>
      </c>
      <c r="M45" s="326">
        <f>L45*D45*VPI!Q45</f>
        <v>0</v>
      </c>
    </row>
    <row r="46" spans="1:13" x14ac:dyDescent="0.25">
      <c r="A46" s="170">
        <f>Données!A46</f>
        <v>5479</v>
      </c>
      <c r="B46" s="27" t="str">
        <f>Données!B46</f>
        <v>Cuarnens</v>
      </c>
      <c r="C46" s="377">
        <f>VPI!R46</f>
        <v>14331.337792207793</v>
      </c>
      <c r="D46" s="27">
        <f>Données!Z46</f>
        <v>545</v>
      </c>
      <c r="E46" s="115">
        <f t="shared" si="5"/>
        <v>26.296032646252829</v>
      </c>
      <c r="F46" s="203">
        <f t="shared" si="6"/>
        <v>0.54283838890186442</v>
      </c>
      <c r="G46" s="500">
        <f t="shared" si="7"/>
        <v>0</v>
      </c>
      <c r="H46" s="500">
        <f t="shared" si="8"/>
        <v>0</v>
      </c>
      <c r="I46" s="500">
        <f t="shared" si="9"/>
        <v>0</v>
      </c>
      <c r="J46" s="500">
        <f t="shared" si="10"/>
        <v>0</v>
      </c>
      <c r="K46" s="500">
        <f t="shared" si="11"/>
        <v>0</v>
      </c>
      <c r="L46" s="502">
        <f t="shared" si="12"/>
        <v>0</v>
      </c>
      <c r="M46" s="326">
        <f>L46*D46*VPI!Q46</f>
        <v>0</v>
      </c>
    </row>
    <row r="47" spans="1:13" x14ac:dyDescent="0.25">
      <c r="A47" s="170">
        <f>Données!A47</f>
        <v>5480</v>
      </c>
      <c r="B47" s="27" t="str">
        <f>Données!B47</f>
        <v>Daillens</v>
      </c>
      <c r="C47" s="377">
        <f>VPI!R47</f>
        <v>42720.265505050505</v>
      </c>
      <c r="D47" s="27">
        <f>Données!Z47</f>
        <v>1057</v>
      </c>
      <c r="E47" s="115">
        <f t="shared" si="5"/>
        <v>40.416523656622992</v>
      </c>
      <c r="F47" s="203">
        <f t="shared" si="6"/>
        <v>0.83433272546920501</v>
      </c>
      <c r="G47" s="500">
        <f t="shared" si="7"/>
        <v>0</v>
      </c>
      <c r="H47" s="500">
        <f t="shared" si="8"/>
        <v>0</v>
      </c>
      <c r="I47" s="500">
        <f t="shared" si="9"/>
        <v>0</v>
      </c>
      <c r="J47" s="500">
        <f t="shared" si="10"/>
        <v>0</v>
      </c>
      <c r="K47" s="500">
        <f t="shared" si="11"/>
        <v>0</v>
      </c>
      <c r="L47" s="502">
        <f t="shared" si="12"/>
        <v>0</v>
      </c>
      <c r="M47" s="326">
        <f>L47*D47*VPI!Q47</f>
        <v>0</v>
      </c>
    </row>
    <row r="48" spans="1:13" x14ac:dyDescent="0.25">
      <c r="A48" s="170">
        <f>Données!A48</f>
        <v>5481</v>
      </c>
      <c r="B48" s="27" t="str">
        <f>Données!B48</f>
        <v>Dizy</v>
      </c>
      <c r="C48" s="377">
        <f>VPI!R48</f>
        <v>8552.7156000000014</v>
      </c>
      <c r="D48" s="27">
        <f>Données!Z48</f>
        <v>232</v>
      </c>
      <c r="E48" s="115">
        <f t="shared" si="5"/>
        <v>36.865153448275869</v>
      </c>
      <c r="F48" s="203">
        <f t="shared" si="6"/>
        <v>0.76102052251345065</v>
      </c>
      <c r="G48" s="500">
        <f t="shared" si="7"/>
        <v>0</v>
      </c>
      <c r="H48" s="500">
        <f t="shared" si="8"/>
        <v>0</v>
      </c>
      <c r="I48" s="500">
        <f t="shared" si="9"/>
        <v>0</v>
      </c>
      <c r="J48" s="500">
        <f t="shared" si="10"/>
        <v>0</v>
      </c>
      <c r="K48" s="500">
        <f t="shared" si="11"/>
        <v>0</v>
      </c>
      <c r="L48" s="502">
        <f t="shared" si="12"/>
        <v>0</v>
      </c>
      <c r="M48" s="326">
        <f>L48*D48*VPI!Q48</f>
        <v>0</v>
      </c>
    </row>
    <row r="49" spans="1:13" x14ac:dyDescent="0.25">
      <c r="A49" s="170">
        <f>Données!A49</f>
        <v>5482</v>
      </c>
      <c r="B49" s="27" t="str">
        <f>Données!B49</f>
        <v>Eclépens</v>
      </c>
      <c r="C49" s="377">
        <f>VPI!R49</f>
        <v>48314.544130434791</v>
      </c>
      <c r="D49" s="27">
        <f>Données!Z49</f>
        <v>1199</v>
      </c>
      <c r="E49" s="115">
        <f t="shared" si="5"/>
        <v>40.295699858577805</v>
      </c>
      <c r="F49" s="203">
        <f t="shared" si="6"/>
        <v>0.8318385166752712</v>
      </c>
      <c r="G49" s="500">
        <f t="shared" si="7"/>
        <v>0</v>
      </c>
      <c r="H49" s="500">
        <f t="shared" si="8"/>
        <v>0</v>
      </c>
      <c r="I49" s="500">
        <f t="shared" si="9"/>
        <v>0</v>
      </c>
      <c r="J49" s="500">
        <f t="shared" si="10"/>
        <v>0</v>
      </c>
      <c r="K49" s="500">
        <f t="shared" si="11"/>
        <v>0</v>
      </c>
      <c r="L49" s="502">
        <f t="shared" si="12"/>
        <v>0</v>
      </c>
      <c r="M49" s="326">
        <f>L49*D49*VPI!Q49</f>
        <v>0</v>
      </c>
    </row>
    <row r="50" spans="1:13" x14ac:dyDescent="0.25">
      <c r="A50" s="170">
        <f>Données!A50</f>
        <v>5483</v>
      </c>
      <c r="B50" s="27" t="str">
        <f>Données!B50</f>
        <v>Ferreyres</v>
      </c>
      <c r="C50" s="377">
        <f>VPI!R50</f>
        <v>10284.283289473684</v>
      </c>
      <c r="D50" s="27">
        <f>Données!Z50</f>
        <v>308</v>
      </c>
      <c r="E50" s="115">
        <f t="shared" si="5"/>
        <v>33.390530160628842</v>
      </c>
      <c r="F50" s="203">
        <f t="shared" si="6"/>
        <v>0.68929263363832072</v>
      </c>
      <c r="G50" s="500">
        <f t="shared" si="7"/>
        <v>0</v>
      </c>
      <c r="H50" s="500">
        <f t="shared" si="8"/>
        <v>0</v>
      </c>
      <c r="I50" s="500">
        <f t="shared" si="9"/>
        <v>0</v>
      </c>
      <c r="J50" s="500">
        <f t="shared" si="10"/>
        <v>0</v>
      </c>
      <c r="K50" s="500">
        <f t="shared" si="11"/>
        <v>0</v>
      </c>
      <c r="L50" s="502">
        <f t="shared" si="12"/>
        <v>0</v>
      </c>
      <c r="M50" s="326">
        <f>L50*D50*VPI!Q50</f>
        <v>0</v>
      </c>
    </row>
    <row r="51" spans="1:13" x14ac:dyDescent="0.25">
      <c r="A51" s="170">
        <f>Données!A51</f>
        <v>5484</v>
      </c>
      <c r="B51" s="27" t="str">
        <f>Données!B51</f>
        <v>Gollion</v>
      </c>
      <c r="C51" s="377">
        <f>VPI!R51</f>
        <v>32601.670945945945</v>
      </c>
      <c r="D51" s="27">
        <f>Données!Z51</f>
        <v>1037</v>
      </c>
      <c r="E51" s="115">
        <f t="shared" si="5"/>
        <v>31.438448356746331</v>
      </c>
      <c r="F51" s="203">
        <f t="shared" si="6"/>
        <v>0.64899511211941474</v>
      </c>
      <c r="G51" s="500">
        <f t="shared" si="7"/>
        <v>0</v>
      </c>
      <c r="H51" s="500">
        <f t="shared" si="8"/>
        <v>0</v>
      </c>
      <c r="I51" s="500">
        <f t="shared" si="9"/>
        <v>0</v>
      </c>
      <c r="J51" s="500">
        <f t="shared" si="10"/>
        <v>0</v>
      </c>
      <c r="K51" s="500">
        <f t="shared" si="11"/>
        <v>0</v>
      </c>
      <c r="L51" s="502">
        <f t="shared" si="12"/>
        <v>0</v>
      </c>
      <c r="M51" s="326">
        <f>L51*D51*VPI!Q51</f>
        <v>0</v>
      </c>
    </row>
    <row r="52" spans="1:13" x14ac:dyDescent="0.25">
      <c r="A52" s="170">
        <f>Données!A52</f>
        <v>5485</v>
      </c>
      <c r="B52" s="27" t="str">
        <f>Données!B52</f>
        <v>Grancy</v>
      </c>
      <c r="C52" s="377">
        <f>VPI!R52</f>
        <v>18961.380428571429</v>
      </c>
      <c r="D52" s="27">
        <f>Données!Z52</f>
        <v>490</v>
      </c>
      <c r="E52" s="115">
        <f t="shared" si="5"/>
        <v>38.696694752186588</v>
      </c>
      <c r="F52" s="203">
        <f t="shared" si="6"/>
        <v>0.79882968346168182</v>
      </c>
      <c r="G52" s="500">
        <f t="shared" si="7"/>
        <v>0</v>
      </c>
      <c r="H52" s="500">
        <f t="shared" si="8"/>
        <v>0</v>
      </c>
      <c r="I52" s="500">
        <f t="shared" si="9"/>
        <v>0</v>
      </c>
      <c r="J52" s="500">
        <f t="shared" si="10"/>
        <v>0</v>
      </c>
      <c r="K52" s="500">
        <f t="shared" si="11"/>
        <v>0</v>
      </c>
      <c r="L52" s="502">
        <f t="shared" si="12"/>
        <v>0</v>
      </c>
      <c r="M52" s="326">
        <f>L52*D52*VPI!Q52</f>
        <v>0</v>
      </c>
    </row>
    <row r="53" spans="1:13" x14ac:dyDescent="0.25">
      <c r="A53" s="170">
        <f>Données!A53</f>
        <v>5486</v>
      </c>
      <c r="B53" s="27" t="str">
        <f>Données!B53</f>
        <v>L'Isle</v>
      </c>
      <c r="C53" s="377">
        <f>VPI!R53</f>
        <v>34756.215466666676</v>
      </c>
      <c r="D53" s="27">
        <f>Données!Z53</f>
        <v>1095</v>
      </c>
      <c r="E53" s="115">
        <f t="shared" si="5"/>
        <v>31.740836042617968</v>
      </c>
      <c r="F53" s="203">
        <f t="shared" si="6"/>
        <v>0.65523740906323569</v>
      </c>
      <c r="G53" s="500">
        <f t="shared" si="7"/>
        <v>0</v>
      </c>
      <c r="H53" s="500">
        <f t="shared" si="8"/>
        <v>0</v>
      </c>
      <c r="I53" s="500">
        <f t="shared" si="9"/>
        <v>0</v>
      </c>
      <c r="J53" s="500">
        <f t="shared" si="10"/>
        <v>0</v>
      </c>
      <c r="K53" s="500">
        <f t="shared" si="11"/>
        <v>0</v>
      </c>
      <c r="L53" s="502">
        <f t="shared" si="12"/>
        <v>0</v>
      </c>
      <c r="M53" s="326">
        <f>L53*D53*VPI!Q53</f>
        <v>0</v>
      </c>
    </row>
    <row r="54" spans="1:13" x14ac:dyDescent="0.25">
      <c r="A54" s="170">
        <f>Données!A54</f>
        <v>5487</v>
      </c>
      <c r="B54" s="27" t="str">
        <f>Données!B54</f>
        <v>Lussery-Villars</v>
      </c>
      <c r="C54" s="377">
        <f>VPI!R54</f>
        <v>12042.619866666666</v>
      </c>
      <c r="D54" s="27">
        <f>Données!Z54</f>
        <v>482</v>
      </c>
      <c r="E54" s="115">
        <f t="shared" si="5"/>
        <v>24.984688520055325</v>
      </c>
      <c r="F54" s="203">
        <f t="shared" si="6"/>
        <v>0.51576784398974385</v>
      </c>
      <c r="G54" s="500">
        <f t="shared" si="7"/>
        <v>0</v>
      </c>
      <c r="H54" s="500">
        <f t="shared" si="8"/>
        <v>0</v>
      </c>
      <c r="I54" s="500">
        <f t="shared" si="9"/>
        <v>0</v>
      </c>
      <c r="J54" s="500">
        <f t="shared" si="10"/>
        <v>0</v>
      </c>
      <c r="K54" s="500">
        <f t="shared" si="11"/>
        <v>0</v>
      </c>
      <c r="L54" s="502">
        <f t="shared" si="12"/>
        <v>0</v>
      </c>
      <c r="M54" s="326">
        <f>L54*D54*VPI!Q54</f>
        <v>0</v>
      </c>
    </row>
    <row r="55" spans="1:13" x14ac:dyDescent="0.25">
      <c r="A55" s="170">
        <f>Données!A55</f>
        <v>5488</v>
      </c>
      <c r="B55" s="27" t="str">
        <f>Données!B55</f>
        <v>Mauraz</v>
      </c>
      <c r="C55" s="377">
        <f>VPI!R55</f>
        <v>2131.6062337662343</v>
      </c>
      <c r="D55" s="27">
        <f>Données!Z55</f>
        <v>65</v>
      </c>
      <c r="E55" s="115">
        <f t="shared" si="5"/>
        <v>32.793942057942068</v>
      </c>
      <c r="F55" s="203">
        <f t="shared" si="6"/>
        <v>0.67697705246844952</v>
      </c>
      <c r="G55" s="500">
        <f t="shared" si="7"/>
        <v>0</v>
      </c>
      <c r="H55" s="500">
        <f t="shared" si="8"/>
        <v>0</v>
      </c>
      <c r="I55" s="500">
        <f t="shared" si="9"/>
        <v>0</v>
      </c>
      <c r="J55" s="500">
        <f t="shared" si="10"/>
        <v>0</v>
      </c>
      <c r="K55" s="500">
        <f t="shared" si="11"/>
        <v>0</v>
      </c>
      <c r="L55" s="502">
        <f t="shared" si="12"/>
        <v>0</v>
      </c>
      <c r="M55" s="326">
        <f>L55*D55*VPI!Q55</f>
        <v>0</v>
      </c>
    </row>
    <row r="56" spans="1:13" x14ac:dyDescent="0.25">
      <c r="A56" s="170">
        <f>Données!A56</f>
        <v>5489</v>
      </c>
      <c r="B56" s="27" t="str">
        <f>Données!B56</f>
        <v>Mex</v>
      </c>
      <c r="C56" s="377">
        <f>VPI!R56</f>
        <v>60740.368067226897</v>
      </c>
      <c r="D56" s="27">
        <f>Données!Z56</f>
        <v>817</v>
      </c>
      <c r="E56" s="115">
        <f t="shared" si="5"/>
        <v>74.345615749359723</v>
      </c>
      <c r="F56" s="203">
        <f t="shared" si="6"/>
        <v>1.5347430853243351</v>
      </c>
      <c r="G56" s="500">
        <f t="shared" si="7"/>
        <v>25.903882106592818</v>
      </c>
      <c r="H56" s="500">
        <f t="shared" si="8"/>
        <v>16.215535378039441</v>
      </c>
      <c r="I56" s="500">
        <f t="shared" si="9"/>
        <v>1.6830152852093647</v>
      </c>
      <c r="J56" s="500">
        <f t="shared" si="10"/>
        <v>0</v>
      </c>
      <c r="K56" s="500">
        <f t="shared" si="11"/>
        <v>0</v>
      </c>
      <c r="L56" s="502">
        <f t="shared" si="12"/>
        <v>6.9706314876434448</v>
      </c>
      <c r="M56" s="326">
        <f>L56*D56*VPI!Q56</f>
        <v>338852.85256157932</v>
      </c>
    </row>
    <row r="57" spans="1:13" x14ac:dyDescent="0.25">
      <c r="A57" s="170">
        <f>Données!A57</f>
        <v>5490</v>
      </c>
      <c r="B57" s="27" t="str">
        <f>Données!B57</f>
        <v>Moiry</v>
      </c>
      <c r="C57" s="377">
        <f>VPI!R57</f>
        <v>8460.9523376623383</v>
      </c>
      <c r="D57" s="27">
        <f>Données!Z57</f>
        <v>296</v>
      </c>
      <c r="E57" s="115">
        <f t="shared" si="5"/>
        <v>28.584298438048439</v>
      </c>
      <c r="F57" s="203">
        <f t="shared" si="6"/>
        <v>0.59007587649201554</v>
      </c>
      <c r="G57" s="500">
        <f t="shared" si="7"/>
        <v>0</v>
      </c>
      <c r="H57" s="500">
        <f t="shared" si="8"/>
        <v>0</v>
      </c>
      <c r="I57" s="500">
        <f t="shared" si="9"/>
        <v>0</v>
      </c>
      <c r="J57" s="500">
        <f t="shared" si="10"/>
        <v>0</v>
      </c>
      <c r="K57" s="500">
        <f t="shared" si="11"/>
        <v>0</v>
      </c>
      <c r="L57" s="502">
        <f t="shared" si="12"/>
        <v>0</v>
      </c>
      <c r="M57" s="326">
        <f>L57*D57*VPI!Q57</f>
        <v>0</v>
      </c>
    </row>
    <row r="58" spans="1:13" x14ac:dyDescent="0.25">
      <c r="A58" s="170">
        <f>Données!A58</f>
        <v>5491</v>
      </c>
      <c r="B58" s="27" t="str">
        <f>Données!B58</f>
        <v>Mont-la-Ville</v>
      </c>
      <c r="C58" s="377">
        <f>VPI!R58</f>
        <v>13842.217236842105</v>
      </c>
      <c r="D58" s="27">
        <f>Données!Z58</f>
        <v>502</v>
      </c>
      <c r="E58" s="115">
        <f t="shared" si="5"/>
        <v>27.574137921996225</v>
      </c>
      <c r="F58" s="203">
        <f t="shared" si="6"/>
        <v>0.56922277235867402</v>
      </c>
      <c r="G58" s="500">
        <f t="shared" si="7"/>
        <v>0</v>
      </c>
      <c r="H58" s="500">
        <f t="shared" si="8"/>
        <v>0</v>
      </c>
      <c r="I58" s="500">
        <f t="shared" si="9"/>
        <v>0</v>
      </c>
      <c r="J58" s="500">
        <f t="shared" si="10"/>
        <v>0</v>
      </c>
      <c r="K58" s="500">
        <f t="shared" si="11"/>
        <v>0</v>
      </c>
      <c r="L58" s="502">
        <f t="shared" si="12"/>
        <v>0</v>
      </c>
      <c r="M58" s="326">
        <f>L58*D58*VPI!Q58</f>
        <v>0</v>
      </c>
    </row>
    <row r="59" spans="1:13" x14ac:dyDescent="0.25">
      <c r="A59" s="170">
        <f>Données!A59</f>
        <v>5492</v>
      </c>
      <c r="B59" s="27" t="str">
        <f>Données!B59</f>
        <v>Montricher</v>
      </c>
      <c r="C59" s="377">
        <f>VPI!R59</f>
        <v>149907.58062499994</v>
      </c>
      <c r="D59" s="27">
        <f>Données!Z59</f>
        <v>979</v>
      </c>
      <c r="E59" s="115">
        <f t="shared" si="5"/>
        <v>153.12316713483139</v>
      </c>
      <c r="F59" s="203">
        <f t="shared" si="6"/>
        <v>3.1609762000682449</v>
      </c>
      <c r="G59" s="500">
        <f t="shared" si="7"/>
        <v>104.68143349206449</v>
      </c>
      <c r="H59" s="500">
        <f t="shared" si="8"/>
        <v>94.993086763511116</v>
      </c>
      <c r="I59" s="500">
        <f t="shared" si="9"/>
        <v>80.460566670681033</v>
      </c>
      <c r="J59" s="500">
        <f t="shared" si="10"/>
        <v>56.23969984929758</v>
      </c>
      <c r="K59" s="500">
        <f t="shared" si="11"/>
        <v>7.7979662065306741</v>
      </c>
      <c r="L59" s="502">
        <f t="shared" si="12"/>
        <v>44.885418647414937</v>
      </c>
      <c r="M59" s="326">
        <f>L59*D59*VPI!Q59</f>
        <v>2812340.7907724301</v>
      </c>
    </row>
    <row r="60" spans="1:13" x14ac:dyDescent="0.25">
      <c r="A60" s="170">
        <f>Données!A60</f>
        <v>5493</v>
      </c>
      <c r="B60" s="27" t="str">
        <f>Données!B60</f>
        <v>Orny</v>
      </c>
      <c r="C60" s="377">
        <f>VPI!R60</f>
        <v>14635.830579557431</v>
      </c>
      <c r="D60" s="27">
        <f>Données!Z60</f>
        <v>484</v>
      </c>
      <c r="E60" s="115">
        <f t="shared" si="5"/>
        <v>30.23931937925089</v>
      </c>
      <c r="F60" s="203">
        <f t="shared" si="6"/>
        <v>0.62424106457977857</v>
      </c>
      <c r="G60" s="500">
        <f t="shared" si="7"/>
        <v>0</v>
      </c>
      <c r="H60" s="500">
        <f t="shared" si="8"/>
        <v>0</v>
      </c>
      <c r="I60" s="500">
        <f t="shared" si="9"/>
        <v>0</v>
      </c>
      <c r="J60" s="500">
        <f t="shared" si="10"/>
        <v>0</v>
      </c>
      <c r="K60" s="500">
        <f t="shared" si="11"/>
        <v>0</v>
      </c>
      <c r="L60" s="502">
        <f t="shared" si="12"/>
        <v>0</v>
      </c>
      <c r="M60" s="326">
        <f>L60*D60*VPI!Q60</f>
        <v>0</v>
      </c>
    </row>
    <row r="61" spans="1:13" x14ac:dyDescent="0.25">
      <c r="A61" s="170">
        <f>Données!A61</f>
        <v>5495</v>
      </c>
      <c r="B61" s="27" t="str">
        <f>Données!B61</f>
        <v>Penthalaz</v>
      </c>
      <c r="C61" s="377">
        <f>VPI!R61</f>
        <v>103056.57202702702</v>
      </c>
      <c r="D61" s="27">
        <f>Données!Z61</f>
        <v>3216</v>
      </c>
      <c r="E61" s="115">
        <f t="shared" si="5"/>
        <v>32.04495398850343</v>
      </c>
      <c r="F61" s="203">
        <f t="shared" si="6"/>
        <v>0.66151542438217903</v>
      </c>
      <c r="G61" s="500">
        <f t="shared" si="7"/>
        <v>0</v>
      </c>
      <c r="H61" s="500">
        <f t="shared" si="8"/>
        <v>0</v>
      </c>
      <c r="I61" s="500">
        <f t="shared" si="9"/>
        <v>0</v>
      </c>
      <c r="J61" s="500">
        <f t="shared" si="10"/>
        <v>0</v>
      </c>
      <c r="K61" s="500">
        <f t="shared" si="11"/>
        <v>0</v>
      </c>
      <c r="L61" s="502">
        <f t="shared" si="12"/>
        <v>0</v>
      </c>
      <c r="M61" s="326">
        <f>L61*D61*VPI!Q61</f>
        <v>0</v>
      </c>
    </row>
    <row r="62" spans="1:13" x14ac:dyDescent="0.25">
      <c r="A62" s="170">
        <f>Données!A62</f>
        <v>5496</v>
      </c>
      <c r="B62" s="27" t="str">
        <f>Données!B62</f>
        <v>Penthaz</v>
      </c>
      <c r="C62" s="377">
        <f>VPI!R62</f>
        <v>61651.518705035967</v>
      </c>
      <c r="D62" s="27">
        <f>Données!Z62</f>
        <v>1923</v>
      </c>
      <c r="E62" s="115">
        <f t="shared" si="5"/>
        <v>32.060072129503887</v>
      </c>
      <c r="F62" s="203">
        <f t="shared" si="6"/>
        <v>0.66182751356362635</v>
      </c>
      <c r="G62" s="500">
        <f t="shared" si="7"/>
        <v>0</v>
      </c>
      <c r="H62" s="500">
        <f t="shared" si="8"/>
        <v>0</v>
      </c>
      <c r="I62" s="500">
        <f t="shared" si="9"/>
        <v>0</v>
      </c>
      <c r="J62" s="500">
        <f t="shared" si="10"/>
        <v>0</v>
      </c>
      <c r="K62" s="500">
        <f t="shared" si="11"/>
        <v>0</v>
      </c>
      <c r="L62" s="502">
        <f t="shared" si="12"/>
        <v>0</v>
      </c>
      <c r="M62" s="326">
        <f>L62*D62*VPI!Q62</f>
        <v>0</v>
      </c>
    </row>
    <row r="63" spans="1:13" x14ac:dyDescent="0.25">
      <c r="A63" s="170">
        <f>Données!A63</f>
        <v>5497</v>
      </c>
      <c r="B63" s="27" t="str">
        <f>Données!B63</f>
        <v>Pompaples</v>
      </c>
      <c r="C63" s="377">
        <f>VPI!R63</f>
        <v>22949.830606060608</v>
      </c>
      <c r="D63" s="27">
        <f>Données!Z63</f>
        <v>860</v>
      </c>
      <c r="E63" s="115">
        <f t="shared" si="5"/>
        <v>26.685849541930938</v>
      </c>
      <c r="F63" s="203">
        <f t="shared" si="6"/>
        <v>0.5508855182336263</v>
      </c>
      <c r="G63" s="500">
        <f t="shared" si="7"/>
        <v>0</v>
      </c>
      <c r="H63" s="500">
        <f t="shared" si="8"/>
        <v>0</v>
      </c>
      <c r="I63" s="500">
        <f t="shared" si="9"/>
        <v>0</v>
      </c>
      <c r="J63" s="500">
        <f t="shared" si="10"/>
        <v>0</v>
      </c>
      <c r="K63" s="500">
        <f t="shared" si="11"/>
        <v>0</v>
      </c>
      <c r="L63" s="502">
        <f t="shared" si="12"/>
        <v>0</v>
      </c>
      <c r="M63" s="326">
        <f>L63*D63*VPI!Q63</f>
        <v>0</v>
      </c>
    </row>
    <row r="64" spans="1:13" x14ac:dyDescent="0.25">
      <c r="A64" s="170">
        <f>Données!A64</f>
        <v>5498</v>
      </c>
      <c r="B64" s="27" t="str">
        <f>Données!B64</f>
        <v>La Sarraz</v>
      </c>
      <c r="C64" s="377">
        <f>VPI!R64</f>
        <v>73743.655606060609</v>
      </c>
      <c r="D64" s="27">
        <f>Données!Z64</f>
        <v>2609</v>
      </c>
      <c r="E64" s="115">
        <f t="shared" si="5"/>
        <v>28.265103720222541</v>
      </c>
      <c r="F64" s="203">
        <f t="shared" si="6"/>
        <v>0.58348662598789869</v>
      </c>
      <c r="G64" s="500">
        <f t="shared" si="7"/>
        <v>0</v>
      </c>
      <c r="H64" s="500">
        <f t="shared" si="8"/>
        <v>0</v>
      </c>
      <c r="I64" s="500">
        <f t="shared" si="9"/>
        <v>0</v>
      </c>
      <c r="J64" s="500">
        <f t="shared" si="10"/>
        <v>0</v>
      </c>
      <c r="K64" s="500">
        <f t="shared" si="11"/>
        <v>0</v>
      </c>
      <c r="L64" s="502">
        <f t="shared" si="12"/>
        <v>0</v>
      </c>
      <c r="M64" s="326">
        <f>L64*D64*VPI!Q64</f>
        <v>0</v>
      </c>
    </row>
    <row r="65" spans="1:13" x14ac:dyDescent="0.25">
      <c r="A65" s="170">
        <f>Données!A65</f>
        <v>5499</v>
      </c>
      <c r="B65" s="27" t="str">
        <f>Données!B65</f>
        <v>Senarclens</v>
      </c>
      <c r="C65" s="377">
        <f>VPI!R65</f>
        <v>20491.103065693427</v>
      </c>
      <c r="D65" s="27">
        <f>Données!Z65</f>
        <v>496</v>
      </c>
      <c r="E65" s="115">
        <f t="shared" si="5"/>
        <v>41.312707793736749</v>
      </c>
      <c r="F65" s="203">
        <f t="shared" si="6"/>
        <v>0.85283297452557982</v>
      </c>
      <c r="G65" s="500">
        <f t="shared" si="7"/>
        <v>0</v>
      </c>
      <c r="H65" s="500">
        <f t="shared" si="8"/>
        <v>0</v>
      </c>
      <c r="I65" s="500">
        <f t="shared" si="9"/>
        <v>0</v>
      </c>
      <c r="J65" s="500">
        <f t="shared" si="10"/>
        <v>0</v>
      </c>
      <c r="K65" s="500">
        <f t="shared" si="11"/>
        <v>0</v>
      </c>
      <c r="L65" s="502">
        <f t="shared" si="12"/>
        <v>0</v>
      </c>
      <c r="M65" s="326">
        <f>L65*D65*VPI!Q65</f>
        <v>0</v>
      </c>
    </row>
    <row r="66" spans="1:13" x14ac:dyDescent="0.25">
      <c r="A66" s="170">
        <f>Données!A66</f>
        <v>5501</v>
      </c>
      <c r="B66" s="27" t="str">
        <f>Données!B66</f>
        <v>Sullens</v>
      </c>
      <c r="C66" s="377">
        <f>VPI!R66</f>
        <v>53840.673124999994</v>
      </c>
      <c r="D66" s="27">
        <f>Données!Z66</f>
        <v>1170</v>
      </c>
      <c r="E66" s="115">
        <f t="shared" si="5"/>
        <v>46.017669337606833</v>
      </c>
      <c r="F66" s="203">
        <f t="shared" si="6"/>
        <v>0.94995917522200357</v>
      </c>
      <c r="G66" s="500">
        <f t="shared" si="7"/>
        <v>0</v>
      </c>
      <c r="H66" s="500">
        <f t="shared" si="8"/>
        <v>0</v>
      </c>
      <c r="I66" s="500">
        <f t="shared" si="9"/>
        <v>0</v>
      </c>
      <c r="J66" s="500">
        <f t="shared" si="10"/>
        <v>0</v>
      </c>
      <c r="K66" s="500">
        <f t="shared" si="11"/>
        <v>0</v>
      </c>
      <c r="L66" s="502">
        <f t="shared" si="12"/>
        <v>0</v>
      </c>
      <c r="M66" s="326">
        <f>L66*D66*VPI!Q66</f>
        <v>0</v>
      </c>
    </row>
    <row r="67" spans="1:13" x14ac:dyDescent="0.25">
      <c r="A67" s="170">
        <f>Données!A67</f>
        <v>5503</v>
      </c>
      <c r="B67" s="27" t="str">
        <f>Données!B67</f>
        <v>Vufflens-la-Ville</v>
      </c>
      <c r="C67" s="377">
        <f>VPI!R67</f>
        <v>75222.663980099518</v>
      </c>
      <c r="D67" s="27">
        <f>Données!Z67</f>
        <v>1334</v>
      </c>
      <c r="E67" s="115">
        <f t="shared" si="5"/>
        <v>56.388803583283</v>
      </c>
      <c r="F67" s="203">
        <f t="shared" si="6"/>
        <v>1.1640542016749789</v>
      </c>
      <c r="G67" s="500">
        <f t="shared" si="7"/>
        <v>7.9470699405160943</v>
      </c>
      <c r="H67" s="500">
        <f t="shared" si="8"/>
        <v>0</v>
      </c>
      <c r="I67" s="500">
        <f t="shared" si="9"/>
        <v>0</v>
      </c>
      <c r="J67" s="500">
        <f t="shared" si="10"/>
        <v>0</v>
      </c>
      <c r="K67" s="500">
        <f t="shared" si="11"/>
        <v>0</v>
      </c>
      <c r="L67" s="502">
        <f t="shared" si="12"/>
        <v>1.589413988103219</v>
      </c>
      <c r="M67" s="326">
        <f>L67*D67*VPI!Q67</f>
        <v>142058.64342868951</v>
      </c>
    </row>
    <row r="68" spans="1:13" x14ac:dyDescent="0.25">
      <c r="A68" s="170">
        <f>Données!A68</f>
        <v>5511</v>
      </c>
      <c r="B68" s="27" t="str">
        <f>Données!B68</f>
        <v>Assens</v>
      </c>
      <c r="C68" s="377">
        <f>VPI!R68</f>
        <v>72835.778857142868</v>
      </c>
      <c r="D68" s="27">
        <f>Données!Z68</f>
        <v>1669</v>
      </c>
      <c r="E68" s="115">
        <f t="shared" si="5"/>
        <v>43.64037079517248</v>
      </c>
      <c r="F68" s="203">
        <f t="shared" si="6"/>
        <v>0.90088375277808941</v>
      </c>
      <c r="G68" s="500">
        <f t="shared" si="7"/>
        <v>0</v>
      </c>
      <c r="H68" s="500">
        <f t="shared" si="8"/>
        <v>0</v>
      </c>
      <c r="I68" s="500">
        <f t="shared" si="9"/>
        <v>0</v>
      </c>
      <c r="J68" s="500">
        <f t="shared" si="10"/>
        <v>0</v>
      </c>
      <c r="K68" s="500">
        <f t="shared" si="11"/>
        <v>0</v>
      </c>
      <c r="L68" s="502">
        <f t="shared" si="12"/>
        <v>0</v>
      </c>
      <c r="M68" s="326">
        <f>L68*D68*VPI!Q68</f>
        <v>0</v>
      </c>
    </row>
    <row r="69" spans="1:13" x14ac:dyDescent="0.25">
      <c r="A69" s="170">
        <f>Données!A69</f>
        <v>5512</v>
      </c>
      <c r="B69" s="27" t="str">
        <f>Données!B69</f>
        <v>Bercher</v>
      </c>
      <c r="C69" s="377">
        <f>VPI!R69</f>
        <v>41198.7282278481</v>
      </c>
      <c r="D69" s="27">
        <f>Données!Z69</f>
        <v>1359</v>
      </c>
      <c r="E69" s="115">
        <f t="shared" si="5"/>
        <v>30.315473309674836</v>
      </c>
      <c r="F69" s="203">
        <f t="shared" si="6"/>
        <v>0.62581313735045074</v>
      </c>
      <c r="G69" s="500">
        <f t="shared" si="7"/>
        <v>0</v>
      </c>
      <c r="H69" s="500">
        <f t="shared" si="8"/>
        <v>0</v>
      </c>
      <c r="I69" s="500">
        <f t="shared" si="9"/>
        <v>0</v>
      </c>
      <c r="J69" s="500">
        <f t="shared" si="10"/>
        <v>0</v>
      </c>
      <c r="K69" s="500">
        <f t="shared" si="11"/>
        <v>0</v>
      </c>
      <c r="L69" s="502">
        <f t="shared" si="12"/>
        <v>0</v>
      </c>
      <c r="M69" s="326">
        <f>L69*D69*VPI!Q69</f>
        <v>0</v>
      </c>
    </row>
    <row r="70" spans="1:13" x14ac:dyDescent="0.25">
      <c r="A70" s="170">
        <f>Données!A70</f>
        <v>5514</v>
      </c>
      <c r="B70" s="27" t="str">
        <f>Données!B70</f>
        <v>Bottens</v>
      </c>
      <c r="C70" s="377">
        <f>VPI!R70</f>
        <v>45712.235586206894</v>
      </c>
      <c r="D70" s="27">
        <f>Données!Z70</f>
        <v>1356</v>
      </c>
      <c r="E70" s="115">
        <f t="shared" si="5"/>
        <v>33.71108819041806</v>
      </c>
      <c r="F70" s="203">
        <f t="shared" si="6"/>
        <v>0.6959100274779626</v>
      </c>
      <c r="G70" s="500">
        <f t="shared" si="7"/>
        <v>0</v>
      </c>
      <c r="H70" s="500">
        <f t="shared" si="8"/>
        <v>0</v>
      </c>
      <c r="I70" s="500">
        <f t="shared" si="9"/>
        <v>0</v>
      </c>
      <c r="J70" s="500">
        <f t="shared" si="10"/>
        <v>0</v>
      </c>
      <c r="K70" s="500">
        <f t="shared" si="11"/>
        <v>0</v>
      </c>
      <c r="L70" s="502">
        <f t="shared" si="12"/>
        <v>0</v>
      </c>
      <c r="M70" s="326">
        <f>L70*D70*VPI!Q70</f>
        <v>0</v>
      </c>
    </row>
    <row r="71" spans="1:13" x14ac:dyDescent="0.25">
      <c r="A71" s="170">
        <f>Données!A71</f>
        <v>5515</v>
      </c>
      <c r="B71" s="27" t="str">
        <f>Données!B71</f>
        <v>Bretigny-sur-Morrens</v>
      </c>
      <c r="C71" s="377">
        <f>VPI!R71</f>
        <v>29285.295897435899</v>
      </c>
      <c r="D71" s="27">
        <f>Données!Z71</f>
        <v>878</v>
      </c>
      <c r="E71" s="115">
        <f t="shared" ref="E71:E134" si="13">C71/D71</f>
        <v>33.354551136031773</v>
      </c>
      <c r="F71" s="203">
        <f t="shared" ref="F71:F134" si="14">E71/$E$306</f>
        <v>0.68854990579000719</v>
      </c>
      <c r="G71" s="500">
        <f t="shared" ref="G71:G134" si="15">IF(E71-$G$3&lt;0,0,E71-$G$3)</f>
        <v>0</v>
      </c>
      <c r="H71" s="500">
        <f t="shared" ref="H71:H134" si="16">IF(E71-$H$3&lt;0,0,E71-$H$3)</f>
        <v>0</v>
      </c>
      <c r="I71" s="500">
        <f t="shared" ref="I71:I134" si="17">IF(E71-$I$3&lt;0,0,E71-$I$3)</f>
        <v>0</v>
      </c>
      <c r="J71" s="500">
        <f t="shared" ref="J71:J134" si="18">IF(E71-$J$3&lt;0,0,E71-$J$3)</f>
        <v>0</v>
      </c>
      <c r="K71" s="500">
        <f t="shared" ref="K71:K134" si="19">IF(E71-$K$3&lt;0,0,E71-$K$3)</f>
        <v>0</v>
      </c>
      <c r="L71" s="502">
        <f t="shared" ref="L71:L134" si="20">(G71-H71)*$G$4+(H71-I71)*$H$4+(I71-J71)*$I$4+(J71-K71)*$J$4+(K71*$K$4)</f>
        <v>0</v>
      </c>
      <c r="M71" s="326">
        <f>L71*D71*VPI!Q71</f>
        <v>0</v>
      </c>
    </row>
    <row r="72" spans="1:13" x14ac:dyDescent="0.25">
      <c r="A72" s="170">
        <f>Données!A72</f>
        <v>5516</v>
      </c>
      <c r="B72" s="27" t="str">
        <f>Données!B72</f>
        <v>Cugy</v>
      </c>
      <c r="C72" s="377">
        <f>VPI!R72</f>
        <v>110290.24758771928</v>
      </c>
      <c r="D72" s="27">
        <f>Données!Z72</f>
        <v>2699</v>
      </c>
      <c r="E72" s="115">
        <f t="shared" si="13"/>
        <v>40.863374430425814</v>
      </c>
      <c r="F72" s="203">
        <f t="shared" si="14"/>
        <v>0.84355722550667511</v>
      </c>
      <c r="G72" s="500">
        <f t="shared" si="15"/>
        <v>0</v>
      </c>
      <c r="H72" s="500">
        <f t="shared" si="16"/>
        <v>0</v>
      </c>
      <c r="I72" s="500">
        <f t="shared" si="17"/>
        <v>0</v>
      </c>
      <c r="J72" s="500">
        <f t="shared" si="18"/>
        <v>0</v>
      </c>
      <c r="K72" s="500">
        <f t="shared" si="19"/>
        <v>0</v>
      </c>
      <c r="L72" s="502">
        <f t="shared" si="20"/>
        <v>0</v>
      </c>
      <c r="M72" s="326">
        <f>L72*D72*VPI!Q72</f>
        <v>0</v>
      </c>
    </row>
    <row r="73" spans="1:13" x14ac:dyDescent="0.25">
      <c r="A73" s="170">
        <f>Données!A73</f>
        <v>5518</v>
      </c>
      <c r="B73" s="27" t="str">
        <f>Données!B73</f>
        <v>Echallens</v>
      </c>
      <c r="C73" s="377">
        <f>VPI!R73</f>
        <v>193282.28662068967</v>
      </c>
      <c r="D73" s="27">
        <f>Données!Z73</f>
        <v>5817</v>
      </c>
      <c r="E73" s="115">
        <f t="shared" si="13"/>
        <v>33.227142276205889</v>
      </c>
      <c r="F73" s="203">
        <f t="shared" si="14"/>
        <v>0.68591975921504234</v>
      </c>
      <c r="G73" s="500">
        <f t="shared" si="15"/>
        <v>0</v>
      </c>
      <c r="H73" s="500">
        <f t="shared" si="16"/>
        <v>0</v>
      </c>
      <c r="I73" s="500">
        <f t="shared" si="17"/>
        <v>0</v>
      </c>
      <c r="J73" s="500">
        <f t="shared" si="18"/>
        <v>0</v>
      </c>
      <c r="K73" s="500">
        <f t="shared" si="19"/>
        <v>0</v>
      </c>
      <c r="L73" s="502">
        <f t="shared" si="20"/>
        <v>0</v>
      </c>
      <c r="M73" s="326">
        <f>L73*D73*VPI!Q73</f>
        <v>0</v>
      </c>
    </row>
    <row r="74" spans="1:13" x14ac:dyDescent="0.25">
      <c r="A74" s="170">
        <f>Données!A74</f>
        <v>5520</v>
      </c>
      <c r="B74" s="27" t="str">
        <f>Données!B74</f>
        <v>Essertines-sur-Yverdon</v>
      </c>
      <c r="C74" s="377">
        <f>VPI!R74</f>
        <v>31422.035945945943</v>
      </c>
      <c r="D74" s="27">
        <f>Données!Z74</f>
        <v>1081</v>
      </c>
      <c r="E74" s="115">
        <f t="shared" si="13"/>
        <v>29.067563317248791</v>
      </c>
      <c r="F74" s="203">
        <f t="shared" si="14"/>
        <v>0.60005208590607539</v>
      </c>
      <c r="G74" s="500">
        <f t="shared" si="15"/>
        <v>0</v>
      </c>
      <c r="H74" s="500">
        <f t="shared" si="16"/>
        <v>0</v>
      </c>
      <c r="I74" s="500">
        <f t="shared" si="17"/>
        <v>0</v>
      </c>
      <c r="J74" s="500">
        <f t="shared" si="18"/>
        <v>0</v>
      </c>
      <c r="K74" s="500">
        <f t="shared" si="19"/>
        <v>0</v>
      </c>
      <c r="L74" s="502">
        <f t="shared" si="20"/>
        <v>0</v>
      </c>
      <c r="M74" s="326">
        <f>L74*D74*VPI!Q74</f>
        <v>0</v>
      </c>
    </row>
    <row r="75" spans="1:13" x14ac:dyDescent="0.25">
      <c r="A75" s="170">
        <f>Données!A75</f>
        <v>5521</v>
      </c>
      <c r="B75" s="27" t="str">
        <f>Données!B75</f>
        <v>Etagnières</v>
      </c>
      <c r="C75" s="377">
        <f>VPI!R75</f>
        <v>47189.665890410972</v>
      </c>
      <c r="D75" s="27">
        <f>Données!Z75</f>
        <v>1151</v>
      </c>
      <c r="E75" s="115">
        <f t="shared" si="13"/>
        <v>40.998840912607271</v>
      </c>
      <c r="F75" s="203">
        <f t="shared" si="14"/>
        <v>0.84635370845628333</v>
      </c>
      <c r="G75" s="500">
        <f t="shared" si="15"/>
        <v>0</v>
      </c>
      <c r="H75" s="500">
        <f t="shared" si="16"/>
        <v>0</v>
      </c>
      <c r="I75" s="500">
        <f t="shared" si="17"/>
        <v>0</v>
      </c>
      <c r="J75" s="500">
        <f t="shared" si="18"/>
        <v>0</v>
      </c>
      <c r="K75" s="500">
        <f t="shared" si="19"/>
        <v>0</v>
      </c>
      <c r="L75" s="502">
        <f t="shared" si="20"/>
        <v>0</v>
      </c>
      <c r="M75" s="326">
        <f>L75*D75*VPI!Q75</f>
        <v>0</v>
      </c>
    </row>
    <row r="76" spans="1:13" x14ac:dyDescent="0.25">
      <c r="A76" s="170">
        <f>Données!A76</f>
        <v>5522</v>
      </c>
      <c r="B76" s="27" t="str">
        <f>Données!B76</f>
        <v>Fey</v>
      </c>
      <c r="C76" s="377">
        <f>VPI!R76</f>
        <v>24172.463733333334</v>
      </c>
      <c r="D76" s="27">
        <f>Données!Z76</f>
        <v>736</v>
      </c>
      <c r="E76" s="115">
        <f t="shared" si="13"/>
        <v>32.843021376811592</v>
      </c>
      <c r="F76" s="203">
        <f t="shared" si="14"/>
        <v>0.67799021436788642</v>
      </c>
      <c r="G76" s="500">
        <f t="shared" si="15"/>
        <v>0</v>
      </c>
      <c r="H76" s="500">
        <f t="shared" si="16"/>
        <v>0</v>
      </c>
      <c r="I76" s="500">
        <f t="shared" si="17"/>
        <v>0</v>
      </c>
      <c r="J76" s="500">
        <f t="shared" si="18"/>
        <v>0</v>
      </c>
      <c r="K76" s="500">
        <f t="shared" si="19"/>
        <v>0</v>
      </c>
      <c r="L76" s="502">
        <f t="shared" si="20"/>
        <v>0</v>
      </c>
      <c r="M76" s="326">
        <f>L76*D76*VPI!Q76</f>
        <v>0</v>
      </c>
    </row>
    <row r="77" spans="1:13" x14ac:dyDescent="0.25">
      <c r="A77" s="170">
        <f>Données!A77</f>
        <v>5523</v>
      </c>
      <c r="B77" s="27" t="str">
        <f>Données!B77</f>
        <v>Froideville</v>
      </c>
      <c r="C77" s="377">
        <f>VPI!R77</f>
        <v>92231.307222222211</v>
      </c>
      <c r="D77" s="27">
        <f>Données!Z77</f>
        <v>2720</v>
      </c>
      <c r="E77" s="115">
        <f t="shared" si="13"/>
        <v>33.908568831699341</v>
      </c>
      <c r="F77" s="203">
        <f t="shared" si="14"/>
        <v>0.69998669085127618</v>
      </c>
      <c r="G77" s="500">
        <f t="shared" si="15"/>
        <v>0</v>
      </c>
      <c r="H77" s="500">
        <f t="shared" si="16"/>
        <v>0</v>
      </c>
      <c r="I77" s="500">
        <f t="shared" si="17"/>
        <v>0</v>
      </c>
      <c r="J77" s="500">
        <f t="shared" si="18"/>
        <v>0</v>
      </c>
      <c r="K77" s="500">
        <f t="shared" si="19"/>
        <v>0</v>
      </c>
      <c r="L77" s="502">
        <f t="shared" si="20"/>
        <v>0</v>
      </c>
      <c r="M77" s="326">
        <f>L77*D77*VPI!Q77</f>
        <v>0</v>
      </c>
    </row>
    <row r="78" spans="1:13" x14ac:dyDescent="0.25">
      <c r="A78" s="170">
        <f>Données!A78</f>
        <v>5527</v>
      </c>
      <c r="B78" s="27" t="str">
        <f>Données!B78</f>
        <v>Morrens</v>
      </c>
      <c r="C78" s="377">
        <f>VPI!R78</f>
        <v>40722.505675675682</v>
      </c>
      <c r="D78" s="27">
        <f>Données!Z78</f>
        <v>1172</v>
      </c>
      <c r="E78" s="115">
        <f t="shared" si="13"/>
        <v>34.746165252283006</v>
      </c>
      <c r="F78" s="203">
        <f t="shared" si="14"/>
        <v>0.71727749276106145</v>
      </c>
      <c r="G78" s="500">
        <f t="shared" si="15"/>
        <v>0</v>
      </c>
      <c r="H78" s="500">
        <f t="shared" si="16"/>
        <v>0</v>
      </c>
      <c r="I78" s="500">
        <f t="shared" si="17"/>
        <v>0</v>
      </c>
      <c r="J78" s="500">
        <f t="shared" si="18"/>
        <v>0</v>
      </c>
      <c r="K78" s="500">
        <f t="shared" si="19"/>
        <v>0</v>
      </c>
      <c r="L78" s="502">
        <f t="shared" si="20"/>
        <v>0</v>
      </c>
      <c r="M78" s="326">
        <f>L78*D78*VPI!Q78</f>
        <v>0</v>
      </c>
    </row>
    <row r="79" spans="1:13" x14ac:dyDescent="0.25">
      <c r="A79" s="170">
        <f>Données!A79</f>
        <v>5529</v>
      </c>
      <c r="B79" s="27" t="str">
        <f>Données!B79</f>
        <v>Oulens-sous-Echallens</v>
      </c>
      <c r="C79" s="377">
        <f>VPI!R79</f>
        <v>22677.013380281693</v>
      </c>
      <c r="D79" s="27">
        <f>Données!Z79</f>
        <v>606</v>
      </c>
      <c r="E79" s="115">
        <f t="shared" si="13"/>
        <v>37.420814158880681</v>
      </c>
      <c r="F79" s="203">
        <f t="shared" si="14"/>
        <v>0.7724912249185818</v>
      </c>
      <c r="G79" s="500">
        <f t="shared" si="15"/>
        <v>0</v>
      </c>
      <c r="H79" s="500">
        <f t="shared" si="16"/>
        <v>0</v>
      </c>
      <c r="I79" s="500">
        <f t="shared" si="17"/>
        <v>0</v>
      </c>
      <c r="J79" s="500">
        <f t="shared" si="18"/>
        <v>0</v>
      </c>
      <c r="K79" s="500">
        <f t="shared" si="19"/>
        <v>0</v>
      </c>
      <c r="L79" s="502">
        <f t="shared" si="20"/>
        <v>0</v>
      </c>
      <c r="M79" s="326">
        <f>L79*D79*VPI!Q79</f>
        <v>0</v>
      </c>
    </row>
    <row r="80" spans="1:13" x14ac:dyDescent="0.25">
      <c r="A80" s="170">
        <f>Données!A80</f>
        <v>5530</v>
      </c>
      <c r="B80" s="27" t="str">
        <f>Données!B80</f>
        <v>Pailly</v>
      </c>
      <c r="C80" s="377">
        <f>VPI!R80</f>
        <v>20112.17390350877</v>
      </c>
      <c r="D80" s="27">
        <f>Données!Z80</f>
        <v>566</v>
      </c>
      <c r="E80" s="115">
        <f t="shared" si="13"/>
        <v>35.533876154609132</v>
      </c>
      <c r="F80" s="203">
        <f t="shared" si="14"/>
        <v>0.73353849010965122</v>
      </c>
      <c r="G80" s="500">
        <f t="shared" si="15"/>
        <v>0</v>
      </c>
      <c r="H80" s="500">
        <f t="shared" si="16"/>
        <v>0</v>
      </c>
      <c r="I80" s="500">
        <f t="shared" si="17"/>
        <v>0</v>
      </c>
      <c r="J80" s="500">
        <f t="shared" si="18"/>
        <v>0</v>
      </c>
      <c r="K80" s="500">
        <f t="shared" si="19"/>
        <v>0</v>
      </c>
      <c r="L80" s="502">
        <f t="shared" si="20"/>
        <v>0</v>
      </c>
      <c r="M80" s="326">
        <f>L80*D80*VPI!Q80</f>
        <v>0</v>
      </c>
    </row>
    <row r="81" spans="1:13" x14ac:dyDescent="0.25">
      <c r="A81" s="170">
        <f>Données!A81</f>
        <v>5531</v>
      </c>
      <c r="B81" s="27" t="str">
        <f>Données!B81</f>
        <v>Penthéréaz</v>
      </c>
      <c r="C81" s="377">
        <f>VPI!R81</f>
        <v>17299.306216216217</v>
      </c>
      <c r="D81" s="27">
        <f>Données!Z81</f>
        <v>433</v>
      </c>
      <c r="E81" s="115">
        <f t="shared" si="13"/>
        <v>39.952208351538609</v>
      </c>
      <c r="F81" s="203">
        <f t="shared" si="14"/>
        <v>0.82474769887811572</v>
      </c>
      <c r="G81" s="500">
        <f t="shared" si="15"/>
        <v>0</v>
      </c>
      <c r="H81" s="500">
        <f t="shared" si="16"/>
        <v>0</v>
      </c>
      <c r="I81" s="500">
        <f t="shared" si="17"/>
        <v>0</v>
      </c>
      <c r="J81" s="500">
        <f t="shared" si="18"/>
        <v>0</v>
      </c>
      <c r="K81" s="500">
        <f t="shared" si="19"/>
        <v>0</v>
      </c>
      <c r="L81" s="502">
        <f t="shared" si="20"/>
        <v>0</v>
      </c>
      <c r="M81" s="326">
        <f>L81*D81*VPI!Q81</f>
        <v>0</v>
      </c>
    </row>
    <row r="82" spans="1:13" x14ac:dyDescent="0.25">
      <c r="A82" s="170">
        <f>Données!A82</f>
        <v>5533</v>
      </c>
      <c r="B82" s="27" t="str">
        <f>Données!B82</f>
        <v>Poliez-Pittet</v>
      </c>
      <c r="C82" s="377">
        <f>VPI!R82</f>
        <v>28012.381095890411</v>
      </c>
      <c r="D82" s="27">
        <f>Données!Z82</f>
        <v>847</v>
      </c>
      <c r="E82" s="115">
        <f t="shared" si="13"/>
        <v>33.072468826316893</v>
      </c>
      <c r="F82" s="203">
        <f t="shared" si="14"/>
        <v>0.68272677997467002</v>
      </c>
      <c r="G82" s="500">
        <f t="shared" si="15"/>
        <v>0</v>
      </c>
      <c r="H82" s="500">
        <f t="shared" si="16"/>
        <v>0</v>
      </c>
      <c r="I82" s="500">
        <f t="shared" si="17"/>
        <v>0</v>
      </c>
      <c r="J82" s="500">
        <f t="shared" si="18"/>
        <v>0</v>
      </c>
      <c r="K82" s="500">
        <f t="shared" si="19"/>
        <v>0</v>
      </c>
      <c r="L82" s="502">
        <f t="shared" si="20"/>
        <v>0</v>
      </c>
      <c r="M82" s="326">
        <f>L82*D82*VPI!Q82</f>
        <v>0</v>
      </c>
    </row>
    <row r="83" spans="1:13" x14ac:dyDescent="0.25">
      <c r="A83" s="170">
        <f>Données!A83</f>
        <v>5534</v>
      </c>
      <c r="B83" s="27" t="str">
        <f>Données!B83</f>
        <v>Rueyres</v>
      </c>
      <c r="C83" s="377">
        <f>VPI!R83</f>
        <v>15042.055228310503</v>
      </c>
      <c r="D83" s="27">
        <f>Données!Z83</f>
        <v>303</v>
      </c>
      <c r="E83" s="115">
        <f t="shared" si="13"/>
        <v>49.64374662808747</v>
      </c>
      <c r="F83" s="203">
        <f t="shared" si="14"/>
        <v>1.0248135831426843</v>
      </c>
      <c r="G83" s="500">
        <f t="shared" si="15"/>
        <v>1.2020129853205646</v>
      </c>
      <c r="H83" s="500">
        <f t="shared" si="16"/>
        <v>0</v>
      </c>
      <c r="I83" s="500">
        <f t="shared" si="17"/>
        <v>0</v>
      </c>
      <c r="J83" s="500">
        <f t="shared" si="18"/>
        <v>0</v>
      </c>
      <c r="K83" s="500">
        <f t="shared" si="19"/>
        <v>0</v>
      </c>
      <c r="L83" s="502">
        <f t="shared" si="20"/>
        <v>0.24040259706411293</v>
      </c>
      <c r="M83" s="326">
        <f>L83*D83*VPI!Q83</f>
        <v>5317.4650444611134</v>
      </c>
    </row>
    <row r="84" spans="1:13" x14ac:dyDescent="0.25">
      <c r="A84" s="170">
        <f>Données!A84</f>
        <v>5535</v>
      </c>
      <c r="B84" s="27" t="str">
        <f>Données!B84</f>
        <v>Saint-Barthélemy</v>
      </c>
      <c r="C84" s="377">
        <f>VPI!R84</f>
        <v>25488.94373333333</v>
      </c>
      <c r="D84" s="27">
        <f>Données!Z84</f>
        <v>814</v>
      </c>
      <c r="E84" s="115">
        <f t="shared" si="13"/>
        <v>31.313198689598686</v>
      </c>
      <c r="F84" s="203">
        <f t="shared" si="14"/>
        <v>0.64640953852968119</v>
      </c>
      <c r="G84" s="500">
        <f t="shared" si="15"/>
        <v>0</v>
      </c>
      <c r="H84" s="500">
        <f t="shared" si="16"/>
        <v>0</v>
      </c>
      <c r="I84" s="500">
        <f t="shared" si="17"/>
        <v>0</v>
      </c>
      <c r="J84" s="500">
        <f t="shared" si="18"/>
        <v>0</v>
      </c>
      <c r="K84" s="500">
        <f t="shared" si="19"/>
        <v>0</v>
      </c>
      <c r="L84" s="502">
        <f t="shared" si="20"/>
        <v>0</v>
      </c>
      <c r="M84" s="326">
        <f>L84*D84*VPI!Q84</f>
        <v>0</v>
      </c>
    </row>
    <row r="85" spans="1:13" x14ac:dyDescent="0.25">
      <c r="A85" s="170">
        <f>Données!A85</f>
        <v>5537</v>
      </c>
      <c r="B85" s="27" t="str">
        <f>Données!B85</f>
        <v>Villars-le-Terroir</v>
      </c>
      <c r="C85" s="377">
        <f>VPI!R85</f>
        <v>39164.122763157902</v>
      </c>
      <c r="D85" s="27">
        <f>Données!Z85</f>
        <v>1310</v>
      </c>
      <c r="E85" s="115">
        <f t="shared" si="13"/>
        <v>29.896276918441146</v>
      </c>
      <c r="F85" s="203">
        <f t="shared" si="14"/>
        <v>0.61715951660423529</v>
      </c>
      <c r="G85" s="500">
        <f t="shared" si="15"/>
        <v>0</v>
      </c>
      <c r="H85" s="500">
        <f t="shared" si="16"/>
        <v>0</v>
      </c>
      <c r="I85" s="500">
        <f t="shared" si="17"/>
        <v>0</v>
      </c>
      <c r="J85" s="500">
        <f t="shared" si="18"/>
        <v>0</v>
      </c>
      <c r="K85" s="500">
        <f t="shared" si="19"/>
        <v>0</v>
      </c>
      <c r="L85" s="502">
        <f t="shared" si="20"/>
        <v>0</v>
      </c>
      <c r="M85" s="326">
        <f>L85*D85*VPI!Q85</f>
        <v>0</v>
      </c>
    </row>
    <row r="86" spans="1:13" x14ac:dyDescent="0.25">
      <c r="A86" s="170">
        <f>Données!A86</f>
        <v>5539</v>
      </c>
      <c r="B86" s="27" t="str">
        <f>Données!B86</f>
        <v>Vuarrens</v>
      </c>
      <c r="C86" s="377">
        <f>VPI!R86</f>
        <v>34442.458945578233</v>
      </c>
      <c r="D86" s="27">
        <f>Données!Z86</f>
        <v>1106</v>
      </c>
      <c r="E86" s="115">
        <f t="shared" si="13"/>
        <v>31.141463784428783</v>
      </c>
      <c r="F86" s="203">
        <f t="shared" si="14"/>
        <v>0.64286435357745875</v>
      </c>
      <c r="G86" s="500">
        <f t="shared" si="15"/>
        <v>0</v>
      </c>
      <c r="H86" s="500">
        <f t="shared" si="16"/>
        <v>0</v>
      </c>
      <c r="I86" s="500">
        <f t="shared" si="17"/>
        <v>0</v>
      </c>
      <c r="J86" s="500">
        <f t="shared" si="18"/>
        <v>0</v>
      </c>
      <c r="K86" s="500">
        <f t="shared" si="19"/>
        <v>0</v>
      </c>
      <c r="L86" s="502">
        <f t="shared" si="20"/>
        <v>0</v>
      </c>
      <c r="M86" s="326">
        <f>L86*D86*VPI!Q86</f>
        <v>0</v>
      </c>
    </row>
    <row r="87" spans="1:13" x14ac:dyDescent="0.25">
      <c r="A87" s="170">
        <f>Données!A87</f>
        <v>5540</v>
      </c>
      <c r="B87" s="27" t="str">
        <f>Données!B87</f>
        <v>Montilliez</v>
      </c>
      <c r="C87" s="377">
        <f>VPI!R87</f>
        <v>67464.467689655183</v>
      </c>
      <c r="D87" s="27">
        <f>Données!Z87</f>
        <v>1895</v>
      </c>
      <c r="E87" s="115">
        <f t="shared" si="13"/>
        <v>35.601302210899831</v>
      </c>
      <c r="F87" s="203">
        <f t="shared" si="14"/>
        <v>0.73493039025897156</v>
      </c>
      <c r="G87" s="500">
        <f t="shared" si="15"/>
        <v>0</v>
      </c>
      <c r="H87" s="500">
        <f t="shared" si="16"/>
        <v>0</v>
      </c>
      <c r="I87" s="500">
        <f t="shared" si="17"/>
        <v>0</v>
      </c>
      <c r="J87" s="500">
        <f t="shared" si="18"/>
        <v>0</v>
      </c>
      <c r="K87" s="500">
        <f t="shared" si="19"/>
        <v>0</v>
      </c>
      <c r="L87" s="502">
        <f t="shared" si="20"/>
        <v>0</v>
      </c>
      <c r="M87" s="326">
        <f>L87*D87*VPI!Q87</f>
        <v>0</v>
      </c>
    </row>
    <row r="88" spans="1:13" x14ac:dyDescent="0.25">
      <c r="A88" s="170">
        <f>Données!A88</f>
        <v>5541</v>
      </c>
      <c r="B88" s="27" t="str">
        <f>Données!B88</f>
        <v>Goumoëns</v>
      </c>
      <c r="C88" s="377">
        <f>VPI!R88</f>
        <v>41726.211258278148</v>
      </c>
      <c r="D88" s="27">
        <f>Données!Z88</f>
        <v>1175</v>
      </c>
      <c r="E88" s="115">
        <f t="shared" si="13"/>
        <v>35.511669155981402</v>
      </c>
      <c r="F88" s="203">
        <f t="shared" si="14"/>
        <v>0.73308006310967033</v>
      </c>
      <c r="G88" s="500">
        <f t="shared" si="15"/>
        <v>0</v>
      </c>
      <c r="H88" s="500">
        <f t="shared" si="16"/>
        <v>0</v>
      </c>
      <c r="I88" s="500">
        <f t="shared" si="17"/>
        <v>0</v>
      </c>
      <c r="J88" s="500">
        <f t="shared" si="18"/>
        <v>0</v>
      </c>
      <c r="K88" s="500">
        <f t="shared" si="19"/>
        <v>0</v>
      </c>
      <c r="L88" s="502">
        <f t="shared" si="20"/>
        <v>0</v>
      </c>
      <c r="M88" s="326">
        <f>L88*D88*VPI!Q88</f>
        <v>0</v>
      </c>
    </row>
    <row r="89" spans="1:13" x14ac:dyDescent="0.25">
      <c r="A89" s="170">
        <f>Données!A89</f>
        <v>5551</v>
      </c>
      <c r="B89" s="27" t="str">
        <f>Données!B89</f>
        <v>Bonvillars</v>
      </c>
      <c r="C89" s="377">
        <f>VPI!R89</f>
        <v>18575.023035714283</v>
      </c>
      <c r="D89" s="27">
        <f>Données!Z89</f>
        <v>501</v>
      </c>
      <c r="E89" s="115">
        <f t="shared" si="13"/>
        <v>37.075894282862841</v>
      </c>
      <c r="F89" s="203">
        <f t="shared" si="14"/>
        <v>0.76537092079071045</v>
      </c>
      <c r="G89" s="500">
        <f t="shared" si="15"/>
        <v>0</v>
      </c>
      <c r="H89" s="500">
        <f t="shared" si="16"/>
        <v>0</v>
      </c>
      <c r="I89" s="500">
        <f t="shared" si="17"/>
        <v>0</v>
      </c>
      <c r="J89" s="500">
        <f t="shared" si="18"/>
        <v>0</v>
      </c>
      <c r="K89" s="500">
        <f t="shared" si="19"/>
        <v>0</v>
      </c>
      <c r="L89" s="502">
        <f t="shared" si="20"/>
        <v>0</v>
      </c>
      <c r="M89" s="326">
        <f>L89*D89*VPI!Q89</f>
        <v>0</v>
      </c>
    </row>
    <row r="90" spans="1:13" x14ac:dyDescent="0.25">
      <c r="A90" s="170">
        <f>Données!A90</f>
        <v>5552</v>
      </c>
      <c r="B90" s="27" t="str">
        <f>Données!B90</f>
        <v>Bullet</v>
      </c>
      <c r="C90" s="377">
        <f>VPI!R90</f>
        <v>19038.952167832165</v>
      </c>
      <c r="D90" s="27">
        <f>Données!Z90</f>
        <v>651</v>
      </c>
      <c r="E90" s="115">
        <f t="shared" si="13"/>
        <v>29.24570225473451</v>
      </c>
      <c r="F90" s="203">
        <f t="shared" si="14"/>
        <v>0.60372947158346268</v>
      </c>
      <c r="G90" s="500">
        <f t="shared" si="15"/>
        <v>0</v>
      </c>
      <c r="H90" s="500">
        <f t="shared" si="16"/>
        <v>0</v>
      </c>
      <c r="I90" s="500">
        <f t="shared" si="17"/>
        <v>0</v>
      </c>
      <c r="J90" s="500">
        <f t="shared" si="18"/>
        <v>0</v>
      </c>
      <c r="K90" s="500">
        <f t="shared" si="19"/>
        <v>0</v>
      </c>
      <c r="L90" s="502">
        <f t="shared" si="20"/>
        <v>0</v>
      </c>
      <c r="M90" s="326">
        <f>L90*D90*VPI!Q90</f>
        <v>0</v>
      </c>
    </row>
    <row r="91" spans="1:13" x14ac:dyDescent="0.25">
      <c r="A91" s="170">
        <f>Données!A91</f>
        <v>5553</v>
      </c>
      <c r="B91" s="27" t="str">
        <f>Données!B91</f>
        <v>Champagne</v>
      </c>
      <c r="C91" s="377">
        <f>VPI!R91</f>
        <v>38263.796923076923</v>
      </c>
      <c r="D91" s="27">
        <f>Données!Z91</f>
        <v>1077</v>
      </c>
      <c r="E91" s="115">
        <f t="shared" si="13"/>
        <v>35.528130847796589</v>
      </c>
      <c r="F91" s="203">
        <f t="shared" si="14"/>
        <v>0.73341988769019795</v>
      </c>
      <c r="G91" s="500">
        <f t="shared" si="15"/>
        <v>0</v>
      </c>
      <c r="H91" s="500">
        <f t="shared" si="16"/>
        <v>0</v>
      </c>
      <c r="I91" s="500">
        <f t="shared" si="17"/>
        <v>0</v>
      </c>
      <c r="J91" s="500">
        <f t="shared" si="18"/>
        <v>0</v>
      </c>
      <c r="K91" s="500">
        <f t="shared" si="19"/>
        <v>0</v>
      </c>
      <c r="L91" s="502">
        <f t="shared" si="20"/>
        <v>0</v>
      </c>
      <c r="M91" s="326">
        <f>L91*D91*VPI!Q91</f>
        <v>0</v>
      </c>
    </row>
    <row r="92" spans="1:13" x14ac:dyDescent="0.25">
      <c r="A92" s="170">
        <f>Données!A92</f>
        <v>5554</v>
      </c>
      <c r="B92" s="27" t="str">
        <f>Données!B92</f>
        <v>Concise</v>
      </c>
      <c r="C92" s="377">
        <f>VPI!R92</f>
        <v>33907.166000000005</v>
      </c>
      <c r="D92" s="27">
        <f>Données!Z92</f>
        <v>1002</v>
      </c>
      <c r="E92" s="115">
        <f t="shared" si="13"/>
        <v>33.83948702594811</v>
      </c>
      <c r="F92" s="203">
        <f t="shared" si="14"/>
        <v>0.69856061047478357</v>
      </c>
      <c r="G92" s="500">
        <f t="shared" si="15"/>
        <v>0</v>
      </c>
      <c r="H92" s="500">
        <f t="shared" si="16"/>
        <v>0</v>
      </c>
      <c r="I92" s="500">
        <f t="shared" si="17"/>
        <v>0</v>
      </c>
      <c r="J92" s="500">
        <f t="shared" si="18"/>
        <v>0</v>
      </c>
      <c r="K92" s="500">
        <f t="shared" si="19"/>
        <v>0</v>
      </c>
      <c r="L92" s="502">
        <f t="shared" si="20"/>
        <v>0</v>
      </c>
      <c r="M92" s="326">
        <f>L92*D92*VPI!Q92</f>
        <v>0</v>
      </c>
    </row>
    <row r="93" spans="1:13" x14ac:dyDescent="0.25">
      <c r="A93" s="170">
        <f>Données!A93</f>
        <v>5555</v>
      </c>
      <c r="B93" s="27" t="str">
        <f>Données!B93</f>
        <v>Corcelles-près-Concise</v>
      </c>
      <c r="C93" s="377">
        <f>VPI!R93</f>
        <v>13425.201594202899</v>
      </c>
      <c r="D93" s="27">
        <f>Données!Z93</f>
        <v>412</v>
      </c>
      <c r="E93" s="115">
        <f t="shared" si="13"/>
        <v>32.585440762628394</v>
      </c>
      <c r="F93" s="203">
        <f t="shared" si="14"/>
        <v>0.6726728857998644</v>
      </c>
      <c r="G93" s="500">
        <f t="shared" si="15"/>
        <v>0</v>
      </c>
      <c r="H93" s="500">
        <f t="shared" si="16"/>
        <v>0</v>
      </c>
      <c r="I93" s="500">
        <f t="shared" si="17"/>
        <v>0</v>
      </c>
      <c r="J93" s="500">
        <f t="shared" si="18"/>
        <v>0</v>
      </c>
      <c r="K93" s="500">
        <f t="shared" si="19"/>
        <v>0</v>
      </c>
      <c r="L93" s="502">
        <f t="shared" si="20"/>
        <v>0</v>
      </c>
      <c r="M93" s="326">
        <f>L93*D93*VPI!Q93</f>
        <v>0</v>
      </c>
    </row>
    <row r="94" spans="1:13" x14ac:dyDescent="0.25">
      <c r="A94" s="170">
        <f>Données!A94</f>
        <v>5556</v>
      </c>
      <c r="B94" s="27" t="str">
        <f>Données!B94</f>
        <v>Fiez</v>
      </c>
      <c r="C94" s="377">
        <f>VPI!R94</f>
        <v>13304.241787439612</v>
      </c>
      <c r="D94" s="27">
        <f>Données!Z94</f>
        <v>436</v>
      </c>
      <c r="E94" s="115">
        <f t="shared" si="13"/>
        <v>30.514316026237644</v>
      </c>
      <c r="F94" s="203">
        <f t="shared" si="14"/>
        <v>0.62991791853002566</v>
      </c>
      <c r="G94" s="500">
        <f t="shared" si="15"/>
        <v>0</v>
      </c>
      <c r="H94" s="500">
        <f t="shared" si="16"/>
        <v>0</v>
      </c>
      <c r="I94" s="500">
        <f t="shared" si="17"/>
        <v>0</v>
      </c>
      <c r="J94" s="500">
        <f t="shared" si="18"/>
        <v>0</v>
      </c>
      <c r="K94" s="500">
        <f t="shared" si="19"/>
        <v>0</v>
      </c>
      <c r="L94" s="502">
        <f t="shared" si="20"/>
        <v>0</v>
      </c>
      <c r="M94" s="326">
        <f>L94*D94*VPI!Q94</f>
        <v>0</v>
      </c>
    </row>
    <row r="95" spans="1:13" x14ac:dyDescent="0.25">
      <c r="A95" s="170">
        <f>Données!A95</f>
        <v>5557</v>
      </c>
      <c r="B95" s="27" t="str">
        <f>Données!B95</f>
        <v>Fontaines-sur-Grandson</v>
      </c>
      <c r="C95" s="377">
        <f>VPI!R95</f>
        <v>5098.7534782608691</v>
      </c>
      <c r="D95" s="27">
        <f>Données!Z95</f>
        <v>214</v>
      </c>
      <c r="E95" s="115">
        <f t="shared" si="13"/>
        <v>23.825950832994714</v>
      </c>
      <c r="F95" s="203">
        <f t="shared" si="14"/>
        <v>0.49184760827717183</v>
      </c>
      <c r="G95" s="500">
        <f t="shared" si="15"/>
        <v>0</v>
      </c>
      <c r="H95" s="500">
        <f t="shared" si="16"/>
        <v>0</v>
      </c>
      <c r="I95" s="500">
        <f t="shared" si="17"/>
        <v>0</v>
      </c>
      <c r="J95" s="500">
        <f t="shared" si="18"/>
        <v>0</v>
      </c>
      <c r="K95" s="500">
        <f t="shared" si="19"/>
        <v>0</v>
      </c>
      <c r="L95" s="502">
        <f t="shared" si="20"/>
        <v>0</v>
      </c>
      <c r="M95" s="326">
        <f>L95*D95*VPI!Q95</f>
        <v>0</v>
      </c>
    </row>
    <row r="96" spans="1:13" x14ac:dyDescent="0.25">
      <c r="A96" s="170">
        <f>Données!A96</f>
        <v>5559</v>
      </c>
      <c r="B96" s="27" t="str">
        <f>Données!B96</f>
        <v>Giez</v>
      </c>
      <c r="C96" s="377">
        <f>VPI!R96</f>
        <v>21011.030606060605</v>
      </c>
      <c r="D96" s="27">
        <f>Données!Z96</f>
        <v>450</v>
      </c>
      <c r="E96" s="115">
        <f t="shared" si="13"/>
        <v>46.691179124579122</v>
      </c>
      <c r="F96" s="203">
        <f t="shared" si="14"/>
        <v>0.96386267817957894</v>
      </c>
      <c r="G96" s="500">
        <f t="shared" si="15"/>
        <v>0</v>
      </c>
      <c r="H96" s="500">
        <f t="shared" si="16"/>
        <v>0</v>
      </c>
      <c r="I96" s="500">
        <f t="shared" si="17"/>
        <v>0</v>
      </c>
      <c r="J96" s="500">
        <f t="shared" si="18"/>
        <v>0</v>
      </c>
      <c r="K96" s="500">
        <f t="shared" si="19"/>
        <v>0</v>
      </c>
      <c r="L96" s="502">
        <f t="shared" si="20"/>
        <v>0</v>
      </c>
      <c r="M96" s="326">
        <f>L96*D96*VPI!Q96</f>
        <v>0</v>
      </c>
    </row>
    <row r="97" spans="1:13" x14ac:dyDescent="0.25">
      <c r="A97" s="170">
        <f>Données!A97</f>
        <v>5560</v>
      </c>
      <c r="B97" s="27" t="str">
        <f>Données!B97</f>
        <v>Grandevent</v>
      </c>
      <c r="C97" s="377">
        <f>VPI!R97</f>
        <v>8996.1449295774655</v>
      </c>
      <c r="D97" s="27">
        <f>Données!Z97</f>
        <v>237</v>
      </c>
      <c r="E97" s="115">
        <f t="shared" si="13"/>
        <v>37.958417424377494</v>
      </c>
      <c r="F97" s="203">
        <f t="shared" si="14"/>
        <v>0.78358916103832033</v>
      </c>
      <c r="G97" s="500">
        <f t="shared" si="15"/>
        <v>0</v>
      </c>
      <c r="H97" s="500">
        <f t="shared" si="16"/>
        <v>0</v>
      </c>
      <c r="I97" s="500">
        <f t="shared" si="17"/>
        <v>0</v>
      </c>
      <c r="J97" s="500">
        <f t="shared" si="18"/>
        <v>0</v>
      </c>
      <c r="K97" s="500">
        <f t="shared" si="19"/>
        <v>0</v>
      </c>
      <c r="L97" s="502">
        <f t="shared" si="20"/>
        <v>0</v>
      </c>
      <c r="M97" s="326">
        <f>L97*D97*VPI!Q97</f>
        <v>0</v>
      </c>
    </row>
    <row r="98" spans="1:13" x14ac:dyDescent="0.25">
      <c r="A98" s="170">
        <f>Données!A98</f>
        <v>5561</v>
      </c>
      <c r="B98" s="27" t="str">
        <f>Données!B98</f>
        <v>Grandson</v>
      </c>
      <c r="C98" s="377">
        <f>VPI!R98</f>
        <v>132376.08594202899</v>
      </c>
      <c r="D98" s="27">
        <f>Données!Z98</f>
        <v>3359</v>
      </c>
      <c r="E98" s="115">
        <f t="shared" si="13"/>
        <v>39.409373605843705</v>
      </c>
      <c r="F98" s="203">
        <f t="shared" si="14"/>
        <v>0.81354176744514861</v>
      </c>
      <c r="G98" s="500">
        <f t="shared" si="15"/>
        <v>0</v>
      </c>
      <c r="H98" s="500">
        <f t="shared" si="16"/>
        <v>0</v>
      </c>
      <c r="I98" s="500">
        <f t="shared" si="17"/>
        <v>0</v>
      </c>
      <c r="J98" s="500">
        <f t="shared" si="18"/>
        <v>0</v>
      </c>
      <c r="K98" s="500">
        <f t="shared" si="19"/>
        <v>0</v>
      </c>
      <c r="L98" s="502">
        <f t="shared" si="20"/>
        <v>0</v>
      </c>
      <c r="M98" s="326">
        <f>L98*D98*VPI!Q98</f>
        <v>0</v>
      </c>
    </row>
    <row r="99" spans="1:13" x14ac:dyDescent="0.25">
      <c r="A99" s="170">
        <f>Données!A99</f>
        <v>5562</v>
      </c>
      <c r="B99" s="27" t="str">
        <f>Données!B99</f>
        <v>Mauborget</v>
      </c>
      <c r="C99" s="377">
        <f>VPI!R99</f>
        <v>4559.8505476190467</v>
      </c>
      <c r="D99" s="27">
        <f>Données!Z99</f>
        <v>138</v>
      </c>
      <c r="E99" s="115">
        <f t="shared" si="13"/>
        <v>33.042395272601787</v>
      </c>
      <c r="F99" s="203">
        <f t="shared" si="14"/>
        <v>0.68210596086986919</v>
      </c>
      <c r="G99" s="500">
        <f t="shared" si="15"/>
        <v>0</v>
      </c>
      <c r="H99" s="500">
        <f t="shared" si="16"/>
        <v>0</v>
      </c>
      <c r="I99" s="500">
        <f t="shared" si="17"/>
        <v>0</v>
      </c>
      <c r="J99" s="500">
        <f t="shared" si="18"/>
        <v>0</v>
      </c>
      <c r="K99" s="500">
        <f t="shared" si="19"/>
        <v>0</v>
      </c>
      <c r="L99" s="502">
        <f t="shared" si="20"/>
        <v>0</v>
      </c>
      <c r="M99" s="326">
        <f>L99*D99*VPI!Q99</f>
        <v>0</v>
      </c>
    </row>
    <row r="100" spans="1:13" x14ac:dyDescent="0.25">
      <c r="A100" s="170">
        <f>Données!A100</f>
        <v>5563</v>
      </c>
      <c r="B100" s="27" t="str">
        <f>Données!B100</f>
        <v>Mutrux</v>
      </c>
      <c r="C100" s="377">
        <f>VPI!R100</f>
        <v>2282.3142499999999</v>
      </c>
      <c r="D100" s="27">
        <f>Données!Z100</f>
        <v>151</v>
      </c>
      <c r="E100" s="115">
        <f t="shared" si="13"/>
        <v>15.114663907284768</v>
      </c>
      <c r="F100" s="203">
        <f t="shared" si="14"/>
        <v>0.3120174025716691</v>
      </c>
      <c r="G100" s="500">
        <f t="shared" si="15"/>
        <v>0</v>
      </c>
      <c r="H100" s="500">
        <f t="shared" si="16"/>
        <v>0</v>
      </c>
      <c r="I100" s="500">
        <f t="shared" si="17"/>
        <v>0</v>
      </c>
      <c r="J100" s="500">
        <f t="shared" si="18"/>
        <v>0</v>
      </c>
      <c r="K100" s="500">
        <f t="shared" si="19"/>
        <v>0</v>
      </c>
      <c r="L100" s="502">
        <f t="shared" si="20"/>
        <v>0</v>
      </c>
      <c r="M100" s="326">
        <f>L100*D100*VPI!Q100</f>
        <v>0</v>
      </c>
    </row>
    <row r="101" spans="1:13" x14ac:dyDescent="0.25">
      <c r="A101" s="170">
        <f>Données!A101</f>
        <v>5564</v>
      </c>
      <c r="B101" s="27" t="str">
        <f>Données!B101</f>
        <v>Novalles</v>
      </c>
      <c r="C101" s="377">
        <f>VPI!R101</f>
        <v>2548.8725328947371</v>
      </c>
      <c r="D101" s="27">
        <f>Données!Z101</f>
        <v>99</v>
      </c>
      <c r="E101" s="115">
        <f t="shared" si="13"/>
        <v>25.746187200956939</v>
      </c>
      <c r="F101" s="203">
        <f t="shared" si="14"/>
        <v>0.53148773309440056</v>
      </c>
      <c r="G101" s="500">
        <f t="shared" si="15"/>
        <v>0</v>
      </c>
      <c r="H101" s="500">
        <f t="shared" si="16"/>
        <v>0</v>
      </c>
      <c r="I101" s="500">
        <f t="shared" si="17"/>
        <v>0</v>
      </c>
      <c r="J101" s="500">
        <f t="shared" si="18"/>
        <v>0</v>
      </c>
      <c r="K101" s="500">
        <f t="shared" si="19"/>
        <v>0</v>
      </c>
      <c r="L101" s="502">
        <f t="shared" si="20"/>
        <v>0</v>
      </c>
      <c r="M101" s="326">
        <f>L101*D101*VPI!Q101</f>
        <v>0</v>
      </c>
    </row>
    <row r="102" spans="1:13" x14ac:dyDescent="0.25">
      <c r="A102" s="170">
        <f>Données!A102</f>
        <v>5565</v>
      </c>
      <c r="B102" s="27" t="str">
        <f>Données!B102</f>
        <v>Onnens</v>
      </c>
      <c r="C102" s="377">
        <f>VPI!R102</f>
        <v>11658.700944881888</v>
      </c>
      <c r="D102" s="27">
        <f>Données!Z102</f>
        <v>496</v>
      </c>
      <c r="E102" s="115">
        <f t="shared" si="13"/>
        <v>23.505445453390902</v>
      </c>
      <c r="F102" s="203">
        <f t="shared" si="14"/>
        <v>0.48523130131410203</v>
      </c>
      <c r="G102" s="500">
        <f t="shared" si="15"/>
        <v>0</v>
      </c>
      <c r="H102" s="500">
        <f t="shared" si="16"/>
        <v>0</v>
      </c>
      <c r="I102" s="500">
        <f t="shared" si="17"/>
        <v>0</v>
      </c>
      <c r="J102" s="500">
        <f t="shared" si="18"/>
        <v>0</v>
      </c>
      <c r="K102" s="500">
        <f t="shared" si="19"/>
        <v>0</v>
      </c>
      <c r="L102" s="502">
        <f t="shared" si="20"/>
        <v>0</v>
      </c>
      <c r="M102" s="326">
        <f>L102*D102*VPI!Q102</f>
        <v>0</v>
      </c>
    </row>
    <row r="103" spans="1:13" x14ac:dyDescent="0.25">
      <c r="A103" s="170">
        <f>Données!A103</f>
        <v>5566</v>
      </c>
      <c r="B103" s="27" t="str">
        <f>Données!B103</f>
        <v>Provence</v>
      </c>
      <c r="C103" s="377">
        <f>VPI!R103</f>
        <v>8528.9197942386818</v>
      </c>
      <c r="D103" s="27">
        <f>Données!Z103</f>
        <v>403</v>
      </c>
      <c r="E103" s="115">
        <f t="shared" si="13"/>
        <v>21.163572690418565</v>
      </c>
      <c r="F103" s="203">
        <f t="shared" si="14"/>
        <v>0.43688718588168474</v>
      </c>
      <c r="G103" s="500">
        <f t="shared" si="15"/>
        <v>0</v>
      </c>
      <c r="H103" s="500">
        <f t="shared" si="16"/>
        <v>0</v>
      </c>
      <c r="I103" s="500">
        <f t="shared" si="17"/>
        <v>0</v>
      </c>
      <c r="J103" s="500">
        <f t="shared" si="18"/>
        <v>0</v>
      </c>
      <c r="K103" s="500">
        <f t="shared" si="19"/>
        <v>0</v>
      </c>
      <c r="L103" s="502">
        <f t="shared" si="20"/>
        <v>0</v>
      </c>
      <c r="M103" s="326">
        <f>L103*D103*VPI!Q103</f>
        <v>0</v>
      </c>
    </row>
    <row r="104" spans="1:13" x14ac:dyDescent="0.25">
      <c r="A104" s="170">
        <f>Données!A104</f>
        <v>5568</v>
      </c>
      <c r="B104" s="27" t="str">
        <f>Données!B104</f>
        <v>Sainte-Croix</v>
      </c>
      <c r="C104" s="377">
        <f>VPI!R104</f>
        <v>106004.96942857141</v>
      </c>
      <c r="D104" s="27">
        <f>Données!Z104</f>
        <v>4869</v>
      </c>
      <c r="E104" s="115">
        <f t="shared" si="13"/>
        <v>21.771404688554409</v>
      </c>
      <c r="F104" s="203">
        <f t="shared" si="14"/>
        <v>0.44943487879908306</v>
      </c>
      <c r="G104" s="500">
        <f t="shared" si="15"/>
        <v>0</v>
      </c>
      <c r="H104" s="500">
        <f t="shared" si="16"/>
        <v>0</v>
      </c>
      <c r="I104" s="500">
        <f t="shared" si="17"/>
        <v>0</v>
      </c>
      <c r="J104" s="500">
        <f t="shared" si="18"/>
        <v>0</v>
      </c>
      <c r="K104" s="500">
        <f t="shared" si="19"/>
        <v>0</v>
      </c>
      <c r="L104" s="502">
        <f t="shared" si="20"/>
        <v>0</v>
      </c>
      <c r="M104" s="326">
        <f>L104*D104*VPI!Q104</f>
        <v>0</v>
      </c>
    </row>
    <row r="105" spans="1:13" x14ac:dyDescent="0.25">
      <c r="A105" s="170">
        <f>Données!A105</f>
        <v>5571</v>
      </c>
      <c r="B105" s="27" t="str">
        <f>Données!B105</f>
        <v>Tévenon</v>
      </c>
      <c r="C105" s="377">
        <f>VPI!R105</f>
        <v>25907.008578088578</v>
      </c>
      <c r="D105" s="27">
        <f>Données!Z105</f>
        <v>867</v>
      </c>
      <c r="E105" s="115">
        <f t="shared" si="13"/>
        <v>29.881209432628118</v>
      </c>
      <c r="F105" s="203">
        <f t="shared" si="14"/>
        <v>0.61684847311590474</v>
      </c>
      <c r="G105" s="500">
        <f t="shared" si="15"/>
        <v>0</v>
      </c>
      <c r="H105" s="500">
        <f t="shared" si="16"/>
        <v>0</v>
      </c>
      <c r="I105" s="500">
        <f t="shared" si="17"/>
        <v>0</v>
      </c>
      <c r="J105" s="500">
        <f t="shared" si="18"/>
        <v>0</v>
      </c>
      <c r="K105" s="500">
        <f t="shared" si="19"/>
        <v>0</v>
      </c>
      <c r="L105" s="502">
        <f t="shared" si="20"/>
        <v>0</v>
      </c>
      <c r="M105" s="326">
        <f>L105*D105*VPI!Q105</f>
        <v>0</v>
      </c>
    </row>
    <row r="106" spans="1:13" x14ac:dyDescent="0.25">
      <c r="A106" s="170">
        <f>Données!A106</f>
        <v>5581</v>
      </c>
      <c r="B106" s="27" t="str">
        <f>Données!B106</f>
        <v>Belmont-sur-Lausanne</v>
      </c>
      <c r="C106" s="377">
        <f>VPI!R106</f>
        <v>233711.86319444442</v>
      </c>
      <c r="D106" s="27">
        <f>Données!Z106</f>
        <v>3838</v>
      </c>
      <c r="E106" s="115">
        <f t="shared" si="13"/>
        <v>60.894180092351334</v>
      </c>
      <c r="F106" s="203">
        <f t="shared" si="14"/>
        <v>1.2570602972514335</v>
      </c>
      <c r="G106" s="500">
        <f t="shared" si="15"/>
        <v>12.452446449584428</v>
      </c>
      <c r="H106" s="500">
        <f t="shared" si="16"/>
        <v>2.7640997210310516</v>
      </c>
      <c r="I106" s="500">
        <f t="shared" si="17"/>
        <v>0</v>
      </c>
      <c r="J106" s="500">
        <f t="shared" si="18"/>
        <v>0</v>
      </c>
      <c r="K106" s="500">
        <f t="shared" si="19"/>
        <v>0</v>
      </c>
      <c r="L106" s="502">
        <f t="shared" si="20"/>
        <v>2.766899262019991</v>
      </c>
      <c r="M106" s="326">
        <f>L106*D106*VPI!Q106</f>
        <v>764593.87446955626</v>
      </c>
    </row>
    <row r="107" spans="1:13" x14ac:dyDescent="0.25">
      <c r="A107" s="170">
        <f>Données!A107</f>
        <v>5582</v>
      </c>
      <c r="B107" s="27" t="str">
        <f>Données!B107</f>
        <v>Cheseaux-sur-Lausanne</v>
      </c>
      <c r="C107" s="377">
        <f>VPI!R107</f>
        <v>170428.79082191776</v>
      </c>
      <c r="D107" s="27">
        <f>Données!Z107</f>
        <v>4527</v>
      </c>
      <c r="E107" s="115">
        <f t="shared" si="13"/>
        <v>37.647181537865642</v>
      </c>
      <c r="F107" s="203">
        <f t="shared" si="14"/>
        <v>0.77716420753011062</v>
      </c>
      <c r="G107" s="500">
        <f t="shared" si="15"/>
        <v>0</v>
      </c>
      <c r="H107" s="500">
        <f t="shared" si="16"/>
        <v>0</v>
      </c>
      <c r="I107" s="500">
        <f t="shared" si="17"/>
        <v>0</v>
      </c>
      <c r="J107" s="500">
        <f t="shared" si="18"/>
        <v>0</v>
      </c>
      <c r="K107" s="500">
        <f t="shared" si="19"/>
        <v>0</v>
      </c>
      <c r="L107" s="502">
        <f t="shared" si="20"/>
        <v>0</v>
      </c>
      <c r="M107" s="326">
        <f>L107*D107*VPI!Q107</f>
        <v>0</v>
      </c>
    </row>
    <row r="108" spans="1:13" x14ac:dyDescent="0.25">
      <c r="A108" s="170">
        <f>Données!A108</f>
        <v>5583</v>
      </c>
      <c r="B108" s="27" t="str">
        <f>Données!B108</f>
        <v>Crissier</v>
      </c>
      <c r="C108" s="377">
        <f>VPI!R108</f>
        <v>340496.54456692917</v>
      </c>
      <c r="D108" s="27">
        <f>Données!Z108</f>
        <v>9165</v>
      </c>
      <c r="E108" s="115">
        <f t="shared" si="13"/>
        <v>37.151832467750047</v>
      </c>
      <c r="F108" s="203">
        <f t="shared" si="14"/>
        <v>0.7669385398492522</v>
      </c>
      <c r="G108" s="500">
        <f t="shared" si="15"/>
        <v>0</v>
      </c>
      <c r="H108" s="500">
        <f t="shared" si="16"/>
        <v>0</v>
      </c>
      <c r="I108" s="500">
        <f t="shared" si="17"/>
        <v>0</v>
      </c>
      <c r="J108" s="500">
        <f t="shared" si="18"/>
        <v>0</v>
      </c>
      <c r="K108" s="500">
        <f t="shared" si="19"/>
        <v>0</v>
      </c>
      <c r="L108" s="502">
        <f t="shared" si="20"/>
        <v>0</v>
      </c>
      <c r="M108" s="326">
        <f>L108*D108*VPI!Q108</f>
        <v>0</v>
      </c>
    </row>
    <row r="109" spans="1:13" x14ac:dyDescent="0.25">
      <c r="A109" s="170">
        <f>Données!A109</f>
        <v>5584</v>
      </c>
      <c r="B109" s="27" t="str">
        <f>Données!B109</f>
        <v>Epalinges</v>
      </c>
      <c r="C109" s="377">
        <f>VPI!R109</f>
        <v>489766.22341085278</v>
      </c>
      <c r="D109" s="27">
        <f>Données!Z109</f>
        <v>9828</v>
      </c>
      <c r="E109" s="115">
        <f t="shared" si="13"/>
        <v>49.833763065817337</v>
      </c>
      <c r="F109" s="203">
        <f t="shared" si="14"/>
        <v>1.0287361602975635</v>
      </c>
      <c r="G109" s="500">
        <f t="shared" si="15"/>
        <v>1.3920294230504311</v>
      </c>
      <c r="H109" s="500">
        <f t="shared" si="16"/>
        <v>0</v>
      </c>
      <c r="I109" s="500">
        <f t="shared" si="17"/>
        <v>0</v>
      </c>
      <c r="J109" s="500">
        <f t="shared" si="18"/>
        <v>0</v>
      </c>
      <c r="K109" s="500">
        <f t="shared" si="19"/>
        <v>0</v>
      </c>
      <c r="L109" s="502">
        <f t="shared" si="20"/>
        <v>0.27840588461008625</v>
      </c>
      <c r="M109" s="326">
        <f>L109*D109*VPI!Q109</f>
        <v>176483.16068964134</v>
      </c>
    </row>
    <row r="110" spans="1:13" x14ac:dyDescent="0.25">
      <c r="A110" s="170">
        <f>Données!A110</f>
        <v>5585</v>
      </c>
      <c r="B110" s="27" t="str">
        <f>Données!B110</f>
        <v>Jouxtens-Mézery</v>
      </c>
      <c r="C110" s="377">
        <f>VPI!R110</f>
        <v>252946.52254237281</v>
      </c>
      <c r="D110" s="27">
        <f>Données!Z110</f>
        <v>1469</v>
      </c>
      <c r="E110" s="115">
        <f t="shared" si="13"/>
        <v>172.18960009691818</v>
      </c>
      <c r="F110" s="203">
        <f t="shared" si="14"/>
        <v>3.5545713819147911</v>
      </c>
      <c r="G110" s="500">
        <f t="shared" si="15"/>
        <v>123.74786645415128</v>
      </c>
      <c r="H110" s="500">
        <f t="shared" si="16"/>
        <v>114.05951972559791</v>
      </c>
      <c r="I110" s="500">
        <f t="shared" si="17"/>
        <v>99.526999632767826</v>
      </c>
      <c r="J110" s="500">
        <f t="shared" si="18"/>
        <v>75.306132811384373</v>
      </c>
      <c r="K110" s="500">
        <f t="shared" si="19"/>
        <v>26.864399168617467</v>
      </c>
      <c r="L110" s="502">
        <f t="shared" si="20"/>
        <v>56.325278424667019</v>
      </c>
      <c r="M110" s="326">
        <f>L110*D110*VPI!Q110</f>
        <v>4881768.2063443149</v>
      </c>
    </row>
    <row r="111" spans="1:13" x14ac:dyDescent="0.25">
      <c r="A111" s="170">
        <f>Données!A111</f>
        <v>5586</v>
      </c>
      <c r="B111" s="27" t="str">
        <f>Données!B111</f>
        <v>Lausanne</v>
      </c>
      <c r="C111" s="377">
        <f>VPI!R111</f>
        <v>6671451.3923142245</v>
      </c>
      <c r="D111" s="27">
        <f>Données!Z111</f>
        <v>141616</v>
      </c>
      <c r="E111" s="115">
        <f t="shared" si="13"/>
        <v>47.109446618420407</v>
      </c>
      <c r="F111" s="203">
        <f t="shared" si="14"/>
        <v>0.97249712336533134</v>
      </c>
      <c r="G111" s="500">
        <f t="shared" si="15"/>
        <v>0</v>
      </c>
      <c r="H111" s="500">
        <f t="shared" si="16"/>
        <v>0</v>
      </c>
      <c r="I111" s="500">
        <f t="shared" si="17"/>
        <v>0</v>
      </c>
      <c r="J111" s="500">
        <f t="shared" si="18"/>
        <v>0</v>
      </c>
      <c r="K111" s="500">
        <f t="shared" si="19"/>
        <v>0</v>
      </c>
      <c r="L111" s="502">
        <f t="shared" si="20"/>
        <v>0</v>
      </c>
      <c r="M111" s="326">
        <f>L111*D111*VPI!Q111</f>
        <v>0</v>
      </c>
    </row>
    <row r="112" spans="1:13" x14ac:dyDescent="0.25">
      <c r="A112" s="170">
        <f>Données!A112</f>
        <v>5587</v>
      </c>
      <c r="B112" s="27" t="str">
        <f>Données!B112</f>
        <v>Le Mont-sur-Lausanne</v>
      </c>
      <c r="C112" s="377">
        <f>VPI!R112</f>
        <v>484050.33068027202</v>
      </c>
      <c r="D112" s="27">
        <f>Données!Z112</f>
        <v>9301</v>
      </c>
      <c r="E112" s="115">
        <f t="shared" si="13"/>
        <v>52.042826650926997</v>
      </c>
      <c r="F112" s="203">
        <f t="shared" si="14"/>
        <v>1.0743386484620125</v>
      </c>
      <c r="G112" s="500">
        <f t="shared" si="15"/>
        <v>3.6010930081600918</v>
      </c>
      <c r="H112" s="500">
        <f t="shared" si="16"/>
        <v>0</v>
      </c>
      <c r="I112" s="500">
        <f t="shared" si="17"/>
        <v>0</v>
      </c>
      <c r="J112" s="500">
        <f t="shared" si="18"/>
        <v>0</v>
      </c>
      <c r="K112" s="500">
        <f t="shared" si="19"/>
        <v>0</v>
      </c>
      <c r="L112" s="502">
        <f t="shared" si="20"/>
        <v>0.72021860163201845</v>
      </c>
      <c r="M112" s="326">
        <f>L112*D112*VPI!Q112</f>
        <v>492358.36121278611</v>
      </c>
    </row>
    <row r="113" spans="1:13" x14ac:dyDescent="0.25">
      <c r="A113" s="170">
        <f>Données!A113</f>
        <v>5588</v>
      </c>
      <c r="B113" s="27" t="str">
        <f>Données!B113</f>
        <v>Paudex</v>
      </c>
      <c r="C113" s="377">
        <f>VPI!R113</f>
        <v>137556.51114930178</v>
      </c>
      <c r="D113" s="27">
        <f>Données!Z113</f>
        <v>1549</v>
      </c>
      <c r="E113" s="115">
        <f t="shared" si="13"/>
        <v>88.803428760039878</v>
      </c>
      <c r="F113" s="203">
        <f t="shared" si="14"/>
        <v>1.8332008803590703</v>
      </c>
      <c r="G113" s="500">
        <f t="shared" si="15"/>
        <v>40.361695117272973</v>
      </c>
      <c r="H113" s="500">
        <f t="shared" si="16"/>
        <v>30.673348388719596</v>
      </c>
      <c r="I113" s="500">
        <f t="shared" si="17"/>
        <v>16.14082829588952</v>
      </c>
      <c r="J113" s="500">
        <f t="shared" si="18"/>
        <v>0</v>
      </c>
      <c r="K113" s="500">
        <f t="shared" si="19"/>
        <v>0</v>
      </c>
      <c r="L113" s="502">
        <f t="shared" si="20"/>
        <v>12.753756691915505</v>
      </c>
      <c r="M113" s="326">
        <f>L113*D113*VPI!Q113</f>
        <v>1313745.3461991784</v>
      </c>
    </row>
    <row r="114" spans="1:13" x14ac:dyDescent="0.25">
      <c r="A114" s="170">
        <f>Données!A114</f>
        <v>5589</v>
      </c>
      <c r="B114" s="27" t="str">
        <f>Données!B114</f>
        <v>Prilly</v>
      </c>
      <c r="C114" s="377">
        <f>VPI!R114</f>
        <v>404219.10002122016</v>
      </c>
      <c r="D114" s="27">
        <f>Données!Z114</f>
        <v>12323</v>
      </c>
      <c r="E114" s="115">
        <f t="shared" si="13"/>
        <v>32.802004383771823</v>
      </c>
      <c r="F114" s="203">
        <f t="shared" si="14"/>
        <v>0.67714348593858931</v>
      </c>
      <c r="G114" s="500">
        <f t="shared" si="15"/>
        <v>0</v>
      </c>
      <c r="H114" s="500">
        <f t="shared" si="16"/>
        <v>0</v>
      </c>
      <c r="I114" s="500">
        <f t="shared" si="17"/>
        <v>0</v>
      </c>
      <c r="J114" s="500">
        <f t="shared" si="18"/>
        <v>0</v>
      </c>
      <c r="K114" s="500">
        <f t="shared" si="19"/>
        <v>0</v>
      </c>
      <c r="L114" s="502">
        <f t="shared" si="20"/>
        <v>0</v>
      </c>
      <c r="M114" s="326">
        <f>L114*D114*VPI!Q114</f>
        <v>0</v>
      </c>
    </row>
    <row r="115" spans="1:13" x14ac:dyDescent="0.25">
      <c r="A115" s="170">
        <f>Données!A115</f>
        <v>5590</v>
      </c>
      <c r="B115" s="27" t="str">
        <f>Données!B115</f>
        <v>Pully</v>
      </c>
      <c r="C115" s="377">
        <f>VPI!R115</f>
        <v>1396472.1616393442</v>
      </c>
      <c r="D115" s="27">
        <f>Données!Z115</f>
        <v>19014</v>
      </c>
      <c r="E115" s="115">
        <f t="shared" si="13"/>
        <v>73.44441788363018</v>
      </c>
      <c r="F115" s="203">
        <f t="shared" si="14"/>
        <v>1.5161393360783766</v>
      </c>
      <c r="G115" s="500">
        <f t="shared" si="15"/>
        <v>25.002684240863275</v>
      </c>
      <c r="H115" s="500">
        <f t="shared" si="16"/>
        <v>15.314337512309898</v>
      </c>
      <c r="I115" s="500">
        <f t="shared" si="17"/>
        <v>0.78181741947982175</v>
      </c>
      <c r="J115" s="500">
        <f t="shared" si="18"/>
        <v>0</v>
      </c>
      <c r="K115" s="500">
        <f t="shared" si="19"/>
        <v>0</v>
      </c>
      <c r="L115" s="502">
        <f t="shared" si="20"/>
        <v>6.6101523413516272</v>
      </c>
      <c r="M115" s="326">
        <f>L115*D115*VPI!Q115</f>
        <v>7666811.6337260501</v>
      </c>
    </row>
    <row r="116" spans="1:13" x14ac:dyDescent="0.25">
      <c r="A116" s="170">
        <f>Données!A116</f>
        <v>5591</v>
      </c>
      <c r="B116" s="27" t="str">
        <f>Données!B116</f>
        <v>Renens</v>
      </c>
      <c r="C116" s="377">
        <f>VPI!R116</f>
        <v>592907.73419294995</v>
      </c>
      <c r="D116" s="27">
        <f>Données!Z116</f>
        <v>21128</v>
      </c>
      <c r="E116" s="115">
        <f t="shared" si="13"/>
        <v>28.062653076152497</v>
      </c>
      <c r="F116" s="203">
        <f t="shared" si="14"/>
        <v>0.57930736507285763</v>
      </c>
      <c r="G116" s="500">
        <f t="shared" si="15"/>
        <v>0</v>
      </c>
      <c r="H116" s="500">
        <f t="shared" si="16"/>
        <v>0</v>
      </c>
      <c r="I116" s="500">
        <f t="shared" si="17"/>
        <v>0</v>
      </c>
      <c r="J116" s="500">
        <f t="shared" si="18"/>
        <v>0</v>
      </c>
      <c r="K116" s="500">
        <f t="shared" si="19"/>
        <v>0</v>
      </c>
      <c r="L116" s="502">
        <f t="shared" si="20"/>
        <v>0</v>
      </c>
      <c r="M116" s="326">
        <f>L116*D116*VPI!Q116</f>
        <v>0</v>
      </c>
    </row>
    <row r="117" spans="1:13" x14ac:dyDescent="0.25">
      <c r="A117" s="170">
        <f>Données!A117</f>
        <v>5592</v>
      </c>
      <c r="B117" s="27" t="str">
        <f>Données!B117</f>
        <v>Romanel-sur-Lausanne</v>
      </c>
      <c r="C117" s="377">
        <f>VPI!R117</f>
        <v>113604.64354609928</v>
      </c>
      <c r="D117" s="27">
        <f>Données!Z117</f>
        <v>3796</v>
      </c>
      <c r="E117" s="115">
        <f t="shared" si="13"/>
        <v>29.927461418888115</v>
      </c>
      <c r="F117" s="203">
        <f t="shared" si="14"/>
        <v>0.61780326937900054</v>
      </c>
      <c r="G117" s="500">
        <f t="shared" si="15"/>
        <v>0</v>
      </c>
      <c r="H117" s="500">
        <f t="shared" si="16"/>
        <v>0</v>
      </c>
      <c r="I117" s="500">
        <f t="shared" si="17"/>
        <v>0</v>
      </c>
      <c r="J117" s="500">
        <f t="shared" si="18"/>
        <v>0</v>
      </c>
      <c r="K117" s="500">
        <f t="shared" si="19"/>
        <v>0</v>
      </c>
      <c r="L117" s="502">
        <f t="shared" si="20"/>
        <v>0</v>
      </c>
      <c r="M117" s="326">
        <f>L117*D117*VPI!Q117</f>
        <v>0</v>
      </c>
    </row>
    <row r="118" spans="1:13" x14ac:dyDescent="0.25">
      <c r="A118" s="170">
        <f>Données!A118</f>
        <v>5601</v>
      </c>
      <c r="B118" s="27" t="str">
        <f>Données!B118</f>
        <v>Chexbres</v>
      </c>
      <c r="C118" s="377">
        <f>VPI!R118</f>
        <v>106015.29511111112</v>
      </c>
      <c r="D118" s="27">
        <f>Données!Z118</f>
        <v>2207</v>
      </c>
      <c r="E118" s="115">
        <f t="shared" si="13"/>
        <v>48.035928913054427</v>
      </c>
      <c r="F118" s="203">
        <f t="shared" si="14"/>
        <v>0.99162282810303437</v>
      </c>
      <c r="G118" s="500">
        <f t="shared" si="15"/>
        <v>0</v>
      </c>
      <c r="H118" s="500">
        <f t="shared" si="16"/>
        <v>0</v>
      </c>
      <c r="I118" s="500">
        <f t="shared" si="17"/>
        <v>0</v>
      </c>
      <c r="J118" s="500">
        <f t="shared" si="18"/>
        <v>0</v>
      </c>
      <c r="K118" s="500">
        <f t="shared" si="19"/>
        <v>0</v>
      </c>
      <c r="L118" s="502">
        <f t="shared" si="20"/>
        <v>0</v>
      </c>
      <c r="M118" s="326">
        <f>L118*D118*VPI!Q118</f>
        <v>0</v>
      </c>
    </row>
    <row r="119" spans="1:13" x14ac:dyDescent="0.25">
      <c r="A119" s="170">
        <f>Données!A119</f>
        <v>5604</v>
      </c>
      <c r="B119" s="27" t="str">
        <f>Données!B119</f>
        <v>Forel (Lavaux)</v>
      </c>
      <c r="C119" s="377">
        <f>VPI!R119</f>
        <v>70961.315942029003</v>
      </c>
      <c r="D119" s="27">
        <f>Données!Z119</f>
        <v>2071</v>
      </c>
      <c r="E119" s="115">
        <f t="shared" si="13"/>
        <v>34.264276167083054</v>
      </c>
      <c r="F119" s="203">
        <f t="shared" si="14"/>
        <v>0.70732968435367372</v>
      </c>
      <c r="G119" s="500">
        <f t="shared" si="15"/>
        <v>0</v>
      </c>
      <c r="H119" s="500">
        <f t="shared" si="16"/>
        <v>0</v>
      </c>
      <c r="I119" s="500">
        <f t="shared" si="17"/>
        <v>0</v>
      </c>
      <c r="J119" s="500">
        <f t="shared" si="18"/>
        <v>0</v>
      </c>
      <c r="K119" s="500">
        <f t="shared" si="19"/>
        <v>0</v>
      </c>
      <c r="L119" s="502">
        <f t="shared" si="20"/>
        <v>0</v>
      </c>
      <c r="M119" s="326">
        <f>L119*D119*VPI!Q119</f>
        <v>0</v>
      </c>
    </row>
    <row r="120" spans="1:13" x14ac:dyDescent="0.25">
      <c r="A120" s="170">
        <f>Données!A120</f>
        <v>5606</v>
      </c>
      <c r="B120" s="27" t="str">
        <f>Données!B120</f>
        <v>Lutry</v>
      </c>
      <c r="C120" s="377">
        <f>VPI!R120</f>
        <v>1212171.2253174603</v>
      </c>
      <c r="D120" s="27">
        <f>Données!Z120</f>
        <v>10718</v>
      </c>
      <c r="E120" s="115">
        <f t="shared" si="13"/>
        <v>113.096774147925</v>
      </c>
      <c r="F120" s="203">
        <f t="shared" si="14"/>
        <v>2.3346970812802876</v>
      </c>
      <c r="G120" s="500">
        <f t="shared" si="15"/>
        <v>64.655040505158098</v>
      </c>
      <c r="H120" s="500">
        <f t="shared" si="16"/>
        <v>54.966693776604721</v>
      </c>
      <c r="I120" s="500">
        <f t="shared" si="17"/>
        <v>40.434173683774645</v>
      </c>
      <c r="J120" s="500">
        <f t="shared" si="18"/>
        <v>16.213306862391192</v>
      </c>
      <c r="K120" s="500">
        <f t="shared" si="19"/>
        <v>0</v>
      </c>
      <c r="L120" s="502">
        <f t="shared" si="20"/>
        <v>24.092425533308678</v>
      </c>
      <c r="M120" s="326">
        <f>L120*D120*VPI!Q120</f>
        <v>13944021.31076413</v>
      </c>
    </row>
    <row r="121" spans="1:13" x14ac:dyDescent="0.25">
      <c r="A121" s="170">
        <f>Données!A121</f>
        <v>5607</v>
      </c>
      <c r="B121" s="27" t="str">
        <f>Données!B121</f>
        <v>Puidoux</v>
      </c>
      <c r="C121" s="377">
        <f>VPI!R121</f>
        <v>117496.04099650904</v>
      </c>
      <c r="D121" s="27">
        <f>Données!Z121</f>
        <v>2994</v>
      </c>
      <c r="E121" s="115">
        <f t="shared" si="13"/>
        <v>39.243834668172688</v>
      </c>
      <c r="F121" s="203">
        <f t="shared" si="14"/>
        <v>0.8101244880618016</v>
      </c>
      <c r="G121" s="500">
        <f t="shared" si="15"/>
        <v>0</v>
      </c>
      <c r="H121" s="500">
        <f t="shared" si="16"/>
        <v>0</v>
      </c>
      <c r="I121" s="500">
        <f t="shared" si="17"/>
        <v>0</v>
      </c>
      <c r="J121" s="500">
        <f t="shared" si="18"/>
        <v>0</v>
      </c>
      <c r="K121" s="500">
        <f t="shared" si="19"/>
        <v>0</v>
      </c>
      <c r="L121" s="502">
        <f t="shared" si="20"/>
        <v>0</v>
      </c>
      <c r="M121" s="326">
        <f>L121*D121*VPI!Q121</f>
        <v>0</v>
      </c>
    </row>
    <row r="122" spans="1:13" x14ac:dyDescent="0.25">
      <c r="A122" s="170">
        <f>Données!A122</f>
        <v>5609</v>
      </c>
      <c r="B122" s="27" t="str">
        <f>Données!B122</f>
        <v>Rivaz</v>
      </c>
      <c r="C122" s="377">
        <f>VPI!R122</f>
        <v>14930.201612903227</v>
      </c>
      <c r="D122" s="27">
        <f>Données!Z122</f>
        <v>332</v>
      </c>
      <c r="E122" s="115">
        <f t="shared" si="13"/>
        <v>44.970486785853097</v>
      </c>
      <c r="F122" s="203">
        <f t="shared" si="14"/>
        <v>0.92834181198979204</v>
      </c>
      <c r="G122" s="500">
        <f t="shared" si="15"/>
        <v>0</v>
      </c>
      <c r="H122" s="500">
        <f t="shared" si="16"/>
        <v>0</v>
      </c>
      <c r="I122" s="500">
        <f t="shared" si="17"/>
        <v>0</v>
      </c>
      <c r="J122" s="500">
        <f t="shared" si="18"/>
        <v>0</v>
      </c>
      <c r="K122" s="500">
        <f t="shared" si="19"/>
        <v>0</v>
      </c>
      <c r="L122" s="502">
        <f t="shared" si="20"/>
        <v>0</v>
      </c>
      <c r="M122" s="326">
        <f>L122*D122*VPI!Q122</f>
        <v>0</v>
      </c>
    </row>
    <row r="123" spans="1:13" x14ac:dyDescent="0.25">
      <c r="A123" s="170">
        <f>Données!A123</f>
        <v>5610</v>
      </c>
      <c r="B123" s="27" t="str">
        <f>Données!B123</f>
        <v>St-Saphorin (Lavaux)</v>
      </c>
      <c r="C123" s="377">
        <f>VPI!R123</f>
        <v>21326.679629629627</v>
      </c>
      <c r="D123" s="27">
        <f>Données!Z123</f>
        <v>402</v>
      </c>
      <c r="E123" s="115">
        <f t="shared" si="13"/>
        <v>53.051441864750316</v>
      </c>
      <c r="F123" s="203">
        <f t="shared" si="14"/>
        <v>1.0951598523698112</v>
      </c>
      <c r="G123" s="500">
        <f t="shared" si="15"/>
        <v>4.6097082219834107</v>
      </c>
      <c r="H123" s="500">
        <f t="shared" si="16"/>
        <v>0</v>
      </c>
      <c r="I123" s="500">
        <f t="shared" si="17"/>
        <v>0</v>
      </c>
      <c r="J123" s="500">
        <f t="shared" si="18"/>
        <v>0</v>
      </c>
      <c r="K123" s="500">
        <f t="shared" si="19"/>
        <v>0</v>
      </c>
      <c r="L123" s="502">
        <f t="shared" si="20"/>
        <v>0.92194164439668214</v>
      </c>
      <c r="M123" s="326">
        <f>L123*D123*VPI!Q123</f>
        <v>26684.678955417567</v>
      </c>
    </row>
    <row r="124" spans="1:13" x14ac:dyDescent="0.25">
      <c r="A124" s="170">
        <f>Données!A124</f>
        <v>5611</v>
      </c>
      <c r="B124" s="27" t="str">
        <f>Données!B124</f>
        <v>Savigny</v>
      </c>
      <c r="C124" s="377">
        <f>VPI!R124</f>
        <v>139629.67036231884</v>
      </c>
      <c r="D124" s="27">
        <f>Données!Z124</f>
        <v>3421</v>
      </c>
      <c r="E124" s="115">
        <f t="shared" si="13"/>
        <v>40.81545465136476</v>
      </c>
      <c r="F124" s="203">
        <f t="shared" si="14"/>
        <v>0.84256800040142932</v>
      </c>
      <c r="G124" s="500">
        <f t="shared" si="15"/>
        <v>0</v>
      </c>
      <c r="H124" s="500">
        <f t="shared" si="16"/>
        <v>0</v>
      </c>
      <c r="I124" s="500">
        <f t="shared" si="17"/>
        <v>0</v>
      </c>
      <c r="J124" s="500">
        <f t="shared" si="18"/>
        <v>0</v>
      </c>
      <c r="K124" s="500">
        <f t="shared" si="19"/>
        <v>0</v>
      </c>
      <c r="L124" s="502">
        <f t="shared" si="20"/>
        <v>0</v>
      </c>
      <c r="M124" s="326">
        <f>L124*D124*VPI!Q124</f>
        <v>0</v>
      </c>
    </row>
    <row r="125" spans="1:13" x14ac:dyDescent="0.25">
      <c r="A125" s="170">
        <f>Données!A125</f>
        <v>5613</v>
      </c>
      <c r="B125" s="27" t="str">
        <f>Données!B125</f>
        <v>Bourg-en-Lavaux</v>
      </c>
      <c r="C125" s="377">
        <f>VPI!R125</f>
        <v>367206.35685333336</v>
      </c>
      <c r="D125" s="27">
        <f>Données!Z125</f>
        <v>5394</v>
      </c>
      <c r="E125" s="115">
        <f t="shared" si="13"/>
        <v>68.076818104066248</v>
      </c>
      <c r="F125" s="203">
        <f t="shared" si="14"/>
        <v>1.4053340577382734</v>
      </c>
      <c r="G125" s="500">
        <f t="shared" si="15"/>
        <v>19.635084461299343</v>
      </c>
      <c r="H125" s="500">
        <f t="shared" si="16"/>
        <v>9.9467377327459658</v>
      </c>
      <c r="I125" s="500">
        <f t="shared" si="17"/>
        <v>0</v>
      </c>
      <c r="J125" s="500">
        <f t="shared" si="18"/>
        <v>0</v>
      </c>
      <c r="K125" s="500">
        <f t="shared" si="19"/>
        <v>0</v>
      </c>
      <c r="L125" s="502">
        <f t="shared" si="20"/>
        <v>4.9216906655344648</v>
      </c>
      <c r="M125" s="326">
        <f>L125*D125*VPI!Q125</f>
        <v>1659224.9656183065</v>
      </c>
    </row>
    <row r="126" spans="1:13" x14ac:dyDescent="0.25">
      <c r="A126" s="170">
        <f>Données!A126</f>
        <v>5621</v>
      </c>
      <c r="B126" s="27" t="str">
        <f>Données!B126</f>
        <v>Aclens</v>
      </c>
      <c r="C126" s="377">
        <f>VPI!R126</f>
        <v>39203.094076246336</v>
      </c>
      <c r="D126" s="27">
        <f>Données!Z126</f>
        <v>557</v>
      </c>
      <c r="E126" s="115">
        <f t="shared" si="13"/>
        <v>70.382574643171154</v>
      </c>
      <c r="F126" s="203">
        <f t="shared" si="14"/>
        <v>1.4529326130688627</v>
      </c>
      <c r="G126" s="500">
        <f t="shared" si="15"/>
        <v>21.940841000404248</v>
      </c>
      <c r="H126" s="500">
        <f t="shared" si="16"/>
        <v>12.252494271850871</v>
      </c>
      <c r="I126" s="500">
        <f t="shared" si="17"/>
        <v>0</v>
      </c>
      <c r="J126" s="500">
        <f t="shared" si="18"/>
        <v>0</v>
      </c>
      <c r="K126" s="500">
        <f t="shared" si="19"/>
        <v>0</v>
      </c>
      <c r="L126" s="502">
        <f t="shared" si="20"/>
        <v>5.6134176272659371</v>
      </c>
      <c r="M126" s="326">
        <f>L126*D126*VPI!Q126</f>
        <v>193853.76434000189</v>
      </c>
    </row>
    <row r="127" spans="1:13" x14ac:dyDescent="0.25">
      <c r="A127" s="170">
        <f>Données!A127</f>
        <v>5622</v>
      </c>
      <c r="B127" s="27" t="str">
        <f>Données!B127</f>
        <v>Bremblens</v>
      </c>
      <c r="C127" s="377">
        <f>VPI!R127</f>
        <v>30852.761617647058</v>
      </c>
      <c r="D127" s="27">
        <f>Données!Z127</f>
        <v>604</v>
      </c>
      <c r="E127" s="115">
        <f t="shared" si="13"/>
        <v>51.080731155044802</v>
      </c>
      <c r="F127" s="203">
        <f t="shared" si="14"/>
        <v>1.0544777676979762</v>
      </c>
      <c r="G127" s="500">
        <f t="shared" si="15"/>
        <v>2.6389975122778964</v>
      </c>
      <c r="H127" s="500">
        <f t="shared" si="16"/>
        <v>0</v>
      </c>
      <c r="I127" s="500">
        <f t="shared" si="17"/>
        <v>0</v>
      </c>
      <c r="J127" s="500">
        <f t="shared" si="18"/>
        <v>0</v>
      </c>
      <c r="K127" s="500">
        <f t="shared" si="19"/>
        <v>0</v>
      </c>
      <c r="L127" s="502">
        <f t="shared" si="20"/>
        <v>0.52779950245557927</v>
      </c>
      <c r="M127" s="326">
        <f>L127*D127*VPI!Q127</f>
        <v>21677.781164855551</v>
      </c>
    </row>
    <row r="128" spans="1:13" x14ac:dyDescent="0.25">
      <c r="A128" s="170">
        <f>Données!A128</f>
        <v>5623</v>
      </c>
      <c r="B128" s="27" t="str">
        <f>Données!B128</f>
        <v>Buchillon</v>
      </c>
      <c r="C128" s="377">
        <f>VPI!R128</f>
        <v>88403.083461538452</v>
      </c>
      <c r="D128" s="27">
        <f>Données!Z128</f>
        <v>670</v>
      </c>
      <c r="E128" s="115">
        <f t="shared" si="13"/>
        <v>131.94490068886336</v>
      </c>
      <c r="F128" s="203">
        <f t="shared" si="14"/>
        <v>2.7237856857454719</v>
      </c>
      <c r="G128" s="500">
        <f t="shared" si="15"/>
        <v>83.503167046096451</v>
      </c>
      <c r="H128" s="500">
        <f t="shared" si="16"/>
        <v>73.814820317543081</v>
      </c>
      <c r="I128" s="500">
        <f t="shared" si="17"/>
        <v>59.282300224712998</v>
      </c>
      <c r="J128" s="500">
        <f t="shared" si="18"/>
        <v>35.061433403329545</v>
      </c>
      <c r="K128" s="500">
        <f t="shared" si="19"/>
        <v>0</v>
      </c>
      <c r="L128" s="502">
        <f t="shared" si="20"/>
        <v>33.516488803777854</v>
      </c>
      <c r="M128" s="326">
        <f>L128*D128*VPI!Q128</f>
        <v>1167714.4699236206</v>
      </c>
    </row>
    <row r="129" spans="1:13" x14ac:dyDescent="0.25">
      <c r="A129" s="170">
        <f>Données!A129</f>
        <v>5624</v>
      </c>
      <c r="B129" s="27" t="str">
        <f>Données!B129</f>
        <v>Bussigny</v>
      </c>
      <c r="C129" s="377">
        <f>VPI!R129</f>
        <v>522747.79375999991</v>
      </c>
      <c r="D129" s="27">
        <f>Données!Z129</f>
        <v>10397</v>
      </c>
      <c r="E129" s="115">
        <f t="shared" si="13"/>
        <v>50.278714413773194</v>
      </c>
      <c r="F129" s="203">
        <f t="shared" si="14"/>
        <v>1.0379214498092304</v>
      </c>
      <c r="G129" s="500">
        <f t="shared" si="15"/>
        <v>1.8369807710062886</v>
      </c>
      <c r="H129" s="500">
        <f t="shared" si="16"/>
        <v>0</v>
      </c>
      <c r="I129" s="500">
        <f t="shared" si="17"/>
        <v>0</v>
      </c>
      <c r="J129" s="500">
        <f t="shared" si="18"/>
        <v>0</v>
      </c>
      <c r="K129" s="500">
        <f t="shared" si="19"/>
        <v>0</v>
      </c>
      <c r="L129" s="502">
        <f t="shared" si="20"/>
        <v>0.36739615420125776</v>
      </c>
      <c r="M129" s="326">
        <f>L129*D129*VPI!Q129</f>
        <v>238738.61345190479</v>
      </c>
    </row>
    <row r="130" spans="1:13" x14ac:dyDescent="0.25">
      <c r="A130" s="170">
        <f>Données!A130</f>
        <v>5627</v>
      </c>
      <c r="B130" s="27" t="str">
        <f>Données!B130</f>
        <v>Chavannes-près-Renens</v>
      </c>
      <c r="C130" s="377">
        <f>VPI!R130</f>
        <v>188690.75535483871</v>
      </c>
      <c r="D130" s="27">
        <f>Données!Z130</f>
        <v>8734</v>
      </c>
      <c r="E130" s="115">
        <f t="shared" si="13"/>
        <v>21.60416250914114</v>
      </c>
      <c r="F130" s="203">
        <f t="shared" si="14"/>
        <v>0.44598243878843863</v>
      </c>
      <c r="G130" s="500">
        <f t="shared" si="15"/>
        <v>0</v>
      </c>
      <c r="H130" s="500">
        <f t="shared" si="16"/>
        <v>0</v>
      </c>
      <c r="I130" s="500">
        <f t="shared" si="17"/>
        <v>0</v>
      </c>
      <c r="J130" s="500">
        <f t="shared" si="18"/>
        <v>0</v>
      </c>
      <c r="K130" s="500">
        <f t="shared" si="19"/>
        <v>0</v>
      </c>
      <c r="L130" s="502">
        <f t="shared" si="20"/>
        <v>0</v>
      </c>
      <c r="M130" s="326">
        <f>L130*D130*VPI!Q130</f>
        <v>0</v>
      </c>
    </row>
    <row r="131" spans="1:13" x14ac:dyDescent="0.25">
      <c r="A131" s="170">
        <f>Données!A131</f>
        <v>5628</v>
      </c>
      <c r="B131" s="27" t="str">
        <f>Données!B131</f>
        <v>Chigny</v>
      </c>
      <c r="C131" s="377">
        <f>VPI!R131</f>
        <v>27627.379193548386</v>
      </c>
      <c r="D131" s="27">
        <f>Données!Z131</f>
        <v>419</v>
      </c>
      <c r="E131" s="115">
        <f t="shared" si="13"/>
        <v>65.936465855724066</v>
      </c>
      <c r="F131" s="203">
        <f t="shared" si="14"/>
        <v>1.3611500022268379</v>
      </c>
      <c r="G131" s="500">
        <f t="shared" si="15"/>
        <v>17.49473221295716</v>
      </c>
      <c r="H131" s="500">
        <f t="shared" si="16"/>
        <v>7.8063854844037834</v>
      </c>
      <c r="I131" s="500">
        <f t="shared" si="17"/>
        <v>0</v>
      </c>
      <c r="J131" s="500">
        <f t="shared" si="18"/>
        <v>0</v>
      </c>
      <c r="K131" s="500">
        <f t="shared" si="19"/>
        <v>0</v>
      </c>
      <c r="L131" s="502">
        <f t="shared" si="20"/>
        <v>4.2795849910318102</v>
      </c>
      <c r="M131" s="326">
        <f>L131*D131*VPI!Q131</f>
        <v>111175.05889702437</v>
      </c>
    </row>
    <row r="132" spans="1:13" x14ac:dyDescent="0.25">
      <c r="A132" s="170">
        <f>Données!A132</f>
        <v>5629</v>
      </c>
      <c r="B132" s="27" t="str">
        <f>Données!B132</f>
        <v>Clarmont</v>
      </c>
      <c r="C132" s="377">
        <f>VPI!R132</f>
        <v>9964.7430555555547</v>
      </c>
      <c r="D132" s="27">
        <f>Données!Z132</f>
        <v>218</v>
      </c>
      <c r="E132" s="115">
        <f t="shared" si="13"/>
        <v>45.709830530071351</v>
      </c>
      <c r="F132" s="203">
        <f t="shared" si="14"/>
        <v>0.94360434882777011</v>
      </c>
      <c r="G132" s="500">
        <f t="shared" si="15"/>
        <v>0</v>
      </c>
      <c r="H132" s="500">
        <f t="shared" si="16"/>
        <v>0</v>
      </c>
      <c r="I132" s="500">
        <f t="shared" si="17"/>
        <v>0</v>
      </c>
      <c r="J132" s="500">
        <f t="shared" si="18"/>
        <v>0</v>
      </c>
      <c r="K132" s="500">
        <f t="shared" si="19"/>
        <v>0</v>
      </c>
      <c r="L132" s="502">
        <f t="shared" si="20"/>
        <v>0</v>
      </c>
      <c r="M132" s="326">
        <f>L132*D132*VPI!Q132</f>
        <v>0</v>
      </c>
    </row>
    <row r="133" spans="1:13" x14ac:dyDescent="0.25">
      <c r="A133" s="170">
        <f>Données!A133</f>
        <v>5631</v>
      </c>
      <c r="B133" s="27" t="str">
        <f>Données!B133</f>
        <v>Denens</v>
      </c>
      <c r="C133" s="377">
        <f>VPI!R133</f>
        <v>41694.310588235297</v>
      </c>
      <c r="D133" s="27">
        <f>Données!Z133</f>
        <v>716</v>
      </c>
      <c r="E133" s="115">
        <f t="shared" si="13"/>
        <v>58.232277357870529</v>
      </c>
      <c r="F133" s="203">
        <f t="shared" si="14"/>
        <v>1.2021096888749667</v>
      </c>
      <c r="G133" s="500">
        <f t="shared" si="15"/>
        <v>9.7905437151036239</v>
      </c>
      <c r="H133" s="500">
        <f t="shared" si="16"/>
        <v>0.102196986550247</v>
      </c>
      <c r="I133" s="500">
        <f t="shared" si="17"/>
        <v>0</v>
      </c>
      <c r="J133" s="500">
        <f t="shared" si="18"/>
        <v>0</v>
      </c>
      <c r="K133" s="500">
        <f t="shared" si="19"/>
        <v>0</v>
      </c>
      <c r="L133" s="502">
        <f t="shared" si="20"/>
        <v>1.9683284416757496</v>
      </c>
      <c r="M133" s="326">
        <f>L133*D133*VPI!Q133</f>
        <v>95833.975168308883</v>
      </c>
    </row>
    <row r="134" spans="1:13" x14ac:dyDescent="0.25">
      <c r="A134" s="170">
        <f>Données!A134</f>
        <v>5632</v>
      </c>
      <c r="B134" s="27" t="str">
        <f>Données!B134</f>
        <v>Denges</v>
      </c>
      <c r="C134" s="377">
        <f>VPI!R134</f>
        <v>81642.531612903229</v>
      </c>
      <c r="D134" s="27">
        <f>Données!Z134</f>
        <v>1777</v>
      </c>
      <c r="E134" s="115">
        <f t="shared" si="13"/>
        <v>45.944024542995628</v>
      </c>
      <c r="F134" s="203">
        <f t="shared" si="14"/>
        <v>0.94843889943760873</v>
      </c>
      <c r="G134" s="500">
        <f t="shared" si="15"/>
        <v>0</v>
      </c>
      <c r="H134" s="500">
        <f t="shared" si="16"/>
        <v>0</v>
      </c>
      <c r="I134" s="500">
        <f t="shared" si="17"/>
        <v>0</v>
      </c>
      <c r="J134" s="500">
        <f t="shared" si="18"/>
        <v>0</v>
      </c>
      <c r="K134" s="500">
        <f t="shared" si="19"/>
        <v>0</v>
      </c>
      <c r="L134" s="502">
        <f t="shared" si="20"/>
        <v>0</v>
      </c>
      <c r="M134" s="326">
        <f>L134*D134*VPI!Q134</f>
        <v>0</v>
      </c>
    </row>
    <row r="135" spans="1:13" x14ac:dyDescent="0.25">
      <c r="A135" s="170">
        <f>Données!A135</f>
        <v>5633</v>
      </c>
      <c r="B135" s="27" t="str">
        <f>Données!B135</f>
        <v>Echandens</v>
      </c>
      <c r="C135" s="377">
        <f>VPI!R135</f>
        <v>149835.3479338843</v>
      </c>
      <c r="D135" s="27">
        <f>Données!Z135</f>
        <v>2891</v>
      </c>
      <c r="E135" s="115">
        <f t="shared" ref="E135:E198" si="21">C135/D135</f>
        <v>51.828207517773883</v>
      </c>
      <c r="F135" s="203">
        <f t="shared" ref="F135:F198" si="22">E135/$E$306</f>
        <v>1.0699081890830022</v>
      </c>
      <c r="G135" s="500">
        <f t="shared" ref="G135:G198" si="23">IF(E135-$G$3&lt;0,0,E135-$G$3)</f>
        <v>3.3864738750069776</v>
      </c>
      <c r="H135" s="500">
        <f t="shared" ref="H135:H198" si="24">IF(E135-$H$3&lt;0,0,E135-$H$3)</f>
        <v>0</v>
      </c>
      <c r="I135" s="500">
        <f t="shared" ref="I135:I198" si="25">IF(E135-$I$3&lt;0,0,E135-$I$3)</f>
        <v>0</v>
      </c>
      <c r="J135" s="500">
        <f t="shared" ref="J135:J198" si="26">IF(E135-$J$3&lt;0,0,E135-$J$3)</f>
        <v>0</v>
      </c>
      <c r="K135" s="500">
        <f t="shared" ref="K135:K198" si="27">IF(E135-$K$3&lt;0,0,E135-$K$3)</f>
        <v>0</v>
      </c>
      <c r="L135" s="502">
        <f t="shared" ref="L135:L198" si="28">(G135-H135)*$G$4+(H135-I135)*$H$4+(I135-J135)*$I$4+(J135-K135)*$J$4+(K135*$K$4)</f>
        <v>0.67729477500139557</v>
      </c>
      <c r="M135" s="326">
        <f>L135*D135*VPI!Q135</f>
        <v>118462.58126900659</v>
      </c>
    </row>
    <row r="136" spans="1:13" x14ac:dyDescent="0.25">
      <c r="A136" s="170">
        <f>Données!A136</f>
        <v>5634</v>
      </c>
      <c r="B136" s="27" t="str">
        <f>Données!B136</f>
        <v>Echichens</v>
      </c>
      <c r="C136" s="377">
        <f>VPI!R136</f>
        <v>183137.63424242428</v>
      </c>
      <c r="D136" s="27">
        <f>Données!Z136</f>
        <v>3214</v>
      </c>
      <c r="E136" s="115">
        <f t="shared" si="21"/>
        <v>56.981217872565111</v>
      </c>
      <c r="F136" s="203">
        <f t="shared" si="22"/>
        <v>1.1762836213247971</v>
      </c>
      <c r="G136" s="500">
        <f t="shared" si="23"/>
        <v>8.5394842297982052</v>
      </c>
      <c r="H136" s="500">
        <f t="shared" si="24"/>
        <v>0</v>
      </c>
      <c r="I136" s="500">
        <f t="shared" si="25"/>
        <v>0</v>
      </c>
      <c r="J136" s="500">
        <f t="shared" si="26"/>
        <v>0</v>
      </c>
      <c r="K136" s="500">
        <f t="shared" si="27"/>
        <v>0</v>
      </c>
      <c r="L136" s="502">
        <f t="shared" si="28"/>
        <v>1.7078968459596411</v>
      </c>
      <c r="M136" s="326">
        <f>L136*D136*VPI!Q136</f>
        <v>362285.91055234289</v>
      </c>
    </row>
    <row r="137" spans="1:13" x14ac:dyDescent="0.25">
      <c r="A137" s="170">
        <f>Données!A137</f>
        <v>5635</v>
      </c>
      <c r="B137" s="27" t="str">
        <f>Données!B137</f>
        <v>Ecublens</v>
      </c>
      <c r="C137" s="377">
        <f>VPI!R137</f>
        <v>516165.47293333331</v>
      </c>
      <c r="D137" s="27">
        <f>Données!Z137</f>
        <v>13142</v>
      </c>
      <c r="E137" s="115">
        <f t="shared" si="21"/>
        <v>39.276021376756454</v>
      </c>
      <c r="F137" s="203">
        <f t="shared" si="22"/>
        <v>0.81078892977689632</v>
      </c>
      <c r="G137" s="500">
        <f t="shared" si="23"/>
        <v>0</v>
      </c>
      <c r="H137" s="500">
        <f t="shared" si="24"/>
        <v>0</v>
      </c>
      <c r="I137" s="500">
        <f t="shared" si="25"/>
        <v>0</v>
      </c>
      <c r="J137" s="500">
        <f t="shared" si="26"/>
        <v>0</v>
      </c>
      <c r="K137" s="500">
        <f t="shared" si="27"/>
        <v>0</v>
      </c>
      <c r="L137" s="502">
        <f t="shared" si="28"/>
        <v>0</v>
      </c>
      <c r="M137" s="326">
        <f>L137*D137*VPI!Q137</f>
        <v>0</v>
      </c>
    </row>
    <row r="138" spans="1:13" x14ac:dyDescent="0.25">
      <c r="A138" s="170">
        <f>Données!A138</f>
        <v>5636</v>
      </c>
      <c r="B138" s="27" t="str">
        <f>Données!B138</f>
        <v>Etoy</v>
      </c>
      <c r="C138" s="377">
        <f>VPI!R138</f>
        <v>189458.35050000003</v>
      </c>
      <c r="D138" s="27">
        <f>Données!Z138</f>
        <v>2941</v>
      </c>
      <c r="E138" s="115">
        <f t="shared" si="21"/>
        <v>64.419704352261149</v>
      </c>
      <c r="F138" s="203">
        <f t="shared" si="22"/>
        <v>1.3298389530672794</v>
      </c>
      <c r="G138" s="500">
        <f t="shared" si="23"/>
        <v>15.977970709494244</v>
      </c>
      <c r="H138" s="500">
        <f t="shared" si="24"/>
        <v>6.2896239809408669</v>
      </c>
      <c r="I138" s="500">
        <f t="shared" si="25"/>
        <v>0</v>
      </c>
      <c r="J138" s="500">
        <f t="shared" si="26"/>
        <v>0</v>
      </c>
      <c r="K138" s="500">
        <f t="shared" si="27"/>
        <v>0</v>
      </c>
      <c r="L138" s="502">
        <f t="shared" si="28"/>
        <v>3.8245565399929355</v>
      </c>
      <c r="M138" s="326">
        <f>L138*D138*VPI!Q138</f>
        <v>674881.24704715342</v>
      </c>
    </row>
    <row r="139" spans="1:13" x14ac:dyDescent="0.25">
      <c r="A139" s="170">
        <f>Données!A139</f>
        <v>5637</v>
      </c>
      <c r="B139" s="27" t="str">
        <f>Données!B139</f>
        <v>Lavigny</v>
      </c>
      <c r="C139" s="377">
        <f>VPI!R139</f>
        <v>36293.809863013703</v>
      </c>
      <c r="D139" s="27">
        <f>Données!Z139</f>
        <v>1038</v>
      </c>
      <c r="E139" s="115">
        <f t="shared" si="21"/>
        <v>34.965134742787768</v>
      </c>
      <c r="F139" s="203">
        <f t="shared" si="22"/>
        <v>0.72179775811984381</v>
      </c>
      <c r="G139" s="500">
        <f t="shared" si="23"/>
        <v>0</v>
      </c>
      <c r="H139" s="500">
        <f t="shared" si="24"/>
        <v>0</v>
      </c>
      <c r="I139" s="500">
        <f t="shared" si="25"/>
        <v>0</v>
      </c>
      <c r="J139" s="500">
        <f t="shared" si="26"/>
        <v>0</v>
      </c>
      <c r="K139" s="500">
        <f t="shared" si="27"/>
        <v>0</v>
      </c>
      <c r="L139" s="502">
        <f t="shared" si="28"/>
        <v>0</v>
      </c>
      <c r="M139" s="326">
        <f>L139*D139*VPI!Q139</f>
        <v>0</v>
      </c>
    </row>
    <row r="140" spans="1:13" x14ac:dyDescent="0.25">
      <c r="A140" s="170">
        <f>Données!A140</f>
        <v>5638</v>
      </c>
      <c r="B140" s="27" t="str">
        <f>Données!B140</f>
        <v>Lonay</v>
      </c>
      <c r="C140" s="377">
        <f>VPI!R140</f>
        <v>153893.84090909091</v>
      </c>
      <c r="D140" s="27">
        <f>Données!Z140</f>
        <v>2677</v>
      </c>
      <c r="E140" s="115">
        <f t="shared" si="21"/>
        <v>57.487426562977554</v>
      </c>
      <c r="F140" s="203">
        <f t="shared" si="22"/>
        <v>1.1867334680240393</v>
      </c>
      <c r="G140" s="500">
        <f t="shared" si="23"/>
        <v>9.045692920210648</v>
      </c>
      <c r="H140" s="500">
        <f t="shared" si="24"/>
        <v>0</v>
      </c>
      <c r="I140" s="500">
        <f t="shared" si="25"/>
        <v>0</v>
      </c>
      <c r="J140" s="500">
        <f t="shared" si="26"/>
        <v>0</v>
      </c>
      <c r="K140" s="500">
        <f t="shared" si="27"/>
        <v>0</v>
      </c>
      <c r="L140" s="502">
        <f t="shared" si="28"/>
        <v>1.8091385840421297</v>
      </c>
      <c r="M140" s="326">
        <f>L140*D140*VPI!Q140</f>
        <v>266368.51942144294</v>
      </c>
    </row>
    <row r="141" spans="1:13" x14ac:dyDescent="0.25">
      <c r="A141" s="170">
        <f>Données!A141</f>
        <v>5639</v>
      </c>
      <c r="B141" s="27" t="str">
        <f>Données!B141</f>
        <v>Lully</v>
      </c>
      <c r="C141" s="377">
        <f>VPI!R141</f>
        <v>52242.173114754092</v>
      </c>
      <c r="D141" s="27">
        <f>Données!Z141</f>
        <v>827</v>
      </c>
      <c r="E141" s="115">
        <f t="shared" si="21"/>
        <v>63.170705096437835</v>
      </c>
      <c r="F141" s="203">
        <f t="shared" si="22"/>
        <v>1.3040554155697561</v>
      </c>
      <c r="G141" s="500">
        <f t="shared" si="23"/>
        <v>14.72897145367093</v>
      </c>
      <c r="H141" s="500">
        <f t="shared" si="24"/>
        <v>5.0406247251175529</v>
      </c>
      <c r="I141" s="500">
        <f t="shared" si="25"/>
        <v>0</v>
      </c>
      <c r="J141" s="500">
        <f t="shared" si="26"/>
        <v>0</v>
      </c>
      <c r="K141" s="500">
        <f t="shared" si="27"/>
        <v>0</v>
      </c>
      <c r="L141" s="502">
        <f t="shared" si="28"/>
        <v>3.4498567632459416</v>
      </c>
      <c r="M141" s="326">
        <f>L141*D141*VPI!Q141</f>
        <v>174034.924135468</v>
      </c>
    </row>
    <row r="142" spans="1:13" x14ac:dyDescent="0.25">
      <c r="A142" s="170">
        <f>Données!A142</f>
        <v>5640</v>
      </c>
      <c r="B142" s="27" t="str">
        <f>Données!B142</f>
        <v>Lussy-sur-Morges</v>
      </c>
      <c r="C142" s="377">
        <f>VPI!R142</f>
        <v>57771.49271317829</v>
      </c>
      <c r="D142" s="27">
        <f>Données!Z142</f>
        <v>730</v>
      </c>
      <c r="E142" s="115">
        <f t="shared" si="21"/>
        <v>79.139031113942863</v>
      </c>
      <c r="F142" s="203">
        <f t="shared" si="22"/>
        <v>1.6336952698174032</v>
      </c>
      <c r="G142" s="500">
        <f t="shared" si="23"/>
        <v>30.697297471175958</v>
      </c>
      <c r="H142" s="500">
        <f t="shared" si="24"/>
        <v>21.008950742622581</v>
      </c>
      <c r="I142" s="500">
        <f t="shared" si="25"/>
        <v>6.4764306497925048</v>
      </c>
      <c r="J142" s="500">
        <f t="shared" si="26"/>
        <v>0</v>
      </c>
      <c r="K142" s="500">
        <f t="shared" si="27"/>
        <v>0</v>
      </c>
      <c r="L142" s="502">
        <f t="shared" si="28"/>
        <v>8.8879976334767008</v>
      </c>
      <c r="M142" s="326">
        <f>L142*D142*VPI!Q142</f>
        <v>418491.36857225042</v>
      </c>
    </row>
    <row r="143" spans="1:13" x14ac:dyDescent="0.25">
      <c r="A143" s="170">
        <f>Données!A143</f>
        <v>5642</v>
      </c>
      <c r="B143" s="27" t="str">
        <f>Données!B143</f>
        <v>Morges</v>
      </c>
      <c r="C143" s="377">
        <f>VPI!R143</f>
        <v>980547.23447761196</v>
      </c>
      <c r="D143" s="27">
        <f>Données!Z143</f>
        <v>17535</v>
      </c>
      <c r="E143" s="115">
        <f t="shared" si="21"/>
        <v>55.919431678221386</v>
      </c>
      <c r="F143" s="203">
        <f t="shared" si="22"/>
        <v>1.1543647898854879</v>
      </c>
      <c r="G143" s="500">
        <f t="shared" si="23"/>
        <v>7.4776980354544804</v>
      </c>
      <c r="H143" s="500">
        <f t="shared" si="24"/>
        <v>0</v>
      </c>
      <c r="I143" s="500">
        <f t="shared" si="25"/>
        <v>0</v>
      </c>
      <c r="J143" s="500">
        <f t="shared" si="26"/>
        <v>0</v>
      </c>
      <c r="K143" s="500">
        <f t="shared" si="27"/>
        <v>0</v>
      </c>
      <c r="L143" s="502">
        <f t="shared" si="28"/>
        <v>1.4955396070908962</v>
      </c>
      <c r="M143" s="326">
        <f>L143*D143*VPI!Q143</f>
        <v>1757027.2296927038</v>
      </c>
    </row>
    <row r="144" spans="1:13" x14ac:dyDescent="0.25">
      <c r="A144" s="170">
        <f>Données!A144</f>
        <v>5643</v>
      </c>
      <c r="B144" s="27" t="str">
        <f>Données!B144</f>
        <v>Préverenges</v>
      </c>
      <c r="C144" s="377">
        <f>VPI!R144</f>
        <v>252724.38943999997</v>
      </c>
      <c r="D144" s="27">
        <f>Données!Z144</f>
        <v>5218</v>
      </c>
      <c r="E144" s="115">
        <f t="shared" si="21"/>
        <v>48.433190770410114</v>
      </c>
      <c r="F144" s="203">
        <f t="shared" si="22"/>
        <v>0.99982364643636024</v>
      </c>
      <c r="G144" s="500">
        <f t="shared" si="23"/>
        <v>0</v>
      </c>
      <c r="H144" s="500">
        <f t="shared" si="24"/>
        <v>0</v>
      </c>
      <c r="I144" s="500">
        <f t="shared" si="25"/>
        <v>0</v>
      </c>
      <c r="J144" s="500">
        <f t="shared" si="26"/>
        <v>0</v>
      </c>
      <c r="K144" s="500">
        <f t="shared" si="27"/>
        <v>0</v>
      </c>
      <c r="L144" s="502">
        <f t="shared" si="28"/>
        <v>0</v>
      </c>
      <c r="M144" s="326">
        <f>L144*D144*VPI!Q144</f>
        <v>0</v>
      </c>
    </row>
    <row r="145" spans="1:13" x14ac:dyDescent="0.25">
      <c r="A145" s="170">
        <f>Données!A145</f>
        <v>5645</v>
      </c>
      <c r="B145" s="27" t="str">
        <f>Données!B145</f>
        <v>Romanel-sur-Morges</v>
      </c>
      <c r="C145" s="377">
        <f>VPI!R145</f>
        <v>23768.997321428575</v>
      </c>
      <c r="D145" s="27">
        <f>Données!Z145</f>
        <v>458</v>
      </c>
      <c r="E145" s="115">
        <f t="shared" si="21"/>
        <v>51.897374064254528</v>
      </c>
      <c r="F145" s="203">
        <f t="shared" si="22"/>
        <v>1.0713360187926222</v>
      </c>
      <c r="G145" s="500">
        <f t="shared" si="23"/>
        <v>3.4556404214876224</v>
      </c>
      <c r="H145" s="500">
        <f t="shared" si="24"/>
        <v>0</v>
      </c>
      <c r="I145" s="500">
        <f t="shared" si="25"/>
        <v>0</v>
      </c>
      <c r="J145" s="500">
        <f t="shared" si="26"/>
        <v>0</v>
      </c>
      <c r="K145" s="500">
        <f t="shared" si="27"/>
        <v>0</v>
      </c>
      <c r="L145" s="502">
        <f t="shared" si="28"/>
        <v>0.69112808429752448</v>
      </c>
      <c r="M145" s="326">
        <f>L145*D145*VPI!Q145</f>
        <v>17726.053106062907</v>
      </c>
    </row>
    <row r="146" spans="1:13" x14ac:dyDescent="0.25">
      <c r="A146" s="170">
        <f>Données!A146</f>
        <v>5646</v>
      </c>
      <c r="B146" s="27" t="str">
        <f>Données!B146</f>
        <v>Saint-Prex</v>
      </c>
      <c r="C146" s="377">
        <f>VPI!R146</f>
        <v>515578.26330508466</v>
      </c>
      <c r="D146" s="27">
        <f>Données!Z146</f>
        <v>5877</v>
      </c>
      <c r="E146" s="115">
        <f t="shared" si="21"/>
        <v>87.728137366868239</v>
      </c>
      <c r="F146" s="203">
        <f t="shared" si="22"/>
        <v>1.811003256279359</v>
      </c>
      <c r="G146" s="500">
        <f t="shared" si="23"/>
        <v>39.286403724101334</v>
      </c>
      <c r="H146" s="500">
        <f t="shared" si="24"/>
        <v>29.598056995547957</v>
      </c>
      <c r="I146" s="500">
        <f t="shared" si="25"/>
        <v>15.065536902717881</v>
      </c>
      <c r="J146" s="500">
        <f t="shared" si="26"/>
        <v>0</v>
      </c>
      <c r="K146" s="500">
        <f t="shared" si="27"/>
        <v>0</v>
      </c>
      <c r="L146" s="502">
        <f t="shared" si="28"/>
        <v>12.323640134646851</v>
      </c>
      <c r="M146" s="326">
        <f>L146*D146*VPI!Q146</f>
        <v>4273135.9512078529</v>
      </c>
    </row>
    <row r="147" spans="1:13" x14ac:dyDescent="0.25">
      <c r="A147" s="170">
        <f>Données!A147</f>
        <v>5648</v>
      </c>
      <c r="B147" s="27" t="str">
        <f>Données!B147</f>
        <v>Saint-Sulpice</v>
      </c>
      <c r="C147" s="377">
        <f>VPI!R147</f>
        <v>417040.44568181824</v>
      </c>
      <c r="D147" s="27">
        <f>Données!Z147</f>
        <v>5043</v>
      </c>
      <c r="E147" s="115">
        <f t="shared" si="21"/>
        <v>82.696895832206664</v>
      </c>
      <c r="F147" s="203">
        <f t="shared" si="22"/>
        <v>1.7071415412597353</v>
      </c>
      <c r="G147" s="500">
        <f t="shared" si="23"/>
        <v>34.255162189439758</v>
      </c>
      <c r="H147" s="500">
        <f t="shared" si="24"/>
        <v>24.566815460886382</v>
      </c>
      <c r="I147" s="500">
        <f t="shared" si="25"/>
        <v>10.034295368056306</v>
      </c>
      <c r="J147" s="500">
        <f t="shared" si="26"/>
        <v>0</v>
      </c>
      <c r="K147" s="500">
        <f t="shared" si="27"/>
        <v>0</v>
      </c>
      <c r="L147" s="502">
        <f t="shared" si="28"/>
        <v>10.31114352078222</v>
      </c>
      <c r="M147" s="326">
        <f>L147*D147*VPI!Q147</f>
        <v>2859950.3226417606</v>
      </c>
    </row>
    <row r="148" spans="1:13" x14ac:dyDescent="0.25">
      <c r="A148" s="170">
        <f>Données!A148</f>
        <v>5649</v>
      </c>
      <c r="B148" s="27" t="str">
        <f>Données!B148</f>
        <v>Tolochenaz</v>
      </c>
      <c r="C148" s="377">
        <f>VPI!R148</f>
        <v>173464.05234375002</v>
      </c>
      <c r="D148" s="27">
        <f>Données!Z148</f>
        <v>1890</v>
      </c>
      <c r="E148" s="115">
        <f t="shared" si="21"/>
        <v>91.779921875000014</v>
      </c>
      <c r="F148" s="203">
        <f t="shared" si="22"/>
        <v>1.8946456902601827</v>
      </c>
      <c r="G148" s="500">
        <f t="shared" si="23"/>
        <v>43.338188232233108</v>
      </c>
      <c r="H148" s="500">
        <f t="shared" si="24"/>
        <v>33.649841503679731</v>
      </c>
      <c r="I148" s="500">
        <f t="shared" si="25"/>
        <v>19.117321410849655</v>
      </c>
      <c r="J148" s="500">
        <f t="shared" si="26"/>
        <v>0</v>
      </c>
      <c r="K148" s="500">
        <f t="shared" si="27"/>
        <v>0</v>
      </c>
      <c r="L148" s="502">
        <f t="shared" si="28"/>
        <v>13.94435393789956</v>
      </c>
      <c r="M148" s="326">
        <f>L148*D148*VPI!Q148</f>
        <v>1686709.0523283307</v>
      </c>
    </row>
    <row r="149" spans="1:13" x14ac:dyDescent="0.25">
      <c r="A149" s="170">
        <f>Données!A149</f>
        <v>5650</v>
      </c>
      <c r="B149" s="27" t="str">
        <f>Données!B149</f>
        <v>Vaux-sur-Morges</v>
      </c>
      <c r="C149" s="377">
        <f>VPI!R149</f>
        <v>90407.863928571445</v>
      </c>
      <c r="D149" s="27">
        <f>Données!Z149</f>
        <v>187</v>
      </c>
      <c r="E149" s="115">
        <f t="shared" si="21"/>
        <v>483.46451298701305</v>
      </c>
      <c r="F149" s="203">
        <f t="shared" si="22"/>
        <v>9.9803305255818753</v>
      </c>
      <c r="G149" s="500">
        <f t="shared" si="23"/>
        <v>435.02277934424615</v>
      </c>
      <c r="H149" s="500">
        <f t="shared" si="24"/>
        <v>425.33443261569278</v>
      </c>
      <c r="I149" s="500">
        <f t="shared" si="25"/>
        <v>410.80191252286272</v>
      </c>
      <c r="J149" s="500">
        <f t="shared" si="26"/>
        <v>386.58104570147924</v>
      </c>
      <c r="K149" s="500">
        <f t="shared" si="27"/>
        <v>338.13931205871233</v>
      </c>
      <c r="L149" s="502">
        <f t="shared" si="28"/>
        <v>243.09022615872394</v>
      </c>
      <c r="M149" s="326">
        <f>L149*D149*VPI!Q149</f>
        <v>2545640.8483341574</v>
      </c>
    </row>
    <row r="150" spans="1:13" x14ac:dyDescent="0.25">
      <c r="A150" s="170">
        <f>Données!A150</f>
        <v>5651</v>
      </c>
      <c r="B150" s="27" t="str">
        <f>Données!B150</f>
        <v>Villars-Sainte-Croix</v>
      </c>
      <c r="C150" s="377">
        <f>VPI!R150</f>
        <v>56008.147272727285</v>
      </c>
      <c r="D150" s="27">
        <f>Données!Z150</f>
        <v>978</v>
      </c>
      <c r="E150" s="115">
        <f t="shared" si="21"/>
        <v>57.268044246142416</v>
      </c>
      <c r="F150" s="203">
        <f t="shared" si="22"/>
        <v>1.182204680543951</v>
      </c>
      <c r="G150" s="500">
        <f t="shared" si="23"/>
        <v>8.8263106033755108</v>
      </c>
      <c r="H150" s="500">
        <f t="shared" si="24"/>
        <v>0</v>
      </c>
      <c r="I150" s="500">
        <f t="shared" si="25"/>
        <v>0</v>
      </c>
      <c r="J150" s="500">
        <f t="shared" si="26"/>
        <v>0</v>
      </c>
      <c r="K150" s="500">
        <f t="shared" si="27"/>
        <v>0</v>
      </c>
      <c r="L150" s="502">
        <f t="shared" si="28"/>
        <v>1.7652621206751022</v>
      </c>
      <c r="M150" s="326">
        <f>L150*D150*VPI!Q150</f>
        <v>104448.79441822512</v>
      </c>
    </row>
    <row r="151" spans="1:13" x14ac:dyDescent="0.25">
      <c r="A151" s="170">
        <f>Données!A151</f>
        <v>5652</v>
      </c>
      <c r="B151" s="27" t="str">
        <f>Données!B151</f>
        <v>Villars-sous-Yens</v>
      </c>
      <c r="C151" s="377">
        <f>VPI!R151</f>
        <v>25957.212521929825</v>
      </c>
      <c r="D151" s="27">
        <f>Données!Z151</f>
        <v>615</v>
      </c>
      <c r="E151" s="115">
        <f t="shared" si="21"/>
        <v>42.206849629154185</v>
      </c>
      <c r="F151" s="203">
        <f t="shared" si="22"/>
        <v>0.87129106361898989</v>
      </c>
      <c r="G151" s="500">
        <f t="shared" si="23"/>
        <v>0</v>
      </c>
      <c r="H151" s="500">
        <f t="shared" si="24"/>
        <v>0</v>
      </c>
      <c r="I151" s="500">
        <f t="shared" si="25"/>
        <v>0</v>
      </c>
      <c r="J151" s="500">
        <f t="shared" si="26"/>
        <v>0</v>
      </c>
      <c r="K151" s="500">
        <f t="shared" si="27"/>
        <v>0</v>
      </c>
      <c r="L151" s="502">
        <f t="shared" si="28"/>
        <v>0</v>
      </c>
      <c r="M151" s="326">
        <f>L151*D151*VPI!Q151</f>
        <v>0</v>
      </c>
    </row>
    <row r="152" spans="1:13" x14ac:dyDescent="0.25">
      <c r="A152" s="170">
        <f>Données!A152</f>
        <v>5653</v>
      </c>
      <c r="B152" s="27" t="str">
        <f>Données!B152</f>
        <v>Vufflens-le-Château</v>
      </c>
      <c r="C152" s="377">
        <f>VPI!R152</f>
        <v>71315.778290598289</v>
      </c>
      <c r="D152" s="27">
        <f>Données!Z152</f>
        <v>886</v>
      </c>
      <c r="E152" s="115">
        <f t="shared" si="21"/>
        <v>80.491849086454053</v>
      </c>
      <c r="F152" s="203">
        <f t="shared" si="22"/>
        <v>1.661621974144039</v>
      </c>
      <c r="G152" s="500">
        <f t="shared" si="23"/>
        <v>32.050115443687147</v>
      </c>
      <c r="H152" s="500">
        <f t="shared" si="24"/>
        <v>22.361768715133771</v>
      </c>
      <c r="I152" s="500">
        <f t="shared" si="25"/>
        <v>7.8292486223036946</v>
      </c>
      <c r="J152" s="500">
        <f t="shared" si="26"/>
        <v>0</v>
      </c>
      <c r="K152" s="500">
        <f t="shared" si="27"/>
        <v>0</v>
      </c>
      <c r="L152" s="502">
        <f t="shared" si="28"/>
        <v>9.4291248224811763</v>
      </c>
      <c r="M152" s="326">
        <f>L152*D152*VPI!Q152</f>
        <v>488720.96867402189</v>
      </c>
    </row>
    <row r="153" spans="1:13" x14ac:dyDescent="0.25">
      <c r="A153" s="170">
        <f>Données!A153</f>
        <v>5654</v>
      </c>
      <c r="B153" s="27" t="str">
        <f>Données!B153</f>
        <v>Vullierens</v>
      </c>
      <c r="C153" s="377">
        <f>VPI!R153</f>
        <v>20741.31131578947</v>
      </c>
      <c r="D153" s="27">
        <f>Données!Z153</f>
        <v>563</v>
      </c>
      <c r="E153" s="115">
        <f t="shared" si="21"/>
        <v>36.840695054688226</v>
      </c>
      <c r="F153" s="203">
        <f t="shared" si="22"/>
        <v>0.76051561916362398</v>
      </c>
      <c r="G153" s="500">
        <f t="shared" si="23"/>
        <v>0</v>
      </c>
      <c r="H153" s="500">
        <f t="shared" si="24"/>
        <v>0</v>
      </c>
      <c r="I153" s="500">
        <f t="shared" si="25"/>
        <v>0</v>
      </c>
      <c r="J153" s="500">
        <f t="shared" si="26"/>
        <v>0</v>
      </c>
      <c r="K153" s="500">
        <f t="shared" si="27"/>
        <v>0</v>
      </c>
      <c r="L153" s="502">
        <f t="shared" si="28"/>
        <v>0</v>
      </c>
      <c r="M153" s="326">
        <f>L153*D153*VPI!Q153</f>
        <v>0</v>
      </c>
    </row>
    <row r="154" spans="1:13" x14ac:dyDescent="0.25">
      <c r="A154" s="170">
        <f>Données!A154</f>
        <v>5655</v>
      </c>
      <c r="B154" s="27" t="str">
        <f>Données!B154</f>
        <v>Yens</v>
      </c>
      <c r="C154" s="377">
        <f>VPI!R154</f>
        <v>81488.710349650341</v>
      </c>
      <c r="D154" s="27">
        <f>Données!Z154</f>
        <v>1517</v>
      </c>
      <c r="E154" s="115">
        <f t="shared" si="21"/>
        <v>53.717014073599437</v>
      </c>
      <c r="F154" s="203">
        <f t="shared" si="22"/>
        <v>1.1088994970686854</v>
      </c>
      <c r="G154" s="500">
        <f t="shared" si="23"/>
        <v>5.275280430832531</v>
      </c>
      <c r="H154" s="500">
        <f t="shared" si="24"/>
        <v>0</v>
      </c>
      <c r="I154" s="500">
        <f t="shared" si="25"/>
        <v>0</v>
      </c>
      <c r="J154" s="500">
        <f t="shared" si="26"/>
        <v>0</v>
      </c>
      <c r="K154" s="500">
        <f t="shared" si="27"/>
        <v>0</v>
      </c>
      <c r="L154" s="502">
        <f t="shared" si="28"/>
        <v>1.0550560861665061</v>
      </c>
      <c r="M154" s="326">
        <f>L154*D154*VPI!Q154</f>
        <v>114437.18591409316</v>
      </c>
    </row>
    <row r="155" spans="1:13" x14ac:dyDescent="0.25">
      <c r="A155" s="170">
        <f>Données!A155</f>
        <v>5656</v>
      </c>
      <c r="B155" s="27" t="str">
        <f>Données!B155</f>
        <v>Hautemorges</v>
      </c>
      <c r="C155" s="377">
        <f>VPI!R155</f>
        <v>168934.99020689653</v>
      </c>
      <c r="D155" s="27">
        <f>Données!Z155</f>
        <v>4263</v>
      </c>
      <c r="E155" s="115">
        <f t="shared" si="21"/>
        <v>39.628193808795807</v>
      </c>
      <c r="F155" s="203">
        <f t="shared" si="22"/>
        <v>0.81805895100768977</v>
      </c>
      <c r="G155" s="500">
        <f t="shared" si="23"/>
        <v>0</v>
      </c>
      <c r="H155" s="500">
        <f t="shared" si="24"/>
        <v>0</v>
      </c>
      <c r="I155" s="500">
        <f t="shared" si="25"/>
        <v>0</v>
      </c>
      <c r="J155" s="500">
        <f t="shared" si="26"/>
        <v>0</v>
      </c>
      <c r="K155" s="500">
        <f t="shared" si="27"/>
        <v>0</v>
      </c>
      <c r="L155" s="502">
        <f t="shared" si="28"/>
        <v>0</v>
      </c>
      <c r="M155" s="326">
        <f>L155*D155*VPI!Q155</f>
        <v>0</v>
      </c>
    </row>
    <row r="156" spans="1:13" x14ac:dyDescent="0.25">
      <c r="A156" s="170">
        <f>Données!A156</f>
        <v>5661</v>
      </c>
      <c r="B156" s="27" t="str">
        <f>Données!B156</f>
        <v>Boulens</v>
      </c>
      <c r="C156" s="377">
        <f>VPI!R156</f>
        <v>11008.776923076925</v>
      </c>
      <c r="D156" s="27">
        <f>Données!Z156</f>
        <v>383</v>
      </c>
      <c r="E156" s="115">
        <f t="shared" si="21"/>
        <v>28.74354288009641</v>
      </c>
      <c r="F156" s="203">
        <f t="shared" si="22"/>
        <v>0.59336321635524825</v>
      </c>
      <c r="G156" s="500">
        <f t="shared" si="23"/>
        <v>0</v>
      </c>
      <c r="H156" s="500">
        <f t="shared" si="24"/>
        <v>0</v>
      </c>
      <c r="I156" s="500">
        <f t="shared" si="25"/>
        <v>0</v>
      </c>
      <c r="J156" s="500">
        <f t="shared" si="26"/>
        <v>0</v>
      </c>
      <c r="K156" s="500">
        <f t="shared" si="27"/>
        <v>0</v>
      </c>
      <c r="L156" s="502">
        <f t="shared" si="28"/>
        <v>0</v>
      </c>
      <c r="M156" s="326">
        <f>L156*D156*VPI!Q156</f>
        <v>0</v>
      </c>
    </row>
    <row r="157" spans="1:13" x14ac:dyDescent="0.25">
      <c r="A157" s="170">
        <f>Données!A157</f>
        <v>5663</v>
      </c>
      <c r="B157" s="27" t="str">
        <f>Données!B157</f>
        <v>Bussy-sur-Moudon</v>
      </c>
      <c r="C157" s="377">
        <f>VPI!R157</f>
        <v>6460.7661146496821</v>
      </c>
      <c r="D157" s="27">
        <f>Données!Z157</f>
        <v>246</v>
      </c>
      <c r="E157" s="115">
        <f t="shared" si="21"/>
        <v>26.263276888819846</v>
      </c>
      <c r="F157" s="203">
        <f t="shared" si="22"/>
        <v>0.5421622001082399</v>
      </c>
      <c r="G157" s="500">
        <f t="shared" si="23"/>
        <v>0</v>
      </c>
      <c r="H157" s="500">
        <f t="shared" si="24"/>
        <v>0</v>
      </c>
      <c r="I157" s="500">
        <f t="shared" si="25"/>
        <v>0</v>
      </c>
      <c r="J157" s="500">
        <f t="shared" si="26"/>
        <v>0</v>
      </c>
      <c r="K157" s="500">
        <f t="shared" si="27"/>
        <v>0</v>
      </c>
      <c r="L157" s="502">
        <f t="shared" si="28"/>
        <v>0</v>
      </c>
      <c r="M157" s="326">
        <f>L157*D157*VPI!Q157</f>
        <v>0</v>
      </c>
    </row>
    <row r="158" spans="1:13" x14ac:dyDescent="0.25">
      <c r="A158" s="170">
        <f>Données!A158</f>
        <v>5665</v>
      </c>
      <c r="B158" s="27" t="str">
        <f>Données!B158</f>
        <v>Chavannes-sur-Moudon</v>
      </c>
      <c r="C158" s="377">
        <f>VPI!R158</f>
        <v>5786.5608571428584</v>
      </c>
      <c r="D158" s="27">
        <f>Données!Z158</f>
        <v>218</v>
      </c>
      <c r="E158" s="115">
        <f t="shared" si="21"/>
        <v>26.543857142857149</v>
      </c>
      <c r="F158" s="203">
        <f t="shared" si="22"/>
        <v>0.5479543184520308</v>
      </c>
      <c r="G158" s="500">
        <f t="shared" si="23"/>
        <v>0</v>
      </c>
      <c r="H158" s="500">
        <f t="shared" si="24"/>
        <v>0</v>
      </c>
      <c r="I158" s="500">
        <f t="shared" si="25"/>
        <v>0</v>
      </c>
      <c r="J158" s="500">
        <f t="shared" si="26"/>
        <v>0</v>
      </c>
      <c r="K158" s="500">
        <f t="shared" si="27"/>
        <v>0</v>
      </c>
      <c r="L158" s="502">
        <f t="shared" si="28"/>
        <v>0</v>
      </c>
      <c r="M158" s="326">
        <f>L158*D158*VPI!Q158</f>
        <v>0</v>
      </c>
    </row>
    <row r="159" spans="1:13" x14ac:dyDescent="0.25">
      <c r="A159" s="170">
        <f>Données!A159</f>
        <v>5669</v>
      </c>
      <c r="B159" s="27" t="str">
        <f>Données!B159</f>
        <v>Curtilles</v>
      </c>
      <c r="C159" s="377">
        <f>VPI!R159</f>
        <v>8428.0279452054765</v>
      </c>
      <c r="D159" s="27">
        <f>Données!Z159</f>
        <v>294</v>
      </c>
      <c r="E159" s="115">
        <f t="shared" si="21"/>
        <v>28.666761718385974</v>
      </c>
      <c r="F159" s="203">
        <f t="shared" si="22"/>
        <v>0.59177819542522425</v>
      </c>
      <c r="G159" s="500">
        <f t="shared" si="23"/>
        <v>0</v>
      </c>
      <c r="H159" s="500">
        <f t="shared" si="24"/>
        <v>0</v>
      </c>
      <c r="I159" s="500">
        <f t="shared" si="25"/>
        <v>0</v>
      </c>
      <c r="J159" s="500">
        <f t="shared" si="26"/>
        <v>0</v>
      </c>
      <c r="K159" s="500">
        <f t="shared" si="27"/>
        <v>0</v>
      </c>
      <c r="L159" s="502">
        <f t="shared" si="28"/>
        <v>0</v>
      </c>
      <c r="M159" s="326">
        <f>L159*D159*VPI!Q159</f>
        <v>0</v>
      </c>
    </row>
    <row r="160" spans="1:13" x14ac:dyDescent="0.25">
      <c r="A160" s="170">
        <f>Données!A160</f>
        <v>5671</v>
      </c>
      <c r="B160" s="27" t="str">
        <f>Données!B160</f>
        <v>Dompierre</v>
      </c>
      <c r="C160" s="377">
        <f>VPI!R160</f>
        <v>6751.3758974358971</v>
      </c>
      <c r="D160" s="27">
        <f>Données!Z160</f>
        <v>248</v>
      </c>
      <c r="E160" s="115">
        <f t="shared" si="21"/>
        <v>27.223289909015715</v>
      </c>
      <c r="F160" s="203">
        <f t="shared" si="22"/>
        <v>0.56198009158329476</v>
      </c>
      <c r="G160" s="500">
        <f t="shared" si="23"/>
        <v>0</v>
      </c>
      <c r="H160" s="500">
        <f t="shared" si="24"/>
        <v>0</v>
      </c>
      <c r="I160" s="500">
        <f t="shared" si="25"/>
        <v>0</v>
      </c>
      <c r="J160" s="500">
        <f t="shared" si="26"/>
        <v>0</v>
      </c>
      <c r="K160" s="500">
        <f t="shared" si="27"/>
        <v>0</v>
      </c>
      <c r="L160" s="502">
        <f t="shared" si="28"/>
        <v>0</v>
      </c>
      <c r="M160" s="326">
        <f>L160*D160*VPI!Q160</f>
        <v>0</v>
      </c>
    </row>
    <row r="161" spans="1:13" x14ac:dyDescent="0.25">
      <c r="A161" s="170">
        <f>Données!A161</f>
        <v>5673</v>
      </c>
      <c r="B161" s="27" t="str">
        <f>Données!B161</f>
        <v>Hermenches</v>
      </c>
      <c r="C161" s="377">
        <f>VPI!R161</f>
        <v>9675.0074829931946</v>
      </c>
      <c r="D161" s="27">
        <f>Données!Z161</f>
        <v>374</v>
      </c>
      <c r="E161" s="115">
        <f t="shared" si="21"/>
        <v>25.869003965222447</v>
      </c>
      <c r="F161" s="203">
        <f t="shared" si="22"/>
        <v>0.53402308340145643</v>
      </c>
      <c r="G161" s="500">
        <f t="shared" si="23"/>
        <v>0</v>
      </c>
      <c r="H161" s="500">
        <f t="shared" si="24"/>
        <v>0</v>
      </c>
      <c r="I161" s="500">
        <f t="shared" si="25"/>
        <v>0</v>
      </c>
      <c r="J161" s="500">
        <f t="shared" si="26"/>
        <v>0</v>
      </c>
      <c r="K161" s="500">
        <f t="shared" si="27"/>
        <v>0</v>
      </c>
      <c r="L161" s="502">
        <f t="shared" si="28"/>
        <v>0</v>
      </c>
      <c r="M161" s="326">
        <f>L161*D161*VPI!Q161</f>
        <v>0</v>
      </c>
    </row>
    <row r="162" spans="1:13" x14ac:dyDescent="0.25">
      <c r="A162" s="170">
        <f>Données!A162</f>
        <v>5674</v>
      </c>
      <c r="B162" s="27" t="str">
        <f>Données!B162</f>
        <v>Lovatens</v>
      </c>
      <c r="C162" s="377">
        <f>VPI!R162</f>
        <v>3538.9463999999998</v>
      </c>
      <c r="D162" s="27">
        <f>Données!Z162</f>
        <v>143</v>
      </c>
      <c r="E162" s="115">
        <f t="shared" si="21"/>
        <v>24.747876923076923</v>
      </c>
      <c r="F162" s="203">
        <f t="shared" si="22"/>
        <v>0.5108792576578679</v>
      </c>
      <c r="G162" s="500">
        <f t="shared" si="23"/>
        <v>0</v>
      </c>
      <c r="H162" s="500">
        <f t="shared" si="24"/>
        <v>0</v>
      </c>
      <c r="I162" s="500">
        <f t="shared" si="25"/>
        <v>0</v>
      </c>
      <c r="J162" s="500">
        <f t="shared" si="26"/>
        <v>0</v>
      </c>
      <c r="K162" s="500">
        <f t="shared" si="27"/>
        <v>0</v>
      </c>
      <c r="L162" s="502">
        <f t="shared" si="28"/>
        <v>0</v>
      </c>
      <c r="M162" s="326">
        <f>L162*D162*VPI!Q162</f>
        <v>0</v>
      </c>
    </row>
    <row r="163" spans="1:13" x14ac:dyDescent="0.25">
      <c r="A163" s="170">
        <f>Données!A163</f>
        <v>5675</v>
      </c>
      <c r="B163" s="27" t="str">
        <f>Données!B163</f>
        <v>Lucens</v>
      </c>
      <c r="C163" s="377">
        <f>VPI!R163</f>
        <v>92803.818404185746</v>
      </c>
      <c r="D163" s="27">
        <f>Données!Z163</f>
        <v>4429</v>
      </c>
      <c r="E163" s="115">
        <f t="shared" si="21"/>
        <v>20.953673155155961</v>
      </c>
      <c r="F163" s="203">
        <f t="shared" si="22"/>
        <v>0.43255415484669935</v>
      </c>
      <c r="G163" s="500">
        <f t="shared" si="23"/>
        <v>0</v>
      </c>
      <c r="H163" s="500">
        <f t="shared" si="24"/>
        <v>0</v>
      </c>
      <c r="I163" s="500">
        <f t="shared" si="25"/>
        <v>0</v>
      </c>
      <c r="J163" s="500">
        <f t="shared" si="26"/>
        <v>0</v>
      </c>
      <c r="K163" s="500">
        <f t="shared" si="27"/>
        <v>0</v>
      </c>
      <c r="L163" s="502">
        <f t="shared" si="28"/>
        <v>0</v>
      </c>
      <c r="M163" s="326">
        <f>L163*D163*VPI!Q163</f>
        <v>0</v>
      </c>
    </row>
    <row r="164" spans="1:13" x14ac:dyDescent="0.25">
      <c r="A164" s="170">
        <f>Données!A164</f>
        <v>5678</v>
      </c>
      <c r="B164" s="27" t="str">
        <f>Données!B164</f>
        <v>Moudon</v>
      </c>
      <c r="C164" s="377">
        <f>VPI!R164</f>
        <v>130675.7416551724</v>
      </c>
      <c r="D164" s="27">
        <f>Données!Z164</f>
        <v>6136</v>
      </c>
      <c r="E164" s="115">
        <f t="shared" si="21"/>
        <v>21.296568066357953</v>
      </c>
      <c r="F164" s="203">
        <f t="shared" si="22"/>
        <v>0.4396326569030185</v>
      </c>
      <c r="G164" s="500">
        <f t="shared" si="23"/>
        <v>0</v>
      </c>
      <c r="H164" s="500">
        <f t="shared" si="24"/>
        <v>0</v>
      </c>
      <c r="I164" s="500">
        <f t="shared" si="25"/>
        <v>0</v>
      </c>
      <c r="J164" s="500">
        <f t="shared" si="26"/>
        <v>0</v>
      </c>
      <c r="K164" s="500">
        <f t="shared" si="27"/>
        <v>0</v>
      </c>
      <c r="L164" s="502">
        <f t="shared" si="28"/>
        <v>0</v>
      </c>
      <c r="M164" s="326">
        <f>L164*D164*VPI!Q164</f>
        <v>0</v>
      </c>
    </row>
    <row r="165" spans="1:13" x14ac:dyDescent="0.25">
      <c r="A165" s="170">
        <f>Données!A165</f>
        <v>5680</v>
      </c>
      <c r="B165" s="27" t="str">
        <f>Données!B165</f>
        <v>Ogens</v>
      </c>
      <c r="C165" s="377">
        <f>VPI!R165</f>
        <v>10088.612863247865</v>
      </c>
      <c r="D165" s="27">
        <f>Données!Z165</f>
        <v>324</v>
      </c>
      <c r="E165" s="115">
        <f t="shared" si="21"/>
        <v>31.137694022369953</v>
      </c>
      <c r="F165" s="203">
        <f t="shared" si="22"/>
        <v>0.64278653303357336</v>
      </c>
      <c r="G165" s="500">
        <f t="shared" si="23"/>
        <v>0</v>
      </c>
      <c r="H165" s="500">
        <f t="shared" si="24"/>
        <v>0</v>
      </c>
      <c r="I165" s="500">
        <f t="shared" si="25"/>
        <v>0</v>
      </c>
      <c r="J165" s="500">
        <f t="shared" si="26"/>
        <v>0</v>
      </c>
      <c r="K165" s="500">
        <f t="shared" si="27"/>
        <v>0</v>
      </c>
      <c r="L165" s="502">
        <f t="shared" si="28"/>
        <v>0</v>
      </c>
      <c r="M165" s="326">
        <f>L165*D165*VPI!Q165</f>
        <v>0</v>
      </c>
    </row>
    <row r="166" spans="1:13" x14ac:dyDescent="0.25">
      <c r="A166" s="170">
        <f>Données!A166</f>
        <v>5683</v>
      </c>
      <c r="B166" s="27" t="str">
        <f>Données!B166</f>
        <v>Prévonloup</v>
      </c>
      <c r="C166" s="377">
        <f>VPI!R166</f>
        <v>5181.5891034482765</v>
      </c>
      <c r="D166" s="27">
        <f>Données!Z166</f>
        <v>220</v>
      </c>
      <c r="E166" s="115">
        <f t="shared" si="21"/>
        <v>23.552677742946713</v>
      </c>
      <c r="F166" s="203">
        <f t="shared" si="22"/>
        <v>0.48620633432807558</v>
      </c>
      <c r="G166" s="500">
        <f t="shared" si="23"/>
        <v>0</v>
      </c>
      <c r="H166" s="500">
        <f t="shared" si="24"/>
        <v>0</v>
      </c>
      <c r="I166" s="500">
        <f t="shared" si="25"/>
        <v>0</v>
      </c>
      <c r="J166" s="500">
        <f t="shared" si="26"/>
        <v>0</v>
      </c>
      <c r="K166" s="500">
        <f t="shared" si="27"/>
        <v>0</v>
      </c>
      <c r="L166" s="502">
        <f t="shared" si="28"/>
        <v>0</v>
      </c>
      <c r="M166" s="326">
        <f>L166*D166*VPI!Q166</f>
        <v>0</v>
      </c>
    </row>
    <row r="167" spans="1:13" x14ac:dyDescent="0.25">
      <c r="A167" s="170">
        <f>Données!A167</f>
        <v>5684</v>
      </c>
      <c r="B167" s="27" t="str">
        <f>Données!B167</f>
        <v>Rossenges</v>
      </c>
      <c r="C167" s="377">
        <f>VPI!R167</f>
        <v>7033.3142000000007</v>
      </c>
      <c r="D167" s="27">
        <f>Données!Z167</f>
        <v>93</v>
      </c>
      <c r="E167" s="115">
        <f t="shared" si="21"/>
        <v>75.627034408602157</v>
      </c>
      <c r="F167" s="203">
        <f t="shared" si="22"/>
        <v>1.5611958681395053</v>
      </c>
      <c r="G167" s="500">
        <f t="shared" si="23"/>
        <v>27.185300765835251</v>
      </c>
      <c r="H167" s="500">
        <f t="shared" si="24"/>
        <v>17.496954037281874</v>
      </c>
      <c r="I167" s="500">
        <f t="shared" si="25"/>
        <v>2.9644339444517982</v>
      </c>
      <c r="J167" s="500">
        <f t="shared" si="26"/>
        <v>0</v>
      </c>
      <c r="K167" s="500">
        <f t="shared" si="27"/>
        <v>0</v>
      </c>
      <c r="L167" s="502">
        <f t="shared" si="28"/>
        <v>7.4831989513404178</v>
      </c>
      <c r="M167" s="326">
        <f>L167*D167*VPI!Q167</f>
        <v>52195.312685599412</v>
      </c>
    </row>
    <row r="168" spans="1:13" x14ac:dyDescent="0.25">
      <c r="A168" s="170">
        <f>Données!A168</f>
        <v>5688</v>
      </c>
      <c r="B168" s="27" t="str">
        <f>Données!B168</f>
        <v>Syens</v>
      </c>
      <c r="C168" s="377">
        <f>VPI!R168</f>
        <v>5277.0104615384616</v>
      </c>
      <c r="D168" s="27">
        <f>Données!Z168</f>
        <v>164</v>
      </c>
      <c r="E168" s="115">
        <f t="shared" si="21"/>
        <v>32.176893058161355</v>
      </c>
      <c r="F168" s="203">
        <f t="shared" si="22"/>
        <v>0.66423908969587131</v>
      </c>
      <c r="G168" s="500">
        <f t="shared" si="23"/>
        <v>0</v>
      </c>
      <c r="H168" s="500">
        <f t="shared" si="24"/>
        <v>0</v>
      </c>
      <c r="I168" s="500">
        <f t="shared" si="25"/>
        <v>0</v>
      </c>
      <c r="J168" s="500">
        <f t="shared" si="26"/>
        <v>0</v>
      </c>
      <c r="K168" s="500">
        <f t="shared" si="27"/>
        <v>0</v>
      </c>
      <c r="L168" s="502">
        <f t="shared" si="28"/>
        <v>0</v>
      </c>
      <c r="M168" s="326">
        <f>L168*D168*VPI!Q168</f>
        <v>0</v>
      </c>
    </row>
    <row r="169" spans="1:13" x14ac:dyDescent="0.25">
      <c r="A169" s="170">
        <f>Données!A169</f>
        <v>5690</v>
      </c>
      <c r="B169" s="27" t="str">
        <f>Données!B169</f>
        <v>Villars-le-Comte</v>
      </c>
      <c r="C169" s="377">
        <f>VPI!R169</f>
        <v>4331.3836666666666</v>
      </c>
      <c r="D169" s="27">
        <f>Données!Z169</f>
        <v>138</v>
      </c>
      <c r="E169" s="115">
        <f t="shared" si="21"/>
        <v>31.386838164251209</v>
      </c>
      <c r="F169" s="203">
        <f t="shared" si="22"/>
        <v>0.64792970449226983</v>
      </c>
      <c r="G169" s="500">
        <f t="shared" si="23"/>
        <v>0</v>
      </c>
      <c r="H169" s="500">
        <f t="shared" si="24"/>
        <v>0</v>
      </c>
      <c r="I169" s="500">
        <f t="shared" si="25"/>
        <v>0</v>
      </c>
      <c r="J169" s="500">
        <f t="shared" si="26"/>
        <v>0</v>
      </c>
      <c r="K169" s="500">
        <f t="shared" si="27"/>
        <v>0</v>
      </c>
      <c r="L169" s="502">
        <f t="shared" si="28"/>
        <v>0</v>
      </c>
      <c r="M169" s="326">
        <f>L169*D169*VPI!Q169</f>
        <v>0</v>
      </c>
    </row>
    <row r="170" spans="1:13" x14ac:dyDescent="0.25">
      <c r="A170" s="170">
        <f>Données!A170</f>
        <v>5692</v>
      </c>
      <c r="B170" s="27" t="str">
        <f>Données!B170</f>
        <v>Vucherens</v>
      </c>
      <c r="C170" s="377">
        <f>VPI!R170</f>
        <v>18948.300519480523</v>
      </c>
      <c r="D170" s="27">
        <f>Données!Z170</f>
        <v>638</v>
      </c>
      <c r="E170" s="115">
        <f t="shared" si="21"/>
        <v>29.699530594797057</v>
      </c>
      <c r="F170" s="203">
        <f t="shared" si="22"/>
        <v>0.61309801201203817</v>
      </c>
      <c r="G170" s="500">
        <f t="shared" si="23"/>
        <v>0</v>
      </c>
      <c r="H170" s="500">
        <f t="shared" si="24"/>
        <v>0</v>
      </c>
      <c r="I170" s="500">
        <f t="shared" si="25"/>
        <v>0</v>
      </c>
      <c r="J170" s="500">
        <f t="shared" si="26"/>
        <v>0</v>
      </c>
      <c r="K170" s="500">
        <f t="shared" si="27"/>
        <v>0</v>
      </c>
      <c r="L170" s="502">
        <f t="shared" si="28"/>
        <v>0</v>
      </c>
      <c r="M170" s="326">
        <f>L170*D170*VPI!Q170</f>
        <v>0</v>
      </c>
    </row>
    <row r="171" spans="1:13" x14ac:dyDescent="0.25">
      <c r="A171" s="170">
        <f>Données!A171</f>
        <v>5693</v>
      </c>
      <c r="B171" s="27" t="str">
        <f>Données!B171</f>
        <v>Montanaire</v>
      </c>
      <c r="C171" s="377">
        <f>VPI!R171</f>
        <v>80078.044999999984</v>
      </c>
      <c r="D171" s="27">
        <f>Données!Z171</f>
        <v>2820</v>
      </c>
      <c r="E171" s="115">
        <f t="shared" si="21"/>
        <v>28.396469858156024</v>
      </c>
      <c r="F171" s="203">
        <f t="shared" si="22"/>
        <v>0.58619846406748188</v>
      </c>
      <c r="G171" s="500">
        <f t="shared" si="23"/>
        <v>0</v>
      </c>
      <c r="H171" s="500">
        <f t="shared" si="24"/>
        <v>0</v>
      </c>
      <c r="I171" s="500">
        <f t="shared" si="25"/>
        <v>0</v>
      </c>
      <c r="J171" s="500">
        <f t="shared" si="26"/>
        <v>0</v>
      </c>
      <c r="K171" s="500">
        <f t="shared" si="27"/>
        <v>0</v>
      </c>
      <c r="L171" s="502">
        <f t="shared" si="28"/>
        <v>0</v>
      </c>
      <c r="M171" s="326">
        <f>L171*D171*VPI!Q171</f>
        <v>0</v>
      </c>
    </row>
    <row r="172" spans="1:13" x14ac:dyDescent="0.25">
      <c r="A172" s="170">
        <f>Données!A172</f>
        <v>5701</v>
      </c>
      <c r="B172" s="27" t="str">
        <f>Données!B172</f>
        <v>Arnex-sur-Nyon</v>
      </c>
      <c r="C172" s="377">
        <f>VPI!R172</f>
        <v>12996.826285714285</v>
      </c>
      <c r="D172" s="27">
        <f>Données!Z172</f>
        <v>240</v>
      </c>
      <c r="E172" s="115">
        <f t="shared" si="21"/>
        <v>54.153442857142856</v>
      </c>
      <c r="F172" s="203">
        <f t="shared" si="22"/>
        <v>1.1179088522408569</v>
      </c>
      <c r="G172" s="500">
        <f t="shared" si="23"/>
        <v>5.7117092143759507</v>
      </c>
      <c r="H172" s="500">
        <f t="shared" si="24"/>
        <v>0</v>
      </c>
      <c r="I172" s="500">
        <f t="shared" si="25"/>
        <v>0</v>
      </c>
      <c r="J172" s="500">
        <f t="shared" si="26"/>
        <v>0</v>
      </c>
      <c r="K172" s="500">
        <f t="shared" si="27"/>
        <v>0</v>
      </c>
      <c r="L172" s="502">
        <f t="shared" si="28"/>
        <v>1.1423418428751901</v>
      </c>
      <c r="M172" s="326">
        <f>L172*D172*VPI!Q172</f>
        <v>19191.342960303195</v>
      </c>
    </row>
    <row r="173" spans="1:13" x14ac:dyDescent="0.25">
      <c r="A173" s="170">
        <f>Données!A173</f>
        <v>5702</v>
      </c>
      <c r="B173" s="27" t="str">
        <f>Données!B173</f>
        <v>Arzier-Le Muids</v>
      </c>
      <c r="C173" s="377">
        <f>VPI!R173</f>
        <v>187984.45531250001</v>
      </c>
      <c r="D173" s="27">
        <f>Données!Z173</f>
        <v>2955</v>
      </c>
      <c r="E173" s="115">
        <f t="shared" si="21"/>
        <v>63.615720917935704</v>
      </c>
      <c r="F173" s="203">
        <f t="shared" si="22"/>
        <v>1.3132420360317658</v>
      </c>
      <c r="G173" s="500">
        <f t="shared" si="23"/>
        <v>15.173987275168798</v>
      </c>
      <c r="H173" s="500">
        <f t="shared" si="24"/>
        <v>5.4856405466154214</v>
      </c>
      <c r="I173" s="500">
        <f t="shared" si="25"/>
        <v>0</v>
      </c>
      <c r="J173" s="500">
        <f t="shared" si="26"/>
        <v>0</v>
      </c>
      <c r="K173" s="500">
        <f t="shared" si="27"/>
        <v>0</v>
      </c>
      <c r="L173" s="502">
        <f t="shared" si="28"/>
        <v>3.583361509695302</v>
      </c>
      <c r="M173" s="326">
        <f>L173*D173*VPI!Q173</f>
        <v>677685.32871357549</v>
      </c>
    </row>
    <row r="174" spans="1:13" x14ac:dyDescent="0.25">
      <c r="A174" s="170">
        <f>Données!A174</f>
        <v>5703</v>
      </c>
      <c r="B174" s="27" t="str">
        <f>Données!B174</f>
        <v>Bassins</v>
      </c>
      <c r="C174" s="377">
        <f>VPI!R174</f>
        <v>65441.246975369453</v>
      </c>
      <c r="D174" s="27">
        <f>Données!Z174</f>
        <v>1478</v>
      </c>
      <c r="E174" s="115">
        <f t="shared" si="21"/>
        <v>44.27689240552737</v>
      </c>
      <c r="F174" s="203">
        <f t="shared" si="22"/>
        <v>0.91402369560195518</v>
      </c>
      <c r="G174" s="500">
        <f t="shared" si="23"/>
        <v>0</v>
      </c>
      <c r="H174" s="500">
        <f t="shared" si="24"/>
        <v>0</v>
      </c>
      <c r="I174" s="500">
        <f t="shared" si="25"/>
        <v>0</v>
      </c>
      <c r="J174" s="500">
        <f t="shared" si="26"/>
        <v>0</v>
      </c>
      <c r="K174" s="500">
        <f t="shared" si="27"/>
        <v>0</v>
      </c>
      <c r="L174" s="502">
        <f t="shared" si="28"/>
        <v>0</v>
      </c>
      <c r="M174" s="326">
        <f>L174*D174*VPI!Q174</f>
        <v>0</v>
      </c>
    </row>
    <row r="175" spans="1:13" x14ac:dyDescent="0.25">
      <c r="A175" s="170">
        <f>Données!A175</f>
        <v>5704</v>
      </c>
      <c r="B175" s="27" t="str">
        <f>Données!B175</f>
        <v>Begnins</v>
      </c>
      <c r="C175" s="377">
        <f>VPI!R175</f>
        <v>129730.03685333332</v>
      </c>
      <c r="D175" s="27">
        <f>Données!Z175</f>
        <v>1939</v>
      </c>
      <c r="E175" s="115">
        <f t="shared" si="21"/>
        <v>66.905640460718573</v>
      </c>
      <c r="F175" s="203">
        <f t="shared" si="22"/>
        <v>1.3811570195673335</v>
      </c>
      <c r="G175" s="500">
        <f t="shared" si="23"/>
        <v>18.463906817951667</v>
      </c>
      <c r="H175" s="500">
        <f t="shared" si="24"/>
        <v>8.7755600893982901</v>
      </c>
      <c r="I175" s="500">
        <f t="shared" si="25"/>
        <v>0</v>
      </c>
      <c r="J175" s="500">
        <f t="shared" si="26"/>
        <v>0</v>
      </c>
      <c r="K175" s="500">
        <f t="shared" si="27"/>
        <v>0</v>
      </c>
      <c r="L175" s="502">
        <f t="shared" si="28"/>
        <v>4.5703373725301626</v>
      </c>
      <c r="M175" s="326">
        <f>L175*D175*VPI!Q175</f>
        <v>553867.76033349906</v>
      </c>
    </row>
    <row r="176" spans="1:13" x14ac:dyDescent="0.25">
      <c r="A176" s="170">
        <f>Données!A176</f>
        <v>5705</v>
      </c>
      <c r="B176" s="27" t="str">
        <f>Données!B176</f>
        <v>Bogis-Bossey</v>
      </c>
      <c r="C176" s="377">
        <f>VPI!R176</f>
        <v>51044.070201342278</v>
      </c>
      <c r="D176" s="27">
        <f>Données!Z176</f>
        <v>923</v>
      </c>
      <c r="E176" s="115">
        <f t="shared" si="21"/>
        <v>55.302351247391414</v>
      </c>
      <c r="F176" s="203">
        <f t="shared" si="22"/>
        <v>1.1416261782705397</v>
      </c>
      <c r="G176" s="500">
        <f t="shared" si="23"/>
        <v>6.8606176046245082</v>
      </c>
      <c r="H176" s="500">
        <f t="shared" si="24"/>
        <v>0</v>
      </c>
      <c r="I176" s="500">
        <f t="shared" si="25"/>
        <v>0</v>
      </c>
      <c r="J176" s="500">
        <f t="shared" si="26"/>
        <v>0</v>
      </c>
      <c r="K176" s="500">
        <f t="shared" si="27"/>
        <v>0</v>
      </c>
      <c r="L176" s="502">
        <f t="shared" si="28"/>
        <v>1.3721235209249016</v>
      </c>
      <c r="M176" s="326">
        <f>L176*D176*VPI!Q176</f>
        <v>94352.015731119463</v>
      </c>
    </row>
    <row r="177" spans="1:13" x14ac:dyDescent="0.25">
      <c r="A177" s="170">
        <f>Données!A177</f>
        <v>5706</v>
      </c>
      <c r="B177" s="27" t="str">
        <f>Données!B177</f>
        <v>Borex</v>
      </c>
      <c r="C177" s="377">
        <f>VPI!R177</f>
        <v>156857.9796491228</v>
      </c>
      <c r="D177" s="27">
        <f>Données!Z177</f>
        <v>1131</v>
      </c>
      <c r="E177" s="115">
        <f t="shared" si="21"/>
        <v>138.68963717871159</v>
      </c>
      <c r="F177" s="203">
        <f t="shared" si="22"/>
        <v>2.8630196887972046</v>
      </c>
      <c r="G177" s="500">
        <f t="shared" si="23"/>
        <v>90.247903535944687</v>
      </c>
      <c r="H177" s="500">
        <f t="shared" si="24"/>
        <v>80.559556807391317</v>
      </c>
      <c r="I177" s="500">
        <f t="shared" si="25"/>
        <v>66.027036714561234</v>
      </c>
      <c r="J177" s="500">
        <f t="shared" si="26"/>
        <v>41.806169893177781</v>
      </c>
      <c r="K177" s="500">
        <f t="shared" si="27"/>
        <v>0</v>
      </c>
      <c r="L177" s="502">
        <f t="shared" si="28"/>
        <v>36.888857048701972</v>
      </c>
      <c r="M177" s="326">
        <f>L177*D177*VPI!Q177</f>
        <v>2378113.9473586702</v>
      </c>
    </row>
    <row r="178" spans="1:13" x14ac:dyDescent="0.25">
      <c r="A178" s="170">
        <f>Données!A178</f>
        <v>5707</v>
      </c>
      <c r="B178" s="27" t="str">
        <f>Données!B178</f>
        <v>Chavannes-de-Bogis</v>
      </c>
      <c r="C178" s="377">
        <f>VPI!R178</f>
        <v>86804.197126436775</v>
      </c>
      <c r="D178" s="27">
        <f>Données!Z178</f>
        <v>1314</v>
      </c>
      <c r="E178" s="115">
        <f t="shared" si="21"/>
        <v>66.061032820728144</v>
      </c>
      <c r="F178" s="203">
        <f t="shared" si="22"/>
        <v>1.3637214825525152</v>
      </c>
      <c r="G178" s="500">
        <f t="shared" si="23"/>
        <v>17.619299177961238</v>
      </c>
      <c r="H178" s="500">
        <f t="shared" si="24"/>
        <v>7.9309524494078616</v>
      </c>
      <c r="I178" s="500">
        <f t="shared" si="25"/>
        <v>0</v>
      </c>
      <c r="J178" s="500">
        <f t="shared" si="26"/>
        <v>0</v>
      </c>
      <c r="K178" s="500">
        <f t="shared" si="27"/>
        <v>0</v>
      </c>
      <c r="L178" s="502">
        <f t="shared" si="28"/>
        <v>4.3169550805330337</v>
      </c>
      <c r="M178" s="326">
        <f>L178*D178*VPI!Q178</f>
        <v>329003.78059758357</v>
      </c>
    </row>
    <row r="179" spans="1:13" x14ac:dyDescent="0.25">
      <c r="A179" s="170">
        <f>Données!A179</f>
        <v>5708</v>
      </c>
      <c r="B179" s="27" t="str">
        <f>Données!B179</f>
        <v>Chavannes-des-Bois</v>
      </c>
      <c r="C179" s="377">
        <f>VPI!R179</f>
        <v>68806.761617647047</v>
      </c>
      <c r="D179" s="27">
        <f>Données!Z179</f>
        <v>1020</v>
      </c>
      <c r="E179" s="115">
        <f t="shared" si="21"/>
        <v>67.457609429065727</v>
      </c>
      <c r="F179" s="203">
        <f t="shared" si="22"/>
        <v>1.392551512019186</v>
      </c>
      <c r="G179" s="500">
        <f t="shared" si="23"/>
        <v>19.015875786298821</v>
      </c>
      <c r="H179" s="500">
        <f t="shared" si="24"/>
        <v>9.3275290577454442</v>
      </c>
      <c r="I179" s="500">
        <f t="shared" si="25"/>
        <v>0</v>
      </c>
      <c r="J179" s="500">
        <f t="shared" si="26"/>
        <v>0</v>
      </c>
      <c r="K179" s="500">
        <f t="shared" si="27"/>
        <v>0</v>
      </c>
      <c r="L179" s="502">
        <f t="shared" si="28"/>
        <v>4.7359280630343088</v>
      </c>
      <c r="M179" s="326">
        <f>L179*D179*VPI!Q179</f>
        <v>328483.97045205964</v>
      </c>
    </row>
    <row r="180" spans="1:13" x14ac:dyDescent="0.25">
      <c r="A180" s="170">
        <f>Données!A180</f>
        <v>5709</v>
      </c>
      <c r="B180" s="27" t="str">
        <f>Données!B180</f>
        <v>Chéserex</v>
      </c>
      <c r="C180" s="377">
        <f>VPI!R180</f>
        <v>90983.63491228073</v>
      </c>
      <c r="D180" s="27">
        <f>Données!Z180</f>
        <v>1251</v>
      </c>
      <c r="E180" s="115">
        <f t="shared" si="21"/>
        <v>72.728724949864699</v>
      </c>
      <c r="F180" s="203">
        <f t="shared" si="22"/>
        <v>1.5013650313632863</v>
      </c>
      <c r="G180" s="500">
        <f t="shared" si="23"/>
        <v>24.286991307097793</v>
      </c>
      <c r="H180" s="500">
        <f t="shared" si="24"/>
        <v>14.598644578544416</v>
      </c>
      <c r="I180" s="500">
        <f t="shared" si="25"/>
        <v>6.6124485714340153E-2</v>
      </c>
      <c r="J180" s="500">
        <f t="shared" si="26"/>
        <v>0</v>
      </c>
      <c r="K180" s="500">
        <f t="shared" si="27"/>
        <v>0</v>
      </c>
      <c r="L180" s="502">
        <f t="shared" si="28"/>
        <v>6.3238751678454346</v>
      </c>
      <c r="M180" s="326">
        <f>L180*D180*VPI!Q180</f>
        <v>450936.56659355439</v>
      </c>
    </row>
    <row r="181" spans="1:13" x14ac:dyDescent="0.25">
      <c r="A181" s="170">
        <f>Données!A181</f>
        <v>5710</v>
      </c>
      <c r="B181" s="27" t="str">
        <f>Données!B181</f>
        <v>Coinsins</v>
      </c>
      <c r="C181" s="377">
        <f>VPI!R181</f>
        <v>33549.646470588232</v>
      </c>
      <c r="D181" s="27">
        <f>Données!Z181</f>
        <v>499</v>
      </c>
      <c r="E181" s="115">
        <f t="shared" si="21"/>
        <v>67.233760462100662</v>
      </c>
      <c r="F181" s="203">
        <f t="shared" si="22"/>
        <v>1.3879305178859902</v>
      </c>
      <c r="G181" s="500">
        <f t="shared" si="23"/>
        <v>18.792026819333756</v>
      </c>
      <c r="H181" s="500">
        <f t="shared" si="24"/>
        <v>9.1036800907803794</v>
      </c>
      <c r="I181" s="500">
        <f t="shared" si="25"/>
        <v>0</v>
      </c>
      <c r="J181" s="500">
        <f t="shared" si="26"/>
        <v>0</v>
      </c>
      <c r="K181" s="500">
        <f t="shared" si="27"/>
        <v>0</v>
      </c>
      <c r="L181" s="502">
        <f t="shared" si="28"/>
        <v>4.6687733729447896</v>
      </c>
      <c r="M181" s="326">
        <f>L181*D181*VPI!Q181</f>
        <v>118815.61356807195</v>
      </c>
    </row>
    <row r="182" spans="1:13" x14ac:dyDescent="0.25">
      <c r="A182" s="170">
        <f>Données!A182</f>
        <v>5711</v>
      </c>
      <c r="B182" s="27" t="str">
        <f>Données!B182</f>
        <v>Commugny</v>
      </c>
      <c r="C182" s="377">
        <f>VPI!R182</f>
        <v>305461.09360323887</v>
      </c>
      <c r="D182" s="27">
        <f>Données!Z182</f>
        <v>2989</v>
      </c>
      <c r="E182" s="115">
        <f t="shared" si="21"/>
        <v>102.19507982711237</v>
      </c>
      <c r="F182" s="203">
        <f t="shared" si="22"/>
        <v>2.1096495138004143</v>
      </c>
      <c r="G182" s="500">
        <f t="shared" si="23"/>
        <v>53.75334618434546</v>
      </c>
      <c r="H182" s="500">
        <f t="shared" si="24"/>
        <v>44.064999455792083</v>
      </c>
      <c r="I182" s="500">
        <f t="shared" si="25"/>
        <v>29.532479362962007</v>
      </c>
      <c r="J182" s="500">
        <f t="shared" si="26"/>
        <v>5.3116125415785547</v>
      </c>
      <c r="K182" s="500">
        <f t="shared" si="27"/>
        <v>0</v>
      </c>
      <c r="L182" s="502">
        <f t="shared" si="28"/>
        <v>18.641578372902359</v>
      </c>
      <c r="M182" s="326">
        <f>L182*D182*VPI!Q182</f>
        <v>3176021.6321264938</v>
      </c>
    </row>
    <row r="183" spans="1:13" x14ac:dyDescent="0.25">
      <c r="A183" s="170">
        <f>Données!A183</f>
        <v>5712</v>
      </c>
      <c r="B183" s="27" t="str">
        <f>Données!B183</f>
        <v>Coppet</v>
      </c>
      <c r="C183" s="377">
        <f>VPI!R183</f>
        <v>422782.58779874217</v>
      </c>
      <c r="D183" s="27">
        <f>Données!Z183</f>
        <v>3184</v>
      </c>
      <c r="E183" s="115">
        <f t="shared" si="21"/>
        <v>132.78347606744416</v>
      </c>
      <c r="F183" s="203">
        <f t="shared" si="22"/>
        <v>2.7410966966346542</v>
      </c>
      <c r="G183" s="500">
        <f t="shared" si="23"/>
        <v>84.34174242467725</v>
      </c>
      <c r="H183" s="500">
        <f t="shared" si="24"/>
        <v>74.65339569612388</v>
      </c>
      <c r="I183" s="500">
        <f t="shared" si="25"/>
        <v>60.120875603293797</v>
      </c>
      <c r="J183" s="500">
        <f t="shared" si="26"/>
        <v>35.900008781910344</v>
      </c>
      <c r="K183" s="500">
        <f t="shared" si="27"/>
        <v>0</v>
      </c>
      <c r="L183" s="502">
        <f t="shared" si="28"/>
        <v>33.935776493068254</v>
      </c>
      <c r="M183" s="326">
        <f>L183*D183*VPI!Q183</f>
        <v>5726730.1547582531</v>
      </c>
    </row>
    <row r="184" spans="1:13" x14ac:dyDescent="0.25">
      <c r="A184" s="170">
        <f>Données!A184</f>
        <v>5713</v>
      </c>
      <c r="B184" s="27" t="str">
        <f>Données!B184</f>
        <v>Crans</v>
      </c>
      <c r="C184" s="377">
        <f>VPI!R184</f>
        <v>284269.17355932208</v>
      </c>
      <c r="D184" s="27">
        <f>Données!Z184</f>
        <v>2360</v>
      </c>
      <c r="E184" s="115">
        <f t="shared" si="21"/>
        <v>120.45303964378054</v>
      </c>
      <c r="F184" s="203">
        <f t="shared" si="22"/>
        <v>2.4865550959026428</v>
      </c>
      <c r="G184" s="500">
        <f t="shared" si="23"/>
        <v>72.011306001013637</v>
      </c>
      <c r="H184" s="500">
        <f t="shared" si="24"/>
        <v>62.32295927246026</v>
      </c>
      <c r="I184" s="500">
        <f t="shared" si="25"/>
        <v>47.790439179630184</v>
      </c>
      <c r="J184" s="500">
        <f t="shared" si="26"/>
        <v>23.569572358246731</v>
      </c>
      <c r="K184" s="500">
        <f t="shared" si="27"/>
        <v>0</v>
      </c>
      <c r="L184" s="502">
        <f t="shared" si="28"/>
        <v>27.770558281236447</v>
      </c>
      <c r="M184" s="326">
        <f>L184*D184*VPI!Q184</f>
        <v>3866772.5350793628</v>
      </c>
    </row>
    <row r="185" spans="1:13" x14ac:dyDescent="0.25">
      <c r="A185" s="170">
        <f>Données!A185</f>
        <v>5714</v>
      </c>
      <c r="B185" s="27" t="str">
        <f>Données!B185</f>
        <v>Crassier</v>
      </c>
      <c r="C185" s="377">
        <f>VPI!R185</f>
        <v>62524.655789473691</v>
      </c>
      <c r="D185" s="27">
        <f>Données!Z185</f>
        <v>1234</v>
      </c>
      <c r="E185" s="115">
        <f t="shared" si="21"/>
        <v>50.6682785976286</v>
      </c>
      <c r="F185" s="203">
        <f t="shared" si="22"/>
        <v>1.0459633623206248</v>
      </c>
      <c r="G185" s="500">
        <f t="shared" si="23"/>
        <v>2.2265449548616942</v>
      </c>
      <c r="H185" s="500">
        <f t="shared" si="24"/>
        <v>0</v>
      </c>
      <c r="I185" s="500">
        <f t="shared" si="25"/>
        <v>0</v>
      </c>
      <c r="J185" s="500">
        <f t="shared" si="26"/>
        <v>0</v>
      </c>
      <c r="K185" s="500">
        <f t="shared" si="27"/>
        <v>0</v>
      </c>
      <c r="L185" s="502">
        <f t="shared" si="28"/>
        <v>0.44530899097233889</v>
      </c>
      <c r="M185" s="326">
        <f>L185*D185*VPI!Q185</f>
        <v>36542.501108181103</v>
      </c>
    </row>
    <row r="186" spans="1:13" x14ac:dyDescent="0.25">
      <c r="A186" s="170">
        <f>Données!A186</f>
        <v>5715</v>
      </c>
      <c r="B186" s="27" t="str">
        <f>Données!B186</f>
        <v>Duillier</v>
      </c>
      <c r="C186" s="377">
        <f>VPI!R186</f>
        <v>60550.113787878792</v>
      </c>
      <c r="D186" s="27">
        <f>Données!Z186</f>
        <v>1116</v>
      </c>
      <c r="E186" s="115">
        <f t="shared" si="21"/>
        <v>54.256374361898558</v>
      </c>
      <c r="F186" s="203">
        <f t="shared" si="22"/>
        <v>1.1200337040373423</v>
      </c>
      <c r="G186" s="500">
        <f t="shared" si="23"/>
        <v>5.8146407191316527</v>
      </c>
      <c r="H186" s="500">
        <f t="shared" si="24"/>
        <v>0</v>
      </c>
      <c r="I186" s="500">
        <f t="shared" si="25"/>
        <v>0</v>
      </c>
      <c r="J186" s="500">
        <f t="shared" si="26"/>
        <v>0</v>
      </c>
      <c r="K186" s="500">
        <f t="shared" si="27"/>
        <v>0</v>
      </c>
      <c r="L186" s="502">
        <f t="shared" si="28"/>
        <v>1.1629281438263306</v>
      </c>
      <c r="M186" s="326">
        <f>L186*D186*VPI!Q186</f>
        <v>85656.635361672204</v>
      </c>
    </row>
    <row r="187" spans="1:13" x14ac:dyDescent="0.25">
      <c r="A187" s="170">
        <f>Données!A187</f>
        <v>5716</v>
      </c>
      <c r="B187" s="27" t="str">
        <f>Données!B187</f>
        <v>Eysins</v>
      </c>
      <c r="C187" s="377">
        <f>VPI!R187</f>
        <v>232571.69630252098</v>
      </c>
      <c r="D187" s="27">
        <f>Données!Z187</f>
        <v>1767</v>
      </c>
      <c r="E187" s="115">
        <f t="shared" si="21"/>
        <v>131.61952252547877</v>
      </c>
      <c r="F187" s="203">
        <f t="shared" si="22"/>
        <v>2.7170687881673614</v>
      </c>
      <c r="G187" s="500">
        <f t="shared" si="23"/>
        <v>83.177788882711866</v>
      </c>
      <c r="H187" s="500">
        <f t="shared" si="24"/>
        <v>73.489442154158496</v>
      </c>
      <c r="I187" s="500">
        <f t="shared" si="25"/>
        <v>58.956922061328413</v>
      </c>
      <c r="J187" s="500">
        <f t="shared" si="26"/>
        <v>34.73605523994496</v>
      </c>
      <c r="K187" s="500">
        <f t="shared" si="27"/>
        <v>0</v>
      </c>
      <c r="L187" s="502">
        <f t="shared" si="28"/>
        <v>33.353799722085562</v>
      </c>
      <c r="M187" s="326">
        <f>L187*D187*VPI!Q187</f>
        <v>3506701.7644810486</v>
      </c>
    </row>
    <row r="188" spans="1:13" x14ac:dyDescent="0.25">
      <c r="A188" s="170">
        <f>Données!A188</f>
        <v>5717</v>
      </c>
      <c r="B188" s="27" t="str">
        <f>Données!B188</f>
        <v>Founex</v>
      </c>
      <c r="C188" s="377">
        <f>VPI!R188</f>
        <v>361582.97087719297</v>
      </c>
      <c r="D188" s="27">
        <f>Données!Z188</f>
        <v>3766</v>
      </c>
      <c r="E188" s="115">
        <f t="shared" si="21"/>
        <v>96.012472351883417</v>
      </c>
      <c r="F188" s="203">
        <f t="shared" si="22"/>
        <v>1.9820197406625961</v>
      </c>
      <c r="G188" s="500">
        <f t="shared" si="23"/>
        <v>47.570738709116512</v>
      </c>
      <c r="H188" s="500">
        <f t="shared" si="24"/>
        <v>37.882391980563135</v>
      </c>
      <c r="I188" s="500">
        <f t="shared" si="25"/>
        <v>23.349871887733059</v>
      </c>
      <c r="J188" s="500">
        <f t="shared" si="26"/>
        <v>0</v>
      </c>
      <c r="K188" s="500">
        <f t="shared" si="27"/>
        <v>0</v>
      </c>
      <c r="L188" s="502">
        <f t="shared" si="28"/>
        <v>15.637374128652922</v>
      </c>
      <c r="M188" s="326">
        <f>L188*D188*VPI!Q188</f>
        <v>3356750.0052048936</v>
      </c>
    </row>
    <row r="189" spans="1:13" x14ac:dyDescent="0.25">
      <c r="A189" s="170">
        <f>Données!A189</f>
        <v>5718</v>
      </c>
      <c r="B189" s="27" t="str">
        <f>Données!B189</f>
        <v>Genolier</v>
      </c>
      <c r="C189" s="377">
        <f>VPI!R189</f>
        <v>212699.2265454545</v>
      </c>
      <c r="D189" s="27">
        <f>Données!Z189</f>
        <v>2027</v>
      </c>
      <c r="E189" s="115">
        <f t="shared" si="21"/>
        <v>104.93301753599137</v>
      </c>
      <c r="F189" s="203">
        <f t="shared" si="22"/>
        <v>2.1661697392958494</v>
      </c>
      <c r="G189" s="500">
        <f t="shared" si="23"/>
        <v>56.491283893224463</v>
      </c>
      <c r="H189" s="500">
        <f t="shared" si="24"/>
        <v>46.802937164671086</v>
      </c>
      <c r="I189" s="500">
        <f t="shared" si="25"/>
        <v>32.27041707184101</v>
      </c>
      <c r="J189" s="500">
        <f t="shared" si="26"/>
        <v>8.0495502504575569</v>
      </c>
      <c r="K189" s="500">
        <f t="shared" si="27"/>
        <v>0</v>
      </c>
      <c r="L189" s="502">
        <f t="shared" si="28"/>
        <v>20.01054722734186</v>
      </c>
      <c r="M189" s="326">
        <f>L189*D189*VPI!Q189</f>
        <v>2230875.8576402073</v>
      </c>
    </row>
    <row r="190" spans="1:13" x14ac:dyDescent="0.25">
      <c r="A190" s="170">
        <f>Données!A190</f>
        <v>5719</v>
      </c>
      <c r="B190" s="27" t="str">
        <f>Données!B190</f>
        <v>Gingins</v>
      </c>
      <c r="C190" s="377">
        <f>VPI!R190</f>
        <v>119943.29911111109</v>
      </c>
      <c r="D190" s="27">
        <f>Données!Z190</f>
        <v>1271</v>
      </c>
      <c r="E190" s="115">
        <f t="shared" si="21"/>
        <v>94.369236122038629</v>
      </c>
      <c r="F190" s="203">
        <f t="shared" si="22"/>
        <v>1.9480978285782182</v>
      </c>
      <c r="G190" s="500">
        <f t="shared" si="23"/>
        <v>45.927502479271723</v>
      </c>
      <c r="H190" s="500">
        <f t="shared" si="24"/>
        <v>36.239155750718346</v>
      </c>
      <c r="I190" s="500">
        <f t="shared" si="25"/>
        <v>21.70663565788827</v>
      </c>
      <c r="J190" s="500">
        <f t="shared" si="26"/>
        <v>0</v>
      </c>
      <c r="K190" s="500">
        <f t="shared" si="27"/>
        <v>0</v>
      </c>
      <c r="L190" s="502">
        <f t="shared" si="28"/>
        <v>14.980079636715008</v>
      </c>
      <c r="M190" s="326">
        <f>L190*D190*VPI!Q190</f>
        <v>1142380.8730958863</v>
      </c>
    </row>
    <row r="191" spans="1:13" x14ac:dyDescent="0.25">
      <c r="A191" s="170">
        <f>Données!A191</f>
        <v>5720</v>
      </c>
      <c r="B191" s="27" t="str">
        <f>Données!B191</f>
        <v>Givrins</v>
      </c>
      <c r="C191" s="377">
        <f>VPI!R191</f>
        <v>84868.432139303477</v>
      </c>
      <c r="D191" s="27">
        <f>Données!Z191</f>
        <v>1026</v>
      </c>
      <c r="E191" s="115">
        <f t="shared" si="21"/>
        <v>82.717770116280192</v>
      </c>
      <c r="F191" s="203">
        <f t="shared" si="22"/>
        <v>1.7075724565574302</v>
      </c>
      <c r="G191" s="500">
        <f t="shared" si="23"/>
        <v>34.276036473513287</v>
      </c>
      <c r="H191" s="500">
        <f t="shared" si="24"/>
        <v>24.58768974495991</v>
      </c>
      <c r="I191" s="500">
        <f t="shared" si="25"/>
        <v>10.055169652129834</v>
      </c>
      <c r="J191" s="500">
        <f t="shared" si="26"/>
        <v>0</v>
      </c>
      <c r="K191" s="500">
        <f t="shared" si="27"/>
        <v>0</v>
      </c>
      <c r="L191" s="502">
        <f t="shared" si="28"/>
        <v>10.319493234411631</v>
      </c>
      <c r="M191" s="326">
        <f>L191*D191*VPI!Q191</f>
        <v>709382.60391992435</v>
      </c>
    </row>
    <row r="192" spans="1:13" x14ac:dyDescent="0.25">
      <c r="A192" s="170">
        <f>Données!A192</f>
        <v>5721</v>
      </c>
      <c r="B192" s="27" t="str">
        <f>Données!B192</f>
        <v>Gland</v>
      </c>
      <c r="C192" s="377">
        <f>VPI!R192</f>
        <v>688985.30491803284</v>
      </c>
      <c r="D192" s="27">
        <f>Données!Z192</f>
        <v>13698</v>
      </c>
      <c r="E192" s="115">
        <f t="shared" si="21"/>
        <v>50.29824097810139</v>
      </c>
      <c r="F192" s="203">
        <f t="shared" si="22"/>
        <v>1.038324543647122</v>
      </c>
      <c r="G192" s="500">
        <f t="shared" si="23"/>
        <v>1.8565073353344843</v>
      </c>
      <c r="H192" s="500">
        <f t="shared" si="24"/>
        <v>0</v>
      </c>
      <c r="I192" s="500">
        <f t="shared" si="25"/>
        <v>0</v>
      </c>
      <c r="J192" s="500">
        <f t="shared" si="26"/>
        <v>0</v>
      </c>
      <c r="K192" s="500">
        <f t="shared" si="27"/>
        <v>0</v>
      </c>
      <c r="L192" s="502">
        <f t="shared" si="28"/>
        <v>0.37130146706689687</v>
      </c>
      <c r="M192" s="326">
        <f>L192*D192*VPI!Q192</f>
        <v>310251.33724882355</v>
      </c>
    </row>
    <row r="193" spans="1:13" x14ac:dyDescent="0.25">
      <c r="A193" s="170">
        <f>Données!A193</f>
        <v>5722</v>
      </c>
      <c r="B193" s="27" t="str">
        <f>Données!B193</f>
        <v>Grens</v>
      </c>
      <c r="C193" s="377">
        <f>VPI!R193</f>
        <v>20912.723225806454</v>
      </c>
      <c r="D193" s="27">
        <f>Données!Z193</f>
        <v>400</v>
      </c>
      <c r="E193" s="115">
        <f t="shared" si="21"/>
        <v>52.281808064516134</v>
      </c>
      <c r="F193" s="203">
        <f t="shared" si="22"/>
        <v>1.0792720270927507</v>
      </c>
      <c r="G193" s="500">
        <f t="shared" si="23"/>
        <v>3.8400744217492289</v>
      </c>
      <c r="H193" s="500">
        <f t="shared" si="24"/>
        <v>0</v>
      </c>
      <c r="I193" s="500">
        <f t="shared" si="25"/>
        <v>0</v>
      </c>
      <c r="J193" s="500">
        <f t="shared" si="26"/>
        <v>0</v>
      </c>
      <c r="K193" s="500">
        <f t="shared" si="27"/>
        <v>0</v>
      </c>
      <c r="L193" s="502">
        <f t="shared" si="28"/>
        <v>0.76801488434984577</v>
      </c>
      <c r="M193" s="326">
        <f>L193*D193*VPI!Q193</f>
        <v>19046.769131876175</v>
      </c>
    </row>
    <row r="194" spans="1:13" x14ac:dyDescent="0.25">
      <c r="A194" s="170">
        <f>Données!A194</f>
        <v>5723</v>
      </c>
      <c r="B194" s="27" t="str">
        <f>Données!B194</f>
        <v>Mies</v>
      </c>
      <c r="C194" s="377">
        <f>VPI!R194</f>
        <v>253771.19326923077</v>
      </c>
      <c r="D194" s="27">
        <f>Données!Z194</f>
        <v>2226</v>
      </c>
      <c r="E194" s="115">
        <f t="shared" si="21"/>
        <v>114.00323147764186</v>
      </c>
      <c r="F194" s="203">
        <f t="shared" si="22"/>
        <v>2.3534094035188251</v>
      </c>
      <c r="G194" s="500">
        <f t="shared" si="23"/>
        <v>65.561497834874956</v>
      </c>
      <c r="H194" s="500">
        <f t="shared" si="24"/>
        <v>55.873151106321579</v>
      </c>
      <c r="I194" s="500">
        <f t="shared" si="25"/>
        <v>41.340631013491503</v>
      </c>
      <c r="J194" s="500">
        <f t="shared" si="26"/>
        <v>17.11976419210805</v>
      </c>
      <c r="K194" s="500">
        <f t="shared" si="27"/>
        <v>0</v>
      </c>
      <c r="L194" s="502">
        <f t="shared" si="28"/>
        <v>24.545654198167107</v>
      </c>
      <c r="M194" s="326">
        <f>L194*D194*VPI!Q194</f>
        <v>2841208.5647462388</v>
      </c>
    </row>
    <row r="195" spans="1:13" x14ac:dyDescent="0.25">
      <c r="A195" s="170">
        <f>Données!A195</f>
        <v>5724</v>
      </c>
      <c r="B195" s="27" t="str">
        <f>Données!B195</f>
        <v>Nyon</v>
      </c>
      <c r="C195" s="377">
        <f>VPI!R195</f>
        <v>1520148.6004918031</v>
      </c>
      <c r="D195" s="27">
        <f>Données!Z195</f>
        <v>22481</v>
      </c>
      <c r="E195" s="115">
        <f t="shared" si="21"/>
        <v>67.619260730919578</v>
      </c>
      <c r="F195" s="203">
        <f t="shared" si="22"/>
        <v>1.3958885375485766</v>
      </c>
      <c r="G195" s="500">
        <f t="shared" si="23"/>
        <v>19.177527088152672</v>
      </c>
      <c r="H195" s="500">
        <f t="shared" si="24"/>
        <v>9.4891803595992954</v>
      </c>
      <c r="I195" s="500">
        <f t="shared" si="25"/>
        <v>0</v>
      </c>
      <c r="J195" s="500">
        <f t="shared" si="26"/>
        <v>0</v>
      </c>
      <c r="K195" s="500">
        <f t="shared" si="27"/>
        <v>0</v>
      </c>
      <c r="L195" s="502">
        <f t="shared" si="28"/>
        <v>4.7844234535904642</v>
      </c>
      <c r="M195" s="326">
        <f>L195*D195*VPI!Q195</f>
        <v>6561076.0432702005</v>
      </c>
    </row>
    <row r="196" spans="1:13" x14ac:dyDescent="0.25">
      <c r="A196" s="170">
        <f>Données!A196</f>
        <v>5725</v>
      </c>
      <c r="B196" s="27" t="str">
        <f>Données!B196</f>
        <v>Prangins</v>
      </c>
      <c r="C196" s="377">
        <f>VPI!R196</f>
        <v>388958.996077922</v>
      </c>
      <c r="D196" s="27">
        <f>Données!Z196</f>
        <v>4279</v>
      </c>
      <c r="E196" s="115">
        <f t="shared" si="21"/>
        <v>90.899508314541251</v>
      </c>
      <c r="F196" s="203">
        <f t="shared" si="22"/>
        <v>1.8764709988473738</v>
      </c>
      <c r="G196" s="500">
        <f t="shared" si="23"/>
        <v>42.457774671774345</v>
      </c>
      <c r="H196" s="500">
        <f t="shared" si="24"/>
        <v>32.769427943220968</v>
      </c>
      <c r="I196" s="500">
        <f t="shared" si="25"/>
        <v>18.236907850390892</v>
      </c>
      <c r="J196" s="500">
        <f t="shared" si="26"/>
        <v>0</v>
      </c>
      <c r="K196" s="500">
        <f t="shared" si="27"/>
        <v>0</v>
      </c>
      <c r="L196" s="502">
        <f t="shared" si="28"/>
        <v>13.592188513716057</v>
      </c>
      <c r="M196" s="326">
        <f>L196*D196*VPI!Q196</f>
        <v>3198853.6057605054</v>
      </c>
    </row>
    <row r="197" spans="1:13" x14ac:dyDescent="0.25">
      <c r="A197" s="170">
        <f>Données!A197</f>
        <v>5726</v>
      </c>
      <c r="B197" s="27" t="str">
        <f>Données!B197</f>
        <v>La Rippe</v>
      </c>
      <c r="C197" s="377">
        <f>VPI!R197</f>
        <v>69785.913125000021</v>
      </c>
      <c r="D197" s="27">
        <f>Données!Z197</f>
        <v>1198</v>
      </c>
      <c r="E197" s="115">
        <f t="shared" si="21"/>
        <v>58.252014294657783</v>
      </c>
      <c r="F197" s="203">
        <f t="shared" si="22"/>
        <v>1.2025171255066283</v>
      </c>
      <c r="G197" s="500">
        <f t="shared" si="23"/>
        <v>9.8102806518908778</v>
      </c>
      <c r="H197" s="500">
        <f t="shared" si="24"/>
        <v>0.12193392333750097</v>
      </c>
      <c r="I197" s="500">
        <f t="shared" si="25"/>
        <v>0</v>
      </c>
      <c r="J197" s="500">
        <f t="shared" si="26"/>
        <v>0</v>
      </c>
      <c r="K197" s="500">
        <f t="shared" si="27"/>
        <v>0</v>
      </c>
      <c r="L197" s="502">
        <f t="shared" si="28"/>
        <v>1.9742495227119259</v>
      </c>
      <c r="M197" s="326">
        <f>L197*D197*VPI!Q197</f>
        <v>151369.65940536879</v>
      </c>
    </row>
    <row r="198" spans="1:13" x14ac:dyDescent="0.25">
      <c r="A198" s="170">
        <f>Données!A198</f>
        <v>5727</v>
      </c>
      <c r="B198" s="27" t="str">
        <f>Données!B198</f>
        <v>Saint-Cergue</v>
      </c>
      <c r="C198" s="377">
        <f>VPI!R198</f>
        <v>107048.1634848485</v>
      </c>
      <c r="D198" s="27">
        <f>Données!Z198</f>
        <v>2788</v>
      </c>
      <c r="E198" s="115">
        <f t="shared" si="21"/>
        <v>38.396041422112084</v>
      </c>
      <c r="F198" s="203">
        <f t="shared" si="22"/>
        <v>0.79262318944369992</v>
      </c>
      <c r="G198" s="500">
        <f t="shared" si="23"/>
        <v>0</v>
      </c>
      <c r="H198" s="500">
        <f t="shared" si="24"/>
        <v>0</v>
      </c>
      <c r="I198" s="500">
        <f t="shared" si="25"/>
        <v>0</v>
      </c>
      <c r="J198" s="500">
        <f t="shared" si="26"/>
        <v>0</v>
      </c>
      <c r="K198" s="500">
        <f t="shared" si="27"/>
        <v>0</v>
      </c>
      <c r="L198" s="502">
        <f t="shared" si="28"/>
        <v>0</v>
      </c>
      <c r="M198" s="326">
        <f>L198*D198*VPI!Q198</f>
        <v>0</v>
      </c>
    </row>
    <row r="199" spans="1:13" x14ac:dyDescent="0.25">
      <c r="A199" s="170">
        <f>Données!A199</f>
        <v>5728</v>
      </c>
      <c r="B199" s="27" t="str">
        <f>Données!B199</f>
        <v>Signy-Avenex</v>
      </c>
      <c r="C199" s="377">
        <f>VPI!R199</f>
        <v>66000.760172413793</v>
      </c>
      <c r="D199" s="27">
        <f>Données!Z199</f>
        <v>583</v>
      </c>
      <c r="E199" s="115">
        <f t="shared" ref="E199:E262" si="29">C199/D199</f>
        <v>113.20885106760514</v>
      </c>
      <c r="F199" s="203">
        <f t="shared" ref="F199:F262" si="30">E199/$E$306</f>
        <v>2.3370107251417283</v>
      </c>
      <c r="G199" s="500">
        <f t="shared" ref="G199:G262" si="31">IF(E199-$G$3&lt;0,0,E199-$G$3)</f>
        <v>64.767117424838233</v>
      </c>
      <c r="H199" s="500">
        <f t="shared" ref="H199:H262" si="32">IF(E199-$H$3&lt;0,0,E199-$H$3)</f>
        <v>55.078770696284856</v>
      </c>
      <c r="I199" s="500">
        <f t="shared" ref="I199:I262" si="33">IF(E199-$I$3&lt;0,0,E199-$I$3)</f>
        <v>40.54625060345478</v>
      </c>
      <c r="J199" s="500">
        <f t="shared" ref="J199:J262" si="34">IF(E199-$J$3&lt;0,0,E199-$J$3)</f>
        <v>16.325383782071327</v>
      </c>
      <c r="K199" s="500">
        <f t="shared" ref="K199:K262" si="35">IF(E199-$K$3&lt;0,0,E199-$K$3)</f>
        <v>0</v>
      </c>
      <c r="L199" s="502">
        <f t="shared" ref="L199:L262" si="36">(G199-H199)*$G$4+(H199-I199)*$H$4+(I199-J199)*$I$4+(J199-K199)*$J$4+(K199*$K$4)</f>
        <v>24.148463993148745</v>
      </c>
      <c r="M199" s="326">
        <f>L199*D199*VPI!Q199</f>
        <v>816556.16146433167</v>
      </c>
    </row>
    <row r="200" spans="1:13" x14ac:dyDescent="0.25">
      <c r="A200" s="170">
        <f>Données!A200</f>
        <v>5729</v>
      </c>
      <c r="B200" s="27" t="str">
        <f>Données!B200</f>
        <v>Tannay</v>
      </c>
      <c r="C200" s="377">
        <f>VPI!R200</f>
        <v>189085.86771349865</v>
      </c>
      <c r="D200" s="27">
        <f>Données!Z200</f>
        <v>1724</v>
      </c>
      <c r="E200" s="115">
        <f t="shared" si="29"/>
        <v>109.67857756003401</v>
      </c>
      <c r="F200" s="203">
        <f t="shared" si="30"/>
        <v>2.2641340289110548</v>
      </c>
      <c r="G200" s="500">
        <f t="shared" si="31"/>
        <v>61.236843917267109</v>
      </c>
      <c r="H200" s="500">
        <f t="shared" si="32"/>
        <v>51.548497188713732</v>
      </c>
      <c r="I200" s="500">
        <f t="shared" si="33"/>
        <v>37.015977095883656</v>
      </c>
      <c r="J200" s="500">
        <f t="shared" si="34"/>
        <v>12.795110274500203</v>
      </c>
      <c r="K200" s="500">
        <f t="shared" si="35"/>
        <v>0</v>
      </c>
      <c r="L200" s="502">
        <f t="shared" si="36"/>
        <v>22.383327239363183</v>
      </c>
      <c r="M200" s="326">
        <f>L200*D200*VPI!Q200</f>
        <v>2334625.7977200588</v>
      </c>
    </row>
    <row r="201" spans="1:13" x14ac:dyDescent="0.25">
      <c r="A201" s="170">
        <f>Données!A201</f>
        <v>5730</v>
      </c>
      <c r="B201" s="27" t="str">
        <f>Données!B201</f>
        <v>Trélex</v>
      </c>
      <c r="C201" s="377">
        <f>VPI!R201</f>
        <v>121414.34176176177</v>
      </c>
      <c r="D201" s="27">
        <f>Données!Z201</f>
        <v>1429</v>
      </c>
      <c r="E201" s="115">
        <f t="shared" si="29"/>
        <v>84.964549868272755</v>
      </c>
      <c r="F201" s="203">
        <f t="shared" si="30"/>
        <v>1.7539535330185125</v>
      </c>
      <c r="G201" s="500">
        <f t="shared" si="31"/>
        <v>36.522816225505849</v>
      </c>
      <c r="H201" s="500">
        <f t="shared" si="32"/>
        <v>26.834469496952472</v>
      </c>
      <c r="I201" s="500">
        <f t="shared" si="33"/>
        <v>12.301949404122396</v>
      </c>
      <c r="J201" s="500">
        <f t="shared" si="34"/>
        <v>0</v>
      </c>
      <c r="K201" s="500">
        <f t="shared" si="35"/>
        <v>0</v>
      </c>
      <c r="L201" s="502">
        <f t="shared" si="36"/>
        <v>11.218205135208656</v>
      </c>
      <c r="M201" s="326">
        <f>L201*D201*VPI!Q201</f>
        <v>889710.24017083086</v>
      </c>
    </row>
    <row r="202" spans="1:13" x14ac:dyDescent="0.25">
      <c r="A202" s="170">
        <f>Données!A202</f>
        <v>5731</v>
      </c>
      <c r="B202" s="27" t="str">
        <f>Données!B202</f>
        <v>Le Vaud</v>
      </c>
      <c r="C202" s="377">
        <f>VPI!R202</f>
        <v>69610.558648648643</v>
      </c>
      <c r="D202" s="27">
        <f>Données!Z202</f>
        <v>1408</v>
      </c>
      <c r="E202" s="115">
        <f t="shared" si="29"/>
        <v>49.439317222051592</v>
      </c>
      <c r="F202" s="203">
        <f t="shared" si="30"/>
        <v>1.0205934739380171</v>
      </c>
      <c r="G202" s="500">
        <f t="shared" si="31"/>
        <v>0.99758357928468655</v>
      </c>
      <c r="H202" s="500">
        <f t="shared" si="32"/>
        <v>0</v>
      </c>
      <c r="I202" s="500">
        <f t="shared" si="33"/>
        <v>0</v>
      </c>
      <c r="J202" s="500">
        <f t="shared" si="34"/>
        <v>0</v>
      </c>
      <c r="K202" s="500">
        <f t="shared" si="35"/>
        <v>0</v>
      </c>
      <c r="L202" s="502">
        <f t="shared" si="36"/>
        <v>0.19951671585693731</v>
      </c>
      <c r="M202" s="326">
        <f>L202*D202*VPI!Q202</f>
        <v>20788.045658566014</v>
      </c>
    </row>
    <row r="203" spans="1:13" x14ac:dyDescent="0.25">
      <c r="A203" s="170">
        <f>Données!A203</f>
        <v>5732</v>
      </c>
      <c r="B203" s="27" t="str">
        <f>Données!B203</f>
        <v>Vich</v>
      </c>
      <c r="C203" s="377">
        <f>VPI!R203</f>
        <v>79861.73920634923</v>
      </c>
      <c r="D203" s="27">
        <f>Données!Z203</f>
        <v>1160</v>
      </c>
      <c r="E203" s="115">
        <f t="shared" si="29"/>
        <v>68.846326902025197</v>
      </c>
      <c r="F203" s="203">
        <f t="shared" si="30"/>
        <v>1.4212193025487438</v>
      </c>
      <c r="G203" s="500">
        <f t="shared" si="31"/>
        <v>20.404593259258291</v>
      </c>
      <c r="H203" s="500">
        <f t="shared" si="32"/>
        <v>10.716246530704915</v>
      </c>
      <c r="I203" s="500">
        <f t="shared" si="33"/>
        <v>0</v>
      </c>
      <c r="J203" s="500">
        <f t="shared" si="34"/>
        <v>0</v>
      </c>
      <c r="K203" s="500">
        <f t="shared" si="35"/>
        <v>0</v>
      </c>
      <c r="L203" s="502">
        <f t="shared" si="36"/>
        <v>5.1525433049221494</v>
      </c>
      <c r="M203" s="326">
        <f>L203*D203*VPI!Q203</f>
        <v>376547.86472371069</v>
      </c>
    </row>
    <row r="204" spans="1:13" x14ac:dyDescent="0.25">
      <c r="A204" s="170">
        <f>Données!A204</f>
        <v>5741</v>
      </c>
      <c r="B204" s="27" t="str">
        <f>Données!B204</f>
        <v>L'Abergement</v>
      </c>
      <c r="C204" s="377">
        <f>VPI!R204</f>
        <v>10833.904395833331</v>
      </c>
      <c r="D204" s="27">
        <f>Données!Z204</f>
        <v>260</v>
      </c>
      <c r="E204" s="115">
        <f t="shared" si="29"/>
        <v>41.668863060897429</v>
      </c>
      <c r="F204" s="203">
        <f t="shared" si="30"/>
        <v>0.86018521484354904</v>
      </c>
      <c r="G204" s="500">
        <f t="shared" si="31"/>
        <v>0</v>
      </c>
      <c r="H204" s="500">
        <f t="shared" si="32"/>
        <v>0</v>
      </c>
      <c r="I204" s="500">
        <f t="shared" si="33"/>
        <v>0</v>
      </c>
      <c r="J204" s="500">
        <f t="shared" si="34"/>
        <v>0</v>
      </c>
      <c r="K204" s="500">
        <f t="shared" si="35"/>
        <v>0</v>
      </c>
      <c r="L204" s="502">
        <f t="shared" si="36"/>
        <v>0</v>
      </c>
      <c r="M204" s="326">
        <f>L204*D204*VPI!Q204</f>
        <v>0</v>
      </c>
    </row>
    <row r="205" spans="1:13" x14ac:dyDescent="0.25">
      <c r="A205" s="170">
        <f>Données!A205</f>
        <v>5742</v>
      </c>
      <c r="B205" s="27" t="str">
        <f>Données!B205</f>
        <v>Agiez</v>
      </c>
      <c r="C205" s="377">
        <f>VPI!R205</f>
        <v>9049.0364473684222</v>
      </c>
      <c r="D205" s="27">
        <f>Données!Z205</f>
        <v>381</v>
      </c>
      <c r="E205" s="115">
        <f t="shared" si="29"/>
        <v>23.750751830363313</v>
      </c>
      <c r="F205" s="203">
        <f t="shared" si="30"/>
        <v>0.49029524842180511</v>
      </c>
      <c r="G205" s="500">
        <f t="shared" si="31"/>
        <v>0</v>
      </c>
      <c r="H205" s="500">
        <f t="shared" si="32"/>
        <v>0</v>
      </c>
      <c r="I205" s="500">
        <f t="shared" si="33"/>
        <v>0</v>
      </c>
      <c r="J205" s="500">
        <f t="shared" si="34"/>
        <v>0</v>
      </c>
      <c r="K205" s="500">
        <f t="shared" si="35"/>
        <v>0</v>
      </c>
      <c r="L205" s="502">
        <f t="shared" si="36"/>
        <v>0</v>
      </c>
      <c r="M205" s="326">
        <f>L205*D205*VPI!Q205</f>
        <v>0</v>
      </c>
    </row>
    <row r="206" spans="1:13" x14ac:dyDescent="0.25">
      <c r="A206" s="170">
        <f>Données!A206</f>
        <v>5743</v>
      </c>
      <c r="B206" s="27" t="str">
        <f>Données!B206</f>
        <v>Arnex-sur-Orbe</v>
      </c>
      <c r="C206" s="377">
        <f>VPI!R206</f>
        <v>19423.544507042254</v>
      </c>
      <c r="D206" s="27">
        <f>Données!Z206</f>
        <v>692</v>
      </c>
      <c r="E206" s="115">
        <f t="shared" si="29"/>
        <v>28.06870593503216</v>
      </c>
      <c r="F206" s="203">
        <f t="shared" si="30"/>
        <v>0.57943231639942039</v>
      </c>
      <c r="G206" s="500">
        <f t="shared" si="31"/>
        <v>0</v>
      </c>
      <c r="H206" s="500">
        <f t="shared" si="32"/>
        <v>0</v>
      </c>
      <c r="I206" s="500">
        <f t="shared" si="33"/>
        <v>0</v>
      </c>
      <c r="J206" s="500">
        <f t="shared" si="34"/>
        <v>0</v>
      </c>
      <c r="K206" s="500">
        <f t="shared" si="35"/>
        <v>0</v>
      </c>
      <c r="L206" s="502">
        <f t="shared" si="36"/>
        <v>0</v>
      </c>
      <c r="M206" s="326">
        <f>L206*D206*VPI!Q206</f>
        <v>0</v>
      </c>
    </row>
    <row r="207" spans="1:13" x14ac:dyDescent="0.25">
      <c r="A207" s="170">
        <f>Données!A207</f>
        <v>5744</v>
      </c>
      <c r="B207" s="27" t="str">
        <f>Données!B207</f>
        <v>Ballaigues</v>
      </c>
      <c r="C207" s="377">
        <f>VPI!R207</f>
        <v>54105.101538461538</v>
      </c>
      <c r="D207" s="27">
        <f>Données!Z207</f>
        <v>1152</v>
      </c>
      <c r="E207" s="115">
        <f t="shared" si="29"/>
        <v>46.966233974358971</v>
      </c>
      <c r="F207" s="203">
        <f t="shared" si="30"/>
        <v>0.96954073363086068</v>
      </c>
      <c r="G207" s="500">
        <f t="shared" si="31"/>
        <v>0</v>
      </c>
      <c r="H207" s="500">
        <f t="shared" si="32"/>
        <v>0</v>
      </c>
      <c r="I207" s="500">
        <f t="shared" si="33"/>
        <v>0</v>
      </c>
      <c r="J207" s="500">
        <f t="shared" si="34"/>
        <v>0</v>
      </c>
      <c r="K207" s="500">
        <f t="shared" si="35"/>
        <v>0</v>
      </c>
      <c r="L207" s="502">
        <f t="shared" si="36"/>
        <v>0</v>
      </c>
      <c r="M207" s="326">
        <f>L207*D207*VPI!Q207</f>
        <v>0</v>
      </c>
    </row>
    <row r="208" spans="1:13" x14ac:dyDescent="0.25">
      <c r="A208" s="170">
        <f>Données!A208</f>
        <v>5745</v>
      </c>
      <c r="B208" s="27" t="str">
        <f>Données!B208</f>
        <v>Baulmes</v>
      </c>
      <c r="C208" s="377">
        <f>VPI!R208</f>
        <v>27705.104967320265</v>
      </c>
      <c r="D208" s="27">
        <f>Données!Z208</f>
        <v>1132</v>
      </c>
      <c r="E208" s="115">
        <f t="shared" si="29"/>
        <v>24.474474352756417</v>
      </c>
      <c r="F208" s="203">
        <f t="shared" si="30"/>
        <v>0.50523531080128536</v>
      </c>
      <c r="G208" s="500">
        <f t="shared" si="31"/>
        <v>0</v>
      </c>
      <c r="H208" s="500">
        <f t="shared" si="32"/>
        <v>0</v>
      </c>
      <c r="I208" s="500">
        <f t="shared" si="33"/>
        <v>0</v>
      </c>
      <c r="J208" s="500">
        <f t="shared" si="34"/>
        <v>0</v>
      </c>
      <c r="K208" s="500">
        <f t="shared" si="35"/>
        <v>0</v>
      </c>
      <c r="L208" s="502">
        <f t="shared" si="36"/>
        <v>0</v>
      </c>
      <c r="M208" s="326">
        <f>L208*D208*VPI!Q208</f>
        <v>0</v>
      </c>
    </row>
    <row r="209" spans="1:13" x14ac:dyDescent="0.25">
      <c r="A209" s="170">
        <f>Données!A209</f>
        <v>5746</v>
      </c>
      <c r="B209" s="27" t="str">
        <f>Données!B209</f>
        <v>Bavois</v>
      </c>
      <c r="C209" s="377">
        <f>VPI!R209</f>
        <v>29513.59275462963</v>
      </c>
      <c r="D209" s="27">
        <f>Données!Z209</f>
        <v>1009</v>
      </c>
      <c r="E209" s="115">
        <f t="shared" si="29"/>
        <v>29.25033969735345</v>
      </c>
      <c r="F209" s="203">
        <f t="shared" si="30"/>
        <v>0.60382520396688932</v>
      </c>
      <c r="G209" s="500">
        <f t="shared" si="31"/>
        <v>0</v>
      </c>
      <c r="H209" s="500">
        <f t="shared" si="32"/>
        <v>0</v>
      </c>
      <c r="I209" s="500">
        <f t="shared" si="33"/>
        <v>0</v>
      </c>
      <c r="J209" s="500">
        <f t="shared" si="34"/>
        <v>0</v>
      </c>
      <c r="K209" s="500">
        <f t="shared" si="35"/>
        <v>0</v>
      </c>
      <c r="L209" s="502">
        <f t="shared" si="36"/>
        <v>0</v>
      </c>
      <c r="M209" s="326">
        <f>L209*D209*VPI!Q209</f>
        <v>0</v>
      </c>
    </row>
    <row r="210" spans="1:13" x14ac:dyDescent="0.25">
      <c r="A210" s="170">
        <f>Données!A210</f>
        <v>5747</v>
      </c>
      <c r="B210" s="27" t="str">
        <f>Données!B210</f>
        <v>Bofflens</v>
      </c>
      <c r="C210" s="377">
        <f>VPI!R210</f>
        <v>5778.0378260869547</v>
      </c>
      <c r="D210" s="27">
        <f>Données!Z210</f>
        <v>204</v>
      </c>
      <c r="E210" s="115">
        <f t="shared" si="29"/>
        <v>28.323714833759581</v>
      </c>
      <c r="F210" s="203">
        <f t="shared" si="30"/>
        <v>0.58469655612725469</v>
      </c>
      <c r="G210" s="500">
        <f t="shared" si="31"/>
        <v>0</v>
      </c>
      <c r="H210" s="500">
        <f t="shared" si="32"/>
        <v>0</v>
      </c>
      <c r="I210" s="500">
        <f t="shared" si="33"/>
        <v>0</v>
      </c>
      <c r="J210" s="500">
        <f t="shared" si="34"/>
        <v>0</v>
      </c>
      <c r="K210" s="500">
        <f t="shared" si="35"/>
        <v>0</v>
      </c>
      <c r="L210" s="502">
        <f t="shared" si="36"/>
        <v>0</v>
      </c>
      <c r="M210" s="326">
        <f>L210*D210*VPI!Q210</f>
        <v>0</v>
      </c>
    </row>
    <row r="211" spans="1:13" x14ac:dyDescent="0.25">
      <c r="A211" s="170">
        <f>Données!A211</f>
        <v>5748</v>
      </c>
      <c r="B211" s="27" t="str">
        <f>Données!B211</f>
        <v>Bretonnières</v>
      </c>
      <c r="C211" s="377">
        <f>VPI!R211</f>
        <v>6762.4759338061467</v>
      </c>
      <c r="D211" s="27">
        <f>Données!Z211</f>
        <v>264</v>
      </c>
      <c r="E211" s="115">
        <f t="shared" si="29"/>
        <v>25.615439143205101</v>
      </c>
      <c r="F211" s="203">
        <f t="shared" si="30"/>
        <v>0.52878865426464516</v>
      </c>
      <c r="G211" s="500">
        <f t="shared" si="31"/>
        <v>0</v>
      </c>
      <c r="H211" s="500">
        <f t="shared" si="32"/>
        <v>0</v>
      </c>
      <c r="I211" s="500">
        <f t="shared" si="33"/>
        <v>0</v>
      </c>
      <c r="J211" s="500">
        <f t="shared" si="34"/>
        <v>0</v>
      </c>
      <c r="K211" s="500">
        <f t="shared" si="35"/>
        <v>0</v>
      </c>
      <c r="L211" s="502">
        <f t="shared" si="36"/>
        <v>0</v>
      </c>
      <c r="M211" s="326">
        <f>L211*D211*VPI!Q211</f>
        <v>0</v>
      </c>
    </row>
    <row r="212" spans="1:13" x14ac:dyDescent="0.25">
      <c r="A212" s="170">
        <f>Données!A212</f>
        <v>5749</v>
      </c>
      <c r="B212" s="27" t="str">
        <f>Données!B212</f>
        <v>Chavornay</v>
      </c>
      <c r="C212" s="377">
        <f>VPI!R212</f>
        <v>144692.07858156026</v>
      </c>
      <c r="D212" s="27">
        <f>Données!Z212</f>
        <v>5415</v>
      </c>
      <c r="E212" s="115">
        <f t="shared" si="29"/>
        <v>26.720605462892014</v>
      </c>
      <c r="F212" s="203">
        <f t="shared" si="30"/>
        <v>0.55160299711696648</v>
      </c>
      <c r="G212" s="500">
        <f t="shared" si="31"/>
        <v>0</v>
      </c>
      <c r="H212" s="500">
        <f t="shared" si="32"/>
        <v>0</v>
      </c>
      <c r="I212" s="500">
        <f t="shared" si="33"/>
        <v>0</v>
      </c>
      <c r="J212" s="500">
        <f t="shared" si="34"/>
        <v>0</v>
      </c>
      <c r="K212" s="500">
        <f t="shared" si="35"/>
        <v>0</v>
      </c>
      <c r="L212" s="502">
        <f t="shared" si="36"/>
        <v>0</v>
      </c>
      <c r="M212" s="326">
        <f>L212*D212*VPI!Q212</f>
        <v>0</v>
      </c>
    </row>
    <row r="213" spans="1:13" x14ac:dyDescent="0.25">
      <c r="A213" s="170">
        <f>Données!A213</f>
        <v>5750</v>
      </c>
      <c r="B213" s="27" t="str">
        <f>Données!B213</f>
        <v>Les Clées</v>
      </c>
      <c r="C213" s="377">
        <f>VPI!R213</f>
        <v>5460.4465833333343</v>
      </c>
      <c r="D213" s="27">
        <f>Données!Z213</f>
        <v>187</v>
      </c>
      <c r="E213" s="115">
        <f t="shared" si="29"/>
        <v>29.200249108734408</v>
      </c>
      <c r="F213" s="203">
        <f t="shared" si="30"/>
        <v>0.60279116606501659</v>
      </c>
      <c r="G213" s="500">
        <f t="shared" si="31"/>
        <v>0</v>
      </c>
      <c r="H213" s="500">
        <f t="shared" si="32"/>
        <v>0</v>
      </c>
      <c r="I213" s="500">
        <f t="shared" si="33"/>
        <v>0</v>
      </c>
      <c r="J213" s="500">
        <f t="shared" si="34"/>
        <v>0</v>
      </c>
      <c r="K213" s="500">
        <f t="shared" si="35"/>
        <v>0</v>
      </c>
      <c r="L213" s="502">
        <f t="shared" si="36"/>
        <v>0</v>
      </c>
      <c r="M213" s="326">
        <f>L213*D213*VPI!Q213</f>
        <v>0</v>
      </c>
    </row>
    <row r="214" spans="1:13" x14ac:dyDescent="0.25">
      <c r="A214" s="170">
        <f>Données!A214</f>
        <v>5752</v>
      </c>
      <c r="B214" s="27" t="str">
        <f>Données!B214</f>
        <v>Croy</v>
      </c>
      <c r="C214" s="377">
        <f>VPI!R214</f>
        <v>10204.254034749034</v>
      </c>
      <c r="D214" s="27">
        <f>Données!Z214</f>
        <v>387</v>
      </c>
      <c r="E214" s="115">
        <f t="shared" si="29"/>
        <v>26.367581485139624</v>
      </c>
      <c r="F214" s="203">
        <f t="shared" si="30"/>
        <v>0.54431539712403976</v>
      </c>
      <c r="G214" s="500">
        <f t="shared" si="31"/>
        <v>0</v>
      </c>
      <c r="H214" s="500">
        <f t="shared" si="32"/>
        <v>0</v>
      </c>
      <c r="I214" s="500">
        <f t="shared" si="33"/>
        <v>0</v>
      </c>
      <c r="J214" s="500">
        <f t="shared" si="34"/>
        <v>0</v>
      </c>
      <c r="K214" s="500">
        <f t="shared" si="35"/>
        <v>0</v>
      </c>
      <c r="L214" s="502">
        <f t="shared" si="36"/>
        <v>0</v>
      </c>
      <c r="M214" s="326">
        <f>L214*D214*VPI!Q214</f>
        <v>0</v>
      </c>
    </row>
    <row r="215" spans="1:13" x14ac:dyDescent="0.25">
      <c r="A215" s="170">
        <f>Données!A215</f>
        <v>5754</v>
      </c>
      <c r="B215" s="27" t="str">
        <f>Données!B215</f>
        <v>Juriens</v>
      </c>
      <c r="C215" s="377">
        <f>VPI!R215</f>
        <v>8633.2483544303759</v>
      </c>
      <c r="D215" s="27">
        <f>Données!Z215</f>
        <v>349</v>
      </c>
      <c r="E215" s="115">
        <f t="shared" si="29"/>
        <v>24.737101302092768</v>
      </c>
      <c r="F215" s="203">
        <f t="shared" si="30"/>
        <v>0.51065681266728147</v>
      </c>
      <c r="G215" s="500">
        <f t="shared" si="31"/>
        <v>0</v>
      </c>
      <c r="H215" s="500">
        <f t="shared" si="32"/>
        <v>0</v>
      </c>
      <c r="I215" s="500">
        <f t="shared" si="33"/>
        <v>0</v>
      </c>
      <c r="J215" s="500">
        <f t="shared" si="34"/>
        <v>0</v>
      </c>
      <c r="K215" s="500">
        <f t="shared" si="35"/>
        <v>0</v>
      </c>
      <c r="L215" s="502">
        <f t="shared" si="36"/>
        <v>0</v>
      </c>
      <c r="M215" s="326">
        <f>L215*D215*VPI!Q215</f>
        <v>0</v>
      </c>
    </row>
    <row r="216" spans="1:13" x14ac:dyDescent="0.25">
      <c r="A216" s="170">
        <f>Données!A216</f>
        <v>5755</v>
      </c>
      <c r="B216" s="27" t="str">
        <f>Données!B216</f>
        <v>Lignerolle</v>
      </c>
      <c r="C216" s="377">
        <f>VPI!R216</f>
        <v>10920.942602365787</v>
      </c>
      <c r="D216" s="27">
        <f>Données!Z216</f>
        <v>448</v>
      </c>
      <c r="E216" s="115">
        <f t="shared" si="29"/>
        <v>24.377104023137917</v>
      </c>
      <c r="F216" s="203">
        <f t="shared" si="30"/>
        <v>0.50322526032834902</v>
      </c>
      <c r="G216" s="500">
        <f t="shared" si="31"/>
        <v>0</v>
      </c>
      <c r="H216" s="500">
        <f t="shared" si="32"/>
        <v>0</v>
      </c>
      <c r="I216" s="500">
        <f t="shared" si="33"/>
        <v>0</v>
      </c>
      <c r="J216" s="500">
        <f t="shared" si="34"/>
        <v>0</v>
      </c>
      <c r="K216" s="500">
        <f t="shared" si="35"/>
        <v>0</v>
      </c>
      <c r="L216" s="502">
        <f t="shared" si="36"/>
        <v>0</v>
      </c>
      <c r="M216" s="326">
        <f>L216*D216*VPI!Q216</f>
        <v>0</v>
      </c>
    </row>
    <row r="217" spans="1:13" x14ac:dyDescent="0.25">
      <c r="A217" s="170">
        <f>Données!A217</f>
        <v>5756</v>
      </c>
      <c r="B217" s="27" t="str">
        <f>Données!B217</f>
        <v>Montcherand</v>
      </c>
      <c r="C217" s="377">
        <f>VPI!R217</f>
        <v>17503.400416666664</v>
      </c>
      <c r="D217" s="27">
        <f>Données!Z217</f>
        <v>496</v>
      </c>
      <c r="E217" s="115">
        <f t="shared" si="29"/>
        <v>35.289113743279565</v>
      </c>
      <c r="F217" s="203">
        <f t="shared" si="30"/>
        <v>0.72848577227889466</v>
      </c>
      <c r="G217" s="500">
        <f t="shared" si="31"/>
        <v>0</v>
      </c>
      <c r="H217" s="500">
        <f t="shared" si="32"/>
        <v>0</v>
      </c>
      <c r="I217" s="500">
        <f t="shared" si="33"/>
        <v>0</v>
      </c>
      <c r="J217" s="500">
        <f t="shared" si="34"/>
        <v>0</v>
      </c>
      <c r="K217" s="500">
        <f t="shared" si="35"/>
        <v>0</v>
      </c>
      <c r="L217" s="502">
        <f t="shared" si="36"/>
        <v>0</v>
      </c>
      <c r="M217" s="326">
        <f>L217*D217*VPI!Q217</f>
        <v>0</v>
      </c>
    </row>
    <row r="218" spans="1:13" x14ac:dyDescent="0.25">
      <c r="A218" s="170">
        <f>Données!A218</f>
        <v>5757</v>
      </c>
      <c r="B218" s="27" t="str">
        <f>Données!B218</f>
        <v>Orbe</v>
      </c>
      <c r="C218" s="377">
        <f>VPI!R218</f>
        <v>217762.06927152316</v>
      </c>
      <c r="D218" s="27">
        <f>Données!Z218</f>
        <v>7622</v>
      </c>
      <c r="E218" s="115">
        <f t="shared" si="29"/>
        <v>28.570200639139749</v>
      </c>
      <c r="F218" s="203">
        <f t="shared" si="30"/>
        <v>0.58978485059660368</v>
      </c>
      <c r="G218" s="500">
        <f t="shared" si="31"/>
        <v>0</v>
      </c>
      <c r="H218" s="500">
        <f t="shared" si="32"/>
        <v>0</v>
      </c>
      <c r="I218" s="500">
        <f t="shared" si="33"/>
        <v>0</v>
      </c>
      <c r="J218" s="500">
        <f t="shared" si="34"/>
        <v>0</v>
      </c>
      <c r="K218" s="500">
        <f t="shared" si="35"/>
        <v>0</v>
      </c>
      <c r="L218" s="502">
        <f t="shared" si="36"/>
        <v>0</v>
      </c>
      <c r="M218" s="326">
        <f>L218*D218*VPI!Q218</f>
        <v>0</v>
      </c>
    </row>
    <row r="219" spans="1:13" x14ac:dyDescent="0.25">
      <c r="A219" s="170">
        <f>Données!A219</f>
        <v>5758</v>
      </c>
      <c r="B219" s="27" t="str">
        <f>Données!B219</f>
        <v>La Praz</v>
      </c>
      <c r="C219" s="377">
        <f>VPI!R219</f>
        <v>4500.7334939759048</v>
      </c>
      <c r="D219" s="27">
        <f>Données!Z219</f>
        <v>183</v>
      </c>
      <c r="E219" s="115">
        <f t="shared" si="29"/>
        <v>24.594172098228988</v>
      </c>
      <c r="F219" s="203">
        <f t="shared" si="30"/>
        <v>0.50770627408999169</v>
      </c>
      <c r="G219" s="500">
        <f t="shared" si="31"/>
        <v>0</v>
      </c>
      <c r="H219" s="500">
        <f t="shared" si="32"/>
        <v>0</v>
      </c>
      <c r="I219" s="500">
        <f t="shared" si="33"/>
        <v>0</v>
      </c>
      <c r="J219" s="500">
        <f t="shared" si="34"/>
        <v>0</v>
      </c>
      <c r="K219" s="500">
        <f t="shared" si="35"/>
        <v>0</v>
      </c>
      <c r="L219" s="502">
        <f t="shared" si="36"/>
        <v>0</v>
      </c>
      <c r="M219" s="326">
        <f>L219*D219*VPI!Q219</f>
        <v>0</v>
      </c>
    </row>
    <row r="220" spans="1:13" x14ac:dyDescent="0.25">
      <c r="A220" s="170">
        <f>Données!A220</f>
        <v>5759</v>
      </c>
      <c r="B220" s="27" t="str">
        <f>Données!B220</f>
        <v>Premier</v>
      </c>
      <c r="C220" s="377">
        <f>VPI!R220</f>
        <v>5667.0675471698114</v>
      </c>
      <c r="D220" s="27">
        <f>Données!Z220</f>
        <v>236</v>
      </c>
      <c r="E220" s="115">
        <f t="shared" si="29"/>
        <v>24.012998081228016</v>
      </c>
      <c r="F220" s="203">
        <f t="shared" si="30"/>
        <v>0.49570889139335178</v>
      </c>
      <c r="G220" s="500">
        <f t="shared" si="31"/>
        <v>0</v>
      </c>
      <c r="H220" s="500">
        <f t="shared" si="32"/>
        <v>0</v>
      </c>
      <c r="I220" s="500">
        <f t="shared" si="33"/>
        <v>0</v>
      </c>
      <c r="J220" s="500">
        <f t="shared" si="34"/>
        <v>0</v>
      </c>
      <c r="K220" s="500">
        <f t="shared" si="35"/>
        <v>0</v>
      </c>
      <c r="L220" s="502">
        <f t="shared" si="36"/>
        <v>0</v>
      </c>
      <c r="M220" s="326">
        <f>L220*D220*VPI!Q220</f>
        <v>0</v>
      </c>
    </row>
    <row r="221" spans="1:13" x14ac:dyDescent="0.25">
      <c r="A221" s="170">
        <f>Données!A221</f>
        <v>5760</v>
      </c>
      <c r="B221" s="27" t="str">
        <f>Données!B221</f>
        <v>Rances</v>
      </c>
      <c r="C221" s="377">
        <f>VPI!R221</f>
        <v>16308.735686274507</v>
      </c>
      <c r="D221" s="27">
        <f>Données!Z221</f>
        <v>522</v>
      </c>
      <c r="E221" s="115">
        <f t="shared" si="29"/>
        <v>31.242788671023959</v>
      </c>
      <c r="F221" s="203">
        <f t="shared" si="30"/>
        <v>0.6449560393817364</v>
      </c>
      <c r="G221" s="500">
        <f t="shared" si="31"/>
        <v>0</v>
      </c>
      <c r="H221" s="500">
        <f t="shared" si="32"/>
        <v>0</v>
      </c>
      <c r="I221" s="500">
        <f t="shared" si="33"/>
        <v>0</v>
      </c>
      <c r="J221" s="500">
        <f t="shared" si="34"/>
        <v>0</v>
      </c>
      <c r="K221" s="500">
        <f t="shared" si="35"/>
        <v>0</v>
      </c>
      <c r="L221" s="502">
        <f t="shared" si="36"/>
        <v>0</v>
      </c>
      <c r="M221" s="326">
        <f>L221*D221*VPI!Q221</f>
        <v>0</v>
      </c>
    </row>
    <row r="222" spans="1:13" x14ac:dyDescent="0.25">
      <c r="A222" s="170">
        <f>Données!A222</f>
        <v>5761</v>
      </c>
      <c r="B222" s="27" t="str">
        <f>Données!B222</f>
        <v>Romainmôtier-Envy</v>
      </c>
      <c r="C222" s="377">
        <f>VPI!R222</f>
        <v>14407.779147025813</v>
      </c>
      <c r="D222" s="27">
        <f>Données!Z222</f>
        <v>567</v>
      </c>
      <c r="E222" s="115">
        <f t="shared" si="29"/>
        <v>25.410545232849756</v>
      </c>
      <c r="F222" s="203">
        <f t="shared" si="30"/>
        <v>0.5245589561314955</v>
      </c>
      <c r="G222" s="500">
        <f t="shared" si="31"/>
        <v>0</v>
      </c>
      <c r="H222" s="500">
        <f t="shared" si="32"/>
        <v>0</v>
      </c>
      <c r="I222" s="500">
        <f t="shared" si="33"/>
        <v>0</v>
      </c>
      <c r="J222" s="500">
        <f t="shared" si="34"/>
        <v>0</v>
      </c>
      <c r="K222" s="500">
        <f t="shared" si="35"/>
        <v>0</v>
      </c>
      <c r="L222" s="502">
        <f t="shared" si="36"/>
        <v>0</v>
      </c>
      <c r="M222" s="326">
        <f>L222*D222*VPI!Q222</f>
        <v>0</v>
      </c>
    </row>
    <row r="223" spans="1:13" x14ac:dyDescent="0.25">
      <c r="A223" s="170">
        <f>Données!A223</f>
        <v>5762</v>
      </c>
      <c r="B223" s="27" t="str">
        <f>Données!B223</f>
        <v>Sergey</v>
      </c>
      <c r="C223" s="377">
        <f>VPI!R223</f>
        <v>3741.4505128205124</v>
      </c>
      <c r="D223" s="27">
        <f>Données!Z223</f>
        <v>140</v>
      </c>
      <c r="E223" s="115">
        <f t="shared" si="29"/>
        <v>26.724646520146518</v>
      </c>
      <c r="F223" s="203">
        <f t="shared" si="30"/>
        <v>0.55168641810442132</v>
      </c>
      <c r="G223" s="500">
        <f t="shared" si="31"/>
        <v>0</v>
      </c>
      <c r="H223" s="500">
        <f t="shared" si="32"/>
        <v>0</v>
      </c>
      <c r="I223" s="500">
        <f t="shared" si="33"/>
        <v>0</v>
      </c>
      <c r="J223" s="500">
        <f t="shared" si="34"/>
        <v>0</v>
      </c>
      <c r="K223" s="500">
        <f t="shared" si="35"/>
        <v>0</v>
      </c>
      <c r="L223" s="502">
        <f t="shared" si="36"/>
        <v>0</v>
      </c>
      <c r="M223" s="326">
        <f>L223*D223*VPI!Q223</f>
        <v>0</v>
      </c>
    </row>
    <row r="224" spans="1:13" x14ac:dyDescent="0.25">
      <c r="A224" s="170">
        <f>Données!A224</f>
        <v>5763</v>
      </c>
      <c r="B224" s="27" t="str">
        <f>Données!B224</f>
        <v>Valeyres-sous-Rances</v>
      </c>
      <c r="C224" s="377">
        <f>VPI!R224</f>
        <v>22295.640563380282</v>
      </c>
      <c r="D224" s="27">
        <f>Données!Z224</f>
        <v>606</v>
      </c>
      <c r="E224" s="115">
        <f t="shared" si="29"/>
        <v>36.791486078185287</v>
      </c>
      <c r="F224" s="203">
        <f t="shared" si="30"/>
        <v>0.75949978069537605</v>
      </c>
      <c r="G224" s="500">
        <f t="shared" si="31"/>
        <v>0</v>
      </c>
      <c r="H224" s="500">
        <f t="shared" si="32"/>
        <v>0</v>
      </c>
      <c r="I224" s="500">
        <f t="shared" si="33"/>
        <v>0</v>
      </c>
      <c r="J224" s="500">
        <f t="shared" si="34"/>
        <v>0</v>
      </c>
      <c r="K224" s="500">
        <f t="shared" si="35"/>
        <v>0</v>
      </c>
      <c r="L224" s="502">
        <f t="shared" si="36"/>
        <v>0</v>
      </c>
      <c r="M224" s="326">
        <f>L224*D224*VPI!Q224</f>
        <v>0</v>
      </c>
    </row>
    <row r="225" spans="1:13" x14ac:dyDescent="0.25">
      <c r="A225" s="170">
        <f>Données!A225</f>
        <v>5764</v>
      </c>
      <c r="B225" s="27" t="str">
        <f>Données!B225</f>
        <v>Vallorbe</v>
      </c>
      <c r="C225" s="377">
        <f>VPI!R225</f>
        <v>83717.114965034954</v>
      </c>
      <c r="D225" s="27">
        <f>Données!Z225</f>
        <v>3990</v>
      </c>
      <c r="E225" s="115">
        <f t="shared" si="29"/>
        <v>20.981733073943598</v>
      </c>
      <c r="F225" s="203">
        <f t="shared" si="30"/>
        <v>0.43313340576687831</v>
      </c>
      <c r="G225" s="500">
        <f t="shared" si="31"/>
        <v>0</v>
      </c>
      <c r="H225" s="500">
        <f t="shared" si="32"/>
        <v>0</v>
      </c>
      <c r="I225" s="500">
        <f t="shared" si="33"/>
        <v>0</v>
      </c>
      <c r="J225" s="500">
        <f t="shared" si="34"/>
        <v>0</v>
      </c>
      <c r="K225" s="500">
        <f t="shared" si="35"/>
        <v>0</v>
      </c>
      <c r="L225" s="502">
        <f t="shared" si="36"/>
        <v>0</v>
      </c>
      <c r="M225" s="326">
        <f>L225*D225*VPI!Q225</f>
        <v>0</v>
      </c>
    </row>
    <row r="226" spans="1:13" x14ac:dyDescent="0.25">
      <c r="A226" s="170">
        <f>Données!A226</f>
        <v>5765</v>
      </c>
      <c r="B226" s="27" t="str">
        <f>Données!B226</f>
        <v>Vaulion</v>
      </c>
      <c r="C226" s="377">
        <f>VPI!R226</f>
        <v>9628.0504938271606</v>
      </c>
      <c r="D226" s="27">
        <f>Données!Z226</f>
        <v>483</v>
      </c>
      <c r="E226" s="115">
        <f t="shared" si="29"/>
        <v>19.933851954093502</v>
      </c>
      <c r="F226" s="203">
        <f t="shared" si="30"/>
        <v>0.41150162174408328</v>
      </c>
      <c r="G226" s="500">
        <f t="shared" si="31"/>
        <v>0</v>
      </c>
      <c r="H226" s="500">
        <f t="shared" si="32"/>
        <v>0</v>
      </c>
      <c r="I226" s="500">
        <f t="shared" si="33"/>
        <v>0</v>
      </c>
      <c r="J226" s="500">
        <f t="shared" si="34"/>
        <v>0</v>
      </c>
      <c r="K226" s="500">
        <f t="shared" si="35"/>
        <v>0</v>
      </c>
      <c r="L226" s="502">
        <f t="shared" si="36"/>
        <v>0</v>
      </c>
      <c r="M226" s="326">
        <f>L226*D226*VPI!Q226</f>
        <v>0</v>
      </c>
    </row>
    <row r="227" spans="1:13" x14ac:dyDescent="0.25">
      <c r="A227" s="170">
        <f>Données!A227</f>
        <v>5766</v>
      </c>
      <c r="B227" s="27" t="str">
        <f>Données!B227</f>
        <v>Vuiteboeuf</v>
      </c>
      <c r="C227" s="377">
        <f>VPI!R227</f>
        <v>15422.760361904762</v>
      </c>
      <c r="D227" s="27">
        <f>Données!Z227</f>
        <v>592</v>
      </c>
      <c r="E227" s="115">
        <f t="shared" si="29"/>
        <v>26.051960070785071</v>
      </c>
      <c r="F227" s="203">
        <f t="shared" si="30"/>
        <v>0.53779991159905627</v>
      </c>
      <c r="G227" s="500">
        <f t="shared" si="31"/>
        <v>0</v>
      </c>
      <c r="H227" s="500">
        <f t="shared" si="32"/>
        <v>0</v>
      </c>
      <c r="I227" s="500">
        <f t="shared" si="33"/>
        <v>0</v>
      </c>
      <c r="J227" s="500">
        <f t="shared" si="34"/>
        <v>0</v>
      </c>
      <c r="K227" s="500">
        <f t="shared" si="35"/>
        <v>0</v>
      </c>
      <c r="L227" s="502">
        <f t="shared" si="36"/>
        <v>0</v>
      </c>
      <c r="M227" s="326">
        <f>L227*D227*VPI!Q227</f>
        <v>0</v>
      </c>
    </row>
    <row r="228" spans="1:13" x14ac:dyDescent="0.25">
      <c r="A228" s="170">
        <f>Données!A228</f>
        <v>5785</v>
      </c>
      <c r="B228" s="27" t="str">
        <f>Données!B228</f>
        <v>Corcelles-le-Jorat</v>
      </c>
      <c r="C228" s="377">
        <f>VPI!R228</f>
        <v>15461.968933333332</v>
      </c>
      <c r="D228" s="27">
        <f>Données!Z228</f>
        <v>484</v>
      </c>
      <c r="E228" s="115">
        <f t="shared" si="29"/>
        <v>31.946216804407712</v>
      </c>
      <c r="F228" s="203">
        <f t="shared" si="30"/>
        <v>0.65947715744433877</v>
      </c>
      <c r="G228" s="500">
        <f t="shared" si="31"/>
        <v>0</v>
      </c>
      <c r="H228" s="500">
        <f t="shared" si="32"/>
        <v>0</v>
      </c>
      <c r="I228" s="500">
        <f t="shared" si="33"/>
        <v>0</v>
      </c>
      <c r="J228" s="500">
        <f t="shared" si="34"/>
        <v>0</v>
      </c>
      <c r="K228" s="500">
        <f t="shared" si="35"/>
        <v>0</v>
      </c>
      <c r="L228" s="502">
        <f t="shared" si="36"/>
        <v>0</v>
      </c>
      <c r="M228" s="326">
        <f>L228*D228*VPI!Q228</f>
        <v>0</v>
      </c>
    </row>
    <row r="229" spans="1:13" x14ac:dyDescent="0.25">
      <c r="A229" s="170">
        <f>Données!A229</f>
        <v>5790</v>
      </c>
      <c r="B229" s="27" t="str">
        <f>Données!B229</f>
        <v>Maracon</v>
      </c>
      <c r="C229" s="377">
        <f>VPI!R229</f>
        <v>16326.697583892621</v>
      </c>
      <c r="D229" s="27">
        <f>Données!Z229</f>
        <v>544</v>
      </c>
      <c r="E229" s="115">
        <f t="shared" si="29"/>
        <v>30.012311735096731</v>
      </c>
      <c r="F229" s="203">
        <f t="shared" si="30"/>
        <v>0.61955486474580435</v>
      </c>
      <c r="G229" s="500">
        <f t="shared" si="31"/>
        <v>0</v>
      </c>
      <c r="H229" s="500">
        <f t="shared" si="32"/>
        <v>0</v>
      </c>
      <c r="I229" s="500">
        <f t="shared" si="33"/>
        <v>0</v>
      </c>
      <c r="J229" s="500">
        <f t="shared" si="34"/>
        <v>0</v>
      </c>
      <c r="K229" s="500">
        <f t="shared" si="35"/>
        <v>0</v>
      </c>
      <c r="L229" s="502">
        <f t="shared" si="36"/>
        <v>0</v>
      </c>
      <c r="M229" s="326">
        <f>L229*D229*VPI!Q229</f>
        <v>0</v>
      </c>
    </row>
    <row r="230" spans="1:13" x14ac:dyDescent="0.25">
      <c r="A230" s="170">
        <f>Données!A230</f>
        <v>5792</v>
      </c>
      <c r="B230" s="27" t="str">
        <f>Données!B230</f>
        <v>Montpreveyres</v>
      </c>
      <c r="C230" s="377">
        <f>VPI!R230</f>
        <v>19363.161854304632</v>
      </c>
      <c r="D230" s="27">
        <f>Données!Z230</f>
        <v>662</v>
      </c>
      <c r="E230" s="115">
        <f t="shared" si="29"/>
        <v>29.249489205898236</v>
      </c>
      <c r="F230" s="203">
        <f t="shared" si="30"/>
        <v>0.60380764696817646</v>
      </c>
      <c r="G230" s="500">
        <f t="shared" si="31"/>
        <v>0</v>
      </c>
      <c r="H230" s="500">
        <f t="shared" si="32"/>
        <v>0</v>
      </c>
      <c r="I230" s="500">
        <f t="shared" si="33"/>
        <v>0</v>
      </c>
      <c r="J230" s="500">
        <f t="shared" si="34"/>
        <v>0</v>
      </c>
      <c r="K230" s="500">
        <f t="shared" si="35"/>
        <v>0</v>
      </c>
      <c r="L230" s="502">
        <f t="shared" si="36"/>
        <v>0</v>
      </c>
      <c r="M230" s="326">
        <f>L230*D230*VPI!Q230</f>
        <v>0</v>
      </c>
    </row>
    <row r="231" spans="1:13" x14ac:dyDescent="0.25">
      <c r="A231" s="170">
        <f>Données!A231</f>
        <v>5798</v>
      </c>
      <c r="B231" s="27" t="str">
        <f>Données!B231</f>
        <v>Ropraz</v>
      </c>
      <c r="C231" s="377">
        <f>VPI!R231</f>
        <v>16208.351096774193</v>
      </c>
      <c r="D231" s="27">
        <f>Données!Z231</f>
        <v>529</v>
      </c>
      <c r="E231" s="115">
        <f t="shared" si="29"/>
        <v>30.639605097871822</v>
      </c>
      <c r="F231" s="203">
        <f t="shared" si="30"/>
        <v>0.63250430556064097</v>
      </c>
      <c r="G231" s="500">
        <f t="shared" si="31"/>
        <v>0</v>
      </c>
      <c r="H231" s="500">
        <f t="shared" si="32"/>
        <v>0</v>
      </c>
      <c r="I231" s="500">
        <f t="shared" si="33"/>
        <v>0</v>
      </c>
      <c r="J231" s="500">
        <f t="shared" si="34"/>
        <v>0</v>
      </c>
      <c r="K231" s="500">
        <f t="shared" si="35"/>
        <v>0</v>
      </c>
      <c r="L231" s="502">
        <f t="shared" si="36"/>
        <v>0</v>
      </c>
      <c r="M231" s="326">
        <f>L231*D231*VPI!Q231</f>
        <v>0</v>
      </c>
    </row>
    <row r="232" spans="1:13" x14ac:dyDescent="0.25">
      <c r="A232" s="170">
        <f>Données!A232</f>
        <v>5799</v>
      </c>
      <c r="B232" s="27" t="str">
        <f>Données!B232</f>
        <v>Servion</v>
      </c>
      <c r="C232" s="377">
        <f>VPI!R232</f>
        <v>73170.718115942043</v>
      </c>
      <c r="D232" s="27">
        <f>Données!Z232</f>
        <v>2138</v>
      </c>
      <c r="E232" s="115">
        <f t="shared" si="29"/>
        <v>34.223909315220787</v>
      </c>
      <c r="F232" s="203">
        <f t="shared" si="30"/>
        <v>0.70649637702078694</v>
      </c>
      <c r="G232" s="500">
        <f t="shared" si="31"/>
        <v>0</v>
      </c>
      <c r="H232" s="500">
        <f t="shared" si="32"/>
        <v>0</v>
      </c>
      <c r="I232" s="500">
        <f t="shared" si="33"/>
        <v>0</v>
      </c>
      <c r="J232" s="500">
        <f t="shared" si="34"/>
        <v>0</v>
      </c>
      <c r="K232" s="500">
        <f t="shared" si="35"/>
        <v>0</v>
      </c>
      <c r="L232" s="502">
        <f t="shared" si="36"/>
        <v>0</v>
      </c>
      <c r="M232" s="326">
        <f>L232*D232*VPI!Q232</f>
        <v>0</v>
      </c>
    </row>
    <row r="233" spans="1:13" x14ac:dyDescent="0.25">
      <c r="A233" s="170">
        <f>Données!A233</f>
        <v>5803</v>
      </c>
      <c r="B233" s="27" t="str">
        <f>Données!B233</f>
        <v>Vulliens</v>
      </c>
      <c r="C233" s="377">
        <f>VPI!R233</f>
        <v>16577.57405405405</v>
      </c>
      <c r="D233" s="27">
        <f>Données!Z233</f>
        <v>632</v>
      </c>
      <c r="E233" s="115">
        <f t="shared" si="29"/>
        <v>26.230338693123496</v>
      </c>
      <c r="F233" s="203">
        <f t="shared" si="30"/>
        <v>0.54148224517641907</v>
      </c>
      <c r="G233" s="500">
        <f t="shared" si="31"/>
        <v>0</v>
      </c>
      <c r="H233" s="500">
        <f t="shared" si="32"/>
        <v>0</v>
      </c>
      <c r="I233" s="500">
        <f t="shared" si="33"/>
        <v>0</v>
      </c>
      <c r="J233" s="500">
        <f t="shared" si="34"/>
        <v>0</v>
      </c>
      <c r="K233" s="500">
        <f t="shared" si="35"/>
        <v>0</v>
      </c>
      <c r="L233" s="502">
        <f t="shared" si="36"/>
        <v>0</v>
      </c>
      <c r="M233" s="326">
        <f>L233*D233*VPI!Q233</f>
        <v>0</v>
      </c>
    </row>
    <row r="234" spans="1:13" x14ac:dyDescent="0.25">
      <c r="A234" s="170">
        <f>Données!A234</f>
        <v>5804</v>
      </c>
      <c r="B234" s="27" t="str">
        <f>Données!B234</f>
        <v>Jorat-Menthue</v>
      </c>
      <c r="C234" s="377">
        <f>VPI!R234</f>
        <v>45125.345957446807</v>
      </c>
      <c r="D234" s="27">
        <f>Données!Z234</f>
        <v>1565</v>
      </c>
      <c r="E234" s="115">
        <f t="shared" si="29"/>
        <v>28.834086873767927</v>
      </c>
      <c r="F234" s="203">
        <f t="shared" si="30"/>
        <v>0.59523234833841043</v>
      </c>
      <c r="G234" s="500">
        <f t="shared" si="31"/>
        <v>0</v>
      </c>
      <c r="H234" s="500">
        <f t="shared" si="32"/>
        <v>0</v>
      </c>
      <c r="I234" s="500">
        <f t="shared" si="33"/>
        <v>0</v>
      </c>
      <c r="J234" s="500">
        <f t="shared" si="34"/>
        <v>0</v>
      </c>
      <c r="K234" s="500">
        <f t="shared" si="35"/>
        <v>0</v>
      </c>
      <c r="L234" s="502">
        <f t="shared" si="36"/>
        <v>0</v>
      </c>
      <c r="M234" s="326">
        <f>L234*D234*VPI!Q234</f>
        <v>0</v>
      </c>
    </row>
    <row r="235" spans="1:13" x14ac:dyDescent="0.25">
      <c r="A235" s="170">
        <f>Données!A235</f>
        <v>5805</v>
      </c>
      <c r="B235" s="27" t="str">
        <f>Données!B235</f>
        <v>Oron</v>
      </c>
      <c r="C235" s="377">
        <f>VPI!R235</f>
        <v>174509.83123847167</v>
      </c>
      <c r="D235" s="27">
        <f>Données!Z235</f>
        <v>6119</v>
      </c>
      <c r="E235" s="115">
        <f t="shared" si="29"/>
        <v>28.519338329542681</v>
      </c>
      <c r="F235" s="203">
        <f t="shared" si="30"/>
        <v>0.58873488178309774</v>
      </c>
      <c r="G235" s="500">
        <f t="shared" si="31"/>
        <v>0</v>
      </c>
      <c r="H235" s="500">
        <f t="shared" si="32"/>
        <v>0</v>
      </c>
      <c r="I235" s="500">
        <f t="shared" si="33"/>
        <v>0</v>
      </c>
      <c r="J235" s="500">
        <f t="shared" si="34"/>
        <v>0</v>
      </c>
      <c r="K235" s="500">
        <f t="shared" si="35"/>
        <v>0</v>
      </c>
      <c r="L235" s="502">
        <f t="shared" si="36"/>
        <v>0</v>
      </c>
      <c r="M235" s="326">
        <f>L235*D235*VPI!Q235</f>
        <v>0</v>
      </c>
    </row>
    <row r="236" spans="1:13" x14ac:dyDescent="0.25">
      <c r="A236" s="170">
        <f>Données!A236</f>
        <v>5806</v>
      </c>
      <c r="B236" s="27" t="str">
        <f>Données!B236</f>
        <v>Jorat-Mézières</v>
      </c>
      <c r="C236" s="377">
        <f>VPI!R236</f>
        <v>102977.86342465752</v>
      </c>
      <c r="D236" s="27">
        <f>Données!Z236</f>
        <v>3110</v>
      </c>
      <c r="E236" s="115">
        <f t="shared" si="29"/>
        <v>33.111853191208205</v>
      </c>
      <c r="F236" s="203">
        <f t="shared" si="30"/>
        <v>0.68353980547829363</v>
      </c>
      <c r="G236" s="500">
        <f t="shared" si="31"/>
        <v>0</v>
      </c>
      <c r="H236" s="500">
        <f t="shared" si="32"/>
        <v>0</v>
      </c>
      <c r="I236" s="500">
        <f t="shared" si="33"/>
        <v>0</v>
      </c>
      <c r="J236" s="500">
        <f t="shared" si="34"/>
        <v>0</v>
      </c>
      <c r="K236" s="500">
        <f t="shared" si="35"/>
        <v>0</v>
      </c>
      <c r="L236" s="502">
        <f t="shared" si="36"/>
        <v>0</v>
      </c>
      <c r="M236" s="326">
        <f>L236*D236*VPI!Q236</f>
        <v>0</v>
      </c>
    </row>
    <row r="237" spans="1:13" x14ac:dyDescent="0.25">
      <c r="A237" s="170">
        <f>Données!A237</f>
        <v>5812</v>
      </c>
      <c r="B237" s="27" t="str">
        <f>Données!B237</f>
        <v>Champtauroz</v>
      </c>
      <c r="C237" s="377">
        <f>VPI!R237</f>
        <v>3602.9164935064928</v>
      </c>
      <c r="D237" s="27">
        <f>Données!Z237</f>
        <v>169</v>
      </c>
      <c r="E237" s="115">
        <f t="shared" si="29"/>
        <v>21.31903250595558</v>
      </c>
      <c r="F237" s="203">
        <f t="shared" si="30"/>
        <v>0.44009639834884062</v>
      </c>
      <c r="G237" s="500">
        <f t="shared" si="31"/>
        <v>0</v>
      </c>
      <c r="H237" s="500">
        <f t="shared" si="32"/>
        <v>0</v>
      </c>
      <c r="I237" s="500">
        <f t="shared" si="33"/>
        <v>0</v>
      </c>
      <c r="J237" s="500">
        <f t="shared" si="34"/>
        <v>0</v>
      </c>
      <c r="K237" s="500">
        <f t="shared" si="35"/>
        <v>0</v>
      </c>
      <c r="L237" s="502">
        <f t="shared" si="36"/>
        <v>0</v>
      </c>
      <c r="M237" s="326">
        <f>L237*D237*VPI!Q237</f>
        <v>0</v>
      </c>
    </row>
    <row r="238" spans="1:13" x14ac:dyDescent="0.25">
      <c r="A238" s="170">
        <f>Données!A238</f>
        <v>5813</v>
      </c>
      <c r="B238" s="27" t="str">
        <f>Données!B238</f>
        <v>Chevroux</v>
      </c>
      <c r="C238" s="377">
        <f>VPI!R238</f>
        <v>17498.80282238443</v>
      </c>
      <c r="D238" s="27">
        <f>Données!Z238</f>
        <v>522</v>
      </c>
      <c r="E238" s="115">
        <f t="shared" si="29"/>
        <v>33.522610770851401</v>
      </c>
      <c r="F238" s="203">
        <f t="shared" si="30"/>
        <v>0.69201922082441492</v>
      </c>
      <c r="G238" s="500">
        <f t="shared" si="31"/>
        <v>0</v>
      </c>
      <c r="H238" s="500">
        <f t="shared" si="32"/>
        <v>0</v>
      </c>
      <c r="I238" s="500">
        <f t="shared" si="33"/>
        <v>0</v>
      </c>
      <c r="J238" s="500">
        <f t="shared" si="34"/>
        <v>0</v>
      </c>
      <c r="K238" s="500">
        <f t="shared" si="35"/>
        <v>0</v>
      </c>
      <c r="L238" s="502">
        <f t="shared" si="36"/>
        <v>0</v>
      </c>
      <c r="M238" s="326">
        <f>L238*D238*VPI!Q238</f>
        <v>0</v>
      </c>
    </row>
    <row r="239" spans="1:13" x14ac:dyDescent="0.25">
      <c r="A239" s="170">
        <f>Données!A239</f>
        <v>5816</v>
      </c>
      <c r="B239" s="27" t="str">
        <f>Données!B239</f>
        <v>Corcelles-près-Payerne</v>
      </c>
      <c r="C239" s="377">
        <f>VPI!R239</f>
        <v>65701.749572471308</v>
      </c>
      <c r="D239" s="27">
        <f>Données!Z239</f>
        <v>2852</v>
      </c>
      <c r="E239" s="115">
        <f t="shared" si="29"/>
        <v>23.037079092731876</v>
      </c>
      <c r="F239" s="203">
        <f t="shared" si="30"/>
        <v>0.4755626473366662</v>
      </c>
      <c r="G239" s="500">
        <f t="shared" si="31"/>
        <v>0</v>
      </c>
      <c r="H239" s="500">
        <f t="shared" si="32"/>
        <v>0</v>
      </c>
      <c r="I239" s="500">
        <f t="shared" si="33"/>
        <v>0</v>
      </c>
      <c r="J239" s="500">
        <f t="shared" si="34"/>
        <v>0</v>
      </c>
      <c r="K239" s="500">
        <f t="shared" si="35"/>
        <v>0</v>
      </c>
      <c r="L239" s="502">
        <f t="shared" si="36"/>
        <v>0</v>
      </c>
      <c r="M239" s="326">
        <f>L239*D239*VPI!Q239</f>
        <v>0</v>
      </c>
    </row>
    <row r="240" spans="1:13" x14ac:dyDescent="0.25">
      <c r="A240" s="170">
        <f>Données!A240</f>
        <v>5817</v>
      </c>
      <c r="B240" s="27" t="str">
        <f>Données!B240</f>
        <v>Grandcour</v>
      </c>
      <c r="C240" s="377">
        <f>VPI!R240</f>
        <v>25916.897414965984</v>
      </c>
      <c r="D240" s="27">
        <f>Données!Z240</f>
        <v>1001</v>
      </c>
      <c r="E240" s="115">
        <f t="shared" si="29"/>
        <v>25.891006408557427</v>
      </c>
      <c r="F240" s="203">
        <f t="shared" si="30"/>
        <v>0.53447728769350833</v>
      </c>
      <c r="G240" s="500">
        <f t="shared" si="31"/>
        <v>0</v>
      </c>
      <c r="H240" s="500">
        <f t="shared" si="32"/>
        <v>0</v>
      </c>
      <c r="I240" s="500">
        <f t="shared" si="33"/>
        <v>0</v>
      </c>
      <c r="J240" s="500">
        <f t="shared" si="34"/>
        <v>0</v>
      </c>
      <c r="K240" s="500">
        <f t="shared" si="35"/>
        <v>0</v>
      </c>
      <c r="L240" s="502">
        <f t="shared" si="36"/>
        <v>0</v>
      </c>
      <c r="M240" s="326">
        <f>L240*D240*VPI!Q240</f>
        <v>0</v>
      </c>
    </row>
    <row r="241" spans="1:13" x14ac:dyDescent="0.25">
      <c r="A241" s="170">
        <f>Données!A241</f>
        <v>5819</v>
      </c>
      <c r="B241" s="27" t="str">
        <f>Données!B241</f>
        <v>Henniez</v>
      </c>
      <c r="C241" s="377">
        <f>VPI!R241</f>
        <v>10275.75579710145</v>
      </c>
      <c r="D241" s="27">
        <f>Données!Z241</f>
        <v>414</v>
      </c>
      <c r="E241" s="115">
        <f t="shared" si="29"/>
        <v>24.82066617657355</v>
      </c>
      <c r="F241" s="203">
        <f t="shared" si="30"/>
        <v>0.51238187220162912</v>
      </c>
      <c r="G241" s="500">
        <f t="shared" si="31"/>
        <v>0</v>
      </c>
      <c r="H241" s="500">
        <f t="shared" si="32"/>
        <v>0</v>
      </c>
      <c r="I241" s="500">
        <f t="shared" si="33"/>
        <v>0</v>
      </c>
      <c r="J241" s="500">
        <f t="shared" si="34"/>
        <v>0</v>
      </c>
      <c r="K241" s="500">
        <f t="shared" si="35"/>
        <v>0</v>
      </c>
      <c r="L241" s="502">
        <f t="shared" si="36"/>
        <v>0</v>
      </c>
      <c r="M241" s="326">
        <f>L241*D241*VPI!Q241</f>
        <v>0</v>
      </c>
    </row>
    <row r="242" spans="1:13" x14ac:dyDescent="0.25">
      <c r="A242" s="170">
        <f>Données!A242</f>
        <v>5821</v>
      </c>
      <c r="B242" s="27" t="str">
        <f>Données!B242</f>
        <v>Missy</v>
      </c>
      <c r="C242" s="377">
        <f>VPI!R242</f>
        <v>8375.965000000002</v>
      </c>
      <c r="D242" s="27">
        <f>Données!Z242</f>
        <v>387</v>
      </c>
      <c r="E242" s="115">
        <f t="shared" si="29"/>
        <v>21.643320413436697</v>
      </c>
      <c r="F242" s="203">
        <f t="shared" si="30"/>
        <v>0.44679078938514366</v>
      </c>
      <c r="G242" s="500">
        <f t="shared" si="31"/>
        <v>0</v>
      </c>
      <c r="H242" s="500">
        <f t="shared" si="32"/>
        <v>0</v>
      </c>
      <c r="I242" s="500">
        <f t="shared" si="33"/>
        <v>0</v>
      </c>
      <c r="J242" s="500">
        <f t="shared" si="34"/>
        <v>0</v>
      </c>
      <c r="K242" s="500">
        <f t="shared" si="35"/>
        <v>0</v>
      </c>
      <c r="L242" s="502">
        <f t="shared" si="36"/>
        <v>0</v>
      </c>
      <c r="M242" s="326">
        <f>L242*D242*VPI!Q242</f>
        <v>0</v>
      </c>
    </row>
    <row r="243" spans="1:13" x14ac:dyDescent="0.25">
      <c r="A243" s="170">
        <f>Données!A243</f>
        <v>5822</v>
      </c>
      <c r="B243" s="27" t="str">
        <f>Données!B243</f>
        <v>Payerne</v>
      </c>
      <c r="C243" s="377">
        <f>VPI!R243</f>
        <v>226909.24698630138</v>
      </c>
      <c r="D243" s="27">
        <f>Données!Z243</f>
        <v>10382</v>
      </c>
      <c r="E243" s="115">
        <f t="shared" si="29"/>
        <v>21.856024560422018</v>
      </c>
      <c r="F243" s="203">
        <f t="shared" si="30"/>
        <v>0.451181717021093</v>
      </c>
      <c r="G243" s="500">
        <f t="shared" si="31"/>
        <v>0</v>
      </c>
      <c r="H243" s="500">
        <f t="shared" si="32"/>
        <v>0</v>
      </c>
      <c r="I243" s="500">
        <f t="shared" si="33"/>
        <v>0</v>
      </c>
      <c r="J243" s="500">
        <f t="shared" si="34"/>
        <v>0</v>
      </c>
      <c r="K243" s="500">
        <f t="shared" si="35"/>
        <v>0</v>
      </c>
      <c r="L243" s="502">
        <f t="shared" si="36"/>
        <v>0</v>
      </c>
      <c r="M243" s="326">
        <f>L243*D243*VPI!Q243</f>
        <v>0</v>
      </c>
    </row>
    <row r="244" spans="1:13" x14ac:dyDescent="0.25">
      <c r="A244" s="170">
        <f>Données!A244</f>
        <v>5827</v>
      </c>
      <c r="B244" s="27" t="str">
        <f>Données!B244</f>
        <v>Trey</v>
      </c>
      <c r="C244" s="377">
        <f>VPI!R244</f>
        <v>7715.2558974358981</v>
      </c>
      <c r="D244" s="27">
        <f>Données!Z244</f>
        <v>302</v>
      </c>
      <c r="E244" s="115">
        <f t="shared" si="29"/>
        <v>25.547204958397014</v>
      </c>
      <c r="F244" s="203">
        <f t="shared" si="30"/>
        <v>0.52738007162986011</v>
      </c>
      <c r="G244" s="500">
        <f t="shared" si="31"/>
        <v>0</v>
      </c>
      <c r="H244" s="500">
        <f t="shared" si="32"/>
        <v>0</v>
      </c>
      <c r="I244" s="500">
        <f t="shared" si="33"/>
        <v>0</v>
      </c>
      <c r="J244" s="500">
        <f t="shared" si="34"/>
        <v>0</v>
      </c>
      <c r="K244" s="500">
        <f t="shared" si="35"/>
        <v>0</v>
      </c>
      <c r="L244" s="502">
        <f t="shared" si="36"/>
        <v>0</v>
      </c>
      <c r="M244" s="326">
        <f>L244*D244*VPI!Q244</f>
        <v>0</v>
      </c>
    </row>
    <row r="245" spans="1:13" x14ac:dyDescent="0.25">
      <c r="A245" s="170">
        <f>Données!A245</f>
        <v>5828</v>
      </c>
      <c r="B245" s="27" t="str">
        <f>Données!B245</f>
        <v>Treytorrens (Payerne)</v>
      </c>
      <c r="C245" s="377">
        <f>VPI!R245</f>
        <v>2864.8065848670758</v>
      </c>
      <c r="D245" s="27">
        <f>Données!Z245</f>
        <v>105</v>
      </c>
      <c r="E245" s="115">
        <f t="shared" si="29"/>
        <v>27.283872236829293</v>
      </c>
      <c r="F245" s="203">
        <f t="shared" si="30"/>
        <v>0.56323071420263249</v>
      </c>
      <c r="G245" s="500">
        <f t="shared" si="31"/>
        <v>0</v>
      </c>
      <c r="H245" s="500">
        <f t="shared" si="32"/>
        <v>0</v>
      </c>
      <c r="I245" s="500">
        <f t="shared" si="33"/>
        <v>0</v>
      </c>
      <c r="J245" s="500">
        <f t="shared" si="34"/>
        <v>0</v>
      </c>
      <c r="K245" s="500">
        <f t="shared" si="35"/>
        <v>0</v>
      </c>
      <c r="L245" s="502">
        <f t="shared" si="36"/>
        <v>0</v>
      </c>
      <c r="M245" s="326">
        <f>L245*D245*VPI!Q245</f>
        <v>0</v>
      </c>
    </row>
    <row r="246" spans="1:13" x14ac:dyDescent="0.25">
      <c r="A246" s="170">
        <f>Données!A246</f>
        <v>5830</v>
      </c>
      <c r="B246" s="27" t="str">
        <f>Données!B246</f>
        <v>Villarzel</v>
      </c>
      <c r="C246" s="377">
        <f>VPI!R246</f>
        <v>12474.180666666667</v>
      </c>
      <c r="D246" s="27">
        <f>Données!Z246</f>
        <v>487</v>
      </c>
      <c r="E246" s="115">
        <f t="shared" si="29"/>
        <v>25.614334017796033</v>
      </c>
      <c r="F246" s="203">
        <f t="shared" si="30"/>
        <v>0.52876584076632538</v>
      </c>
      <c r="G246" s="500">
        <f t="shared" si="31"/>
        <v>0</v>
      </c>
      <c r="H246" s="500">
        <f t="shared" si="32"/>
        <v>0</v>
      </c>
      <c r="I246" s="500">
        <f t="shared" si="33"/>
        <v>0</v>
      </c>
      <c r="J246" s="500">
        <f t="shared" si="34"/>
        <v>0</v>
      </c>
      <c r="K246" s="500">
        <f t="shared" si="35"/>
        <v>0</v>
      </c>
      <c r="L246" s="502">
        <f t="shared" si="36"/>
        <v>0</v>
      </c>
      <c r="M246" s="326">
        <f>L246*D246*VPI!Q246</f>
        <v>0</v>
      </c>
    </row>
    <row r="247" spans="1:13" x14ac:dyDescent="0.25">
      <c r="A247" s="170">
        <f>Données!A247</f>
        <v>5831</v>
      </c>
      <c r="B247" s="27" t="str">
        <f>Données!B247</f>
        <v>Valbroye</v>
      </c>
      <c r="C247" s="377">
        <f>VPI!R247</f>
        <v>87477.16732860521</v>
      </c>
      <c r="D247" s="27">
        <f>Données!Z247</f>
        <v>3362</v>
      </c>
      <c r="E247" s="115">
        <f t="shared" si="29"/>
        <v>26.019383500477456</v>
      </c>
      <c r="F247" s="203">
        <f t="shared" si="30"/>
        <v>0.53712742182922579</v>
      </c>
      <c r="G247" s="500">
        <f t="shared" si="31"/>
        <v>0</v>
      </c>
      <c r="H247" s="500">
        <f t="shared" si="32"/>
        <v>0</v>
      </c>
      <c r="I247" s="500">
        <f t="shared" si="33"/>
        <v>0</v>
      </c>
      <c r="J247" s="500">
        <f t="shared" si="34"/>
        <v>0</v>
      </c>
      <c r="K247" s="500">
        <f t="shared" si="35"/>
        <v>0</v>
      </c>
      <c r="L247" s="502">
        <f t="shared" si="36"/>
        <v>0</v>
      </c>
      <c r="M247" s="326">
        <f>L247*D247*VPI!Q247</f>
        <v>0</v>
      </c>
    </row>
    <row r="248" spans="1:13" x14ac:dyDescent="0.25">
      <c r="A248" s="170">
        <f>Données!A248</f>
        <v>5841</v>
      </c>
      <c r="B248" s="27" t="str">
        <f>Données!B248</f>
        <v>Château-d'Oex</v>
      </c>
      <c r="C248" s="377">
        <f>VPI!R248</f>
        <v>123828.98781186093</v>
      </c>
      <c r="D248" s="27">
        <f>Données!Z248</f>
        <v>3569</v>
      </c>
      <c r="E248" s="115">
        <f t="shared" si="29"/>
        <v>34.695709669896594</v>
      </c>
      <c r="F248" s="203">
        <f t="shared" si="30"/>
        <v>0.71623592016255588</v>
      </c>
      <c r="G248" s="500">
        <f t="shared" si="31"/>
        <v>0</v>
      </c>
      <c r="H248" s="500">
        <f t="shared" si="32"/>
        <v>0</v>
      </c>
      <c r="I248" s="500">
        <f t="shared" si="33"/>
        <v>0</v>
      </c>
      <c r="J248" s="500">
        <f t="shared" si="34"/>
        <v>0</v>
      </c>
      <c r="K248" s="500">
        <f t="shared" si="35"/>
        <v>0</v>
      </c>
      <c r="L248" s="502">
        <f t="shared" si="36"/>
        <v>0</v>
      </c>
      <c r="M248" s="326">
        <f>L248*D248*VPI!Q248</f>
        <v>0</v>
      </c>
    </row>
    <row r="249" spans="1:13" x14ac:dyDescent="0.25">
      <c r="A249" s="170">
        <f>Données!A249</f>
        <v>5842</v>
      </c>
      <c r="B249" s="27" t="str">
        <f>Données!B249</f>
        <v>Rossinière</v>
      </c>
      <c r="C249" s="377">
        <f>VPI!R249</f>
        <v>16474.219053497945</v>
      </c>
      <c r="D249" s="27">
        <f>Données!Z249</f>
        <v>534</v>
      </c>
      <c r="E249" s="115">
        <f t="shared" si="29"/>
        <v>30.850597478460571</v>
      </c>
      <c r="F249" s="203">
        <f t="shared" si="30"/>
        <v>0.63685989659181075</v>
      </c>
      <c r="G249" s="500">
        <f t="shared" si="31"/>
        <v>0</v>
      </c>
      <c r="H249" s="500">
        <f t="shared" si="32"/>
        <v>0</v>
      </c>
      <c r="I249" s="500">
        <f t="shared" si="33"/>
        <v>0</v>
      </c>
      <c r="J249" s="500">
        <f t="shared" si="34"/>
        <v>0</v>
      </c>
      <c r="K249" s="500">
        <f t="shared" si="35"/>
        <v>0</v>
      </c>
      <c r="L249" s="502">
        <f t="shared" si="36"/>
        <v>0</v>
      </c>
      <c r="M249" s="326">
        <f>L249*D249*VPI!Q249</f>
        <v>0</v>
      </c>
    </row>
    <row r="250" spans="1:13" x14ac:dyDescent="0.25">
      <c r="A250" s="170">
        <f>Données!A250</f>
        <v>5843</v>
      </c>
      <c r="B250" s="27" t="str">
        <f>Données!B250</f>
        <v>Rougemont</v>
      </c>
      <c r="C250" s="377">
        <f>VPI!R250</f>
        <v>89736.824345991568</v>
      </c>
      <c r="D250" s="27">
        <f>Données!Z250</f>
        <v>830</v>
      </c>
      <c r="E250" s="115">
        <f t="shared" si="29"/>
        <v>108.11665583854406</v>
      </c>
      <c r="F250" s="203">
        <f t="shared" si="30"/>
        <v>2.2318907212497656</v>
      </c>
      <c r="G250" s="500">
        <f t="shared" si="31"/>
        <v>59.674922195777157</v>
      </c>
      <c r="H250" s="500">
        <f t="shared" si="32"/>
        <v>49.98657546722378</v>
      </c>
      <c r="I250" s="500">
        <f t="shared" si="33"/>
        <v>35.454055374393704</v>
      </c>
      <c r="J250" s="500">
        <f t="shared" si="34"/>
        <v>11.233188553010251</v>
      </c>
      <c r="K250" s="500">
        <f t="shared" si="35"/>
        <v>0</v>
      </c>
      <c r="L250" s="502">
        <f t="shared" si="36"/>
        <v>21.602366378618207</v>
      </c>
      <c r="M250" s="326">
        <f>L250*D250*VPI!Q250</f>
        <v>1416467.1634459959</v>
      </c>
    </row>
    <row r="251" spans="1:13" x14ac:dyDescent="0.25">
      <c r="A251" s="170">
        <f>Données!A251</f>
        <v>5851</v>
      </c>
      <c r="B251" s="27" t="str">
        <f>Données!B251</f>
        <v>Allaman</v>
      </c>
      <c r="C251" s="377">
        <f>VPI!R251</f>
        <v>24432.115794871796</v>
      </c>
      <c r="D251" s="27">
        <f>Données!Z251</f>
        <v>420</v>
      </c>
      <c r="E251" s="115">
        <f t="shared" si="29"/>
        <v>58.171704273504275</v>
      </c>
      <c r="F251" s="203">
        <f t="shared" si="30"/>
        <v>1.2008592570714116</v>
      </c>
      <c r="G251" s="500">
        <f t="shared" si="31"/>
        <v>9.7299706307373697</v>
      </c>
      <c r="H251" s="500">
        <f t="shared" si="32"/>
        <v>4.1623902183992811E-2</v>
      </c>
      <c r="I251" s="500">
        <f t="shared" si="33"/>
        <v>0</v>
      </c>
      <c r="J251" s="500">
        <f t="shared" si="34"/>
        <v>0</v>
      </c>
      <c r="K251" s="500">
        <f t="shared" si="35"/>
        <v>0</v>
      </c>
      <c r="L251" s="502">
        <f t="shared" si="36"/>
        <v>1.9501565163658734</v>
      </c>
      <c r="M251" s="326">
        <f>L251*D251*VPI!Q251</f>
        <v>53239.272896788345</v>
      </c>
    </row>
    <row r="252" spans="1:13" x14ac:dyDescent="0.25">
      <c r="A252" s="170">
        <f>Données!A252</f>
        <v>5852</v>
      </c>
      <c r="B252" s="27" t="str">
        <f>Données!B252</f>
        <v>Bursinel</v>
      </c>
      <c r="C252" s="377">
        <f>VPI!R252</f>
        <v>35649.594677419358</v>
      </c>
      <c r="D252" s="27">
        <f>Données!Z252</f>
        <v>503</v>
      </c>
      <c r="E252" s="115">
        <f t="shared" si="29"/>
        <v>70.87394568075419</v>
      </c>
      <c r="F252" s="203">
        <f t="shared" si="30"/>
        <v>1.4630761608040994</v>
      </c>
      <c r="G252" s="500">
        <f t="shared" si="31"/>
        <v>22.432212037987284</v>
      </c>
      <c r="H252" s="500">
        <f t="shared" si="32"/>
        <v>12.743865309433907</v>
      </c>
      <c r="I252" s="500">
        <f t="shared" si="33"/>
        <v>0</v>
      </c>
      <c r="J252" s="500">
        <f t="shared" si="34"/>
        <v>0</v>
      </c>
      <c r="K252" s="500">
        <f t="shared" si="35"/>
        <v>0</v>
      </c>
      <c r="L252" s="502">
        <f t="shared" si="36"/>
        <v>5.7608289385408478</v>
      </c>
      <c r="M252" s="326">
        <f>L252*D252*VPI!Q252</f>
        <v>179657.21127733489</v>
      </c>
    </row>
    <row r="253" spans="1:13" x14ac:dyDescent="0.25">
      <c r="A253" s="170">
        <f>Données!A253</f>
        <v>5853</v>
      </c>
      <c r="B253" s="27" t="str">
        <f>Données!B253</f>
        <v>Bursins</v>
      </c>
      <c r="C253" s="377">
        <f>VPI!R253</f>
        <v>47536.23239436619</v>
      </c>
      <c r="D253" s="27">
        <f>Données!Z253</f>
        <v>767</v>
      </c>
      <c r="E253" s="115">
        <f t="shared" si="29"/>
        <v>61.976834933984605</v>
      </c>
      <c r="F253" s="203">
        <f t="shared" si="30"/>
        <v>1.2794099276262938</v>
      </c>
      <c r="G253" s="500">
        <f t="shared" si="31"/>
        <v>13.5351012912177</v>
      </c>
      <c r="H253" s="500">
        <f t="shared" si="32"/>
        <v>3.8467545626643229</v>
      </c>
      <c r="I253" s="500">
        <f t="shared" si="33"/>
        <v>0</v>
      </c>
      <c r="J253" s="500">
        <f t="shared" si="34"/>
        <v>0</v>
      </c>
      <c r="K253" s="500">
        <f t="shared" si="35"/>
        <v>0</v>
      </c>
      <c r="L253" s="502">
        <f t="shared" si="36"/>
        <v>3.0916957145099726</v>
      </c>
      <c r="M253" s="326">
        <f>L253*D253*VPI!Q253</f>
        <v>168364.47352506957</v>
      </c>
    </row>
    <row r="254" spans="1:13" x14ac:dyDescent="0.25">
      <c r="A254" s="170">
        <f>Données!A254</f>
        <v>5854</v>
      </c>
      <c r="B254" s="27" t="str">
        <f>Données!B254</f>
        <v>Burtigny</v>
      </c>
      <c r="C254" s="377">
        <f>VPI!R254</f>
        <v>15260.883397027597</v>
      </c>
      <c r="D254" s="27">
        <f>Données!Z254</f>
        <v>414</v>
      </c>
      <c r="E254" s="115">
        <f t="shared" si="29"/>
        <v>36.862037190887918</v>
      </c>
      <c r="F254" s="203">
        <f t="shared" si="30"/>
        <v>0.76095619249976998</v>
      </c>
      <c r="G254" s="500">
        <f t="shared" si="31"/>
        <v>0</v>
      </c>
      <c r="H254" s="500">
        <f t="shared" si="32"/>
        <v>0</v>
      </c>
      <c r="I254" s="500">
        <f t="shared" si="33"/>
        <v>0</v>
      </c>
      <c r="J254" s="500">
        <f t="shared" si="34"/>
        <v>0</v>
      </c>
      <c r="K254" s="500">
        <f t="shared" si="35"/>
        <v>0</v>
      </c>
      <c r="L254" s="502">
        <f t="shared" si="36"/>
        <v>0</v>
      </c>
      <c r="M254" s="326">
        <f>L254*D254*VPI!Q254</f>
        <v>0</v>
      </c>
    </row>
    <row r="255" spans="1:13" x14ac:dyDescent="0.25">
      <c r="A255" s="170">
        <f>Données!A255</f>
        <v>5855</v>
      </c>
      <c r="B255" s="27" t="str">
        <f>Données!B255</f>
        <v>Dully</v>
      </c>
      <c r="C255" s="377">
        <f>VPI!R255</f>
        <v>82571.89</v>
      </c>
      <c r="D255" s="27">
        <f>Données!Z255</f>
        <v>631</v>
      </c>
      <c r="E255" s="115">
        <f t="shared" si="29"/>
        <v>130.85877971473852</v>
      </c>
      <c r="F255" s="203">
        <f t="shared" si="30"/>
        <v>2.7013645027602711</v>
      </c>
      <c r="G255" s="500">
        <f t="shared" si="31"/>
        <v>82.417046071971612</v>
      </c>
      <c r="H255" s="500">
        <f t="shared" si="32"/>
        <v>72.728699343418242</v>
      </c>
      <c r="I255" s="500">
        <f t="shared" si="33"/>
        <v>58.196179250588159</v>
      </c>
      <c r="J255" s="500">
        <f t="shared" si="34"/>
        <v>33.975312429204706</v>
      </c>
      <c r="K255" s="500">
        <f t="shared" si="35"/>
        <v>0</v>
      </c>
      <c r="L255" s="502">
        <f t="shared" si="36"/>
        <v>32.973428316715435</v>
      </c>
      <c r="M255" s="326">
        <f>L255*D255*VPI!Q255</f>
        <v>1102730.3631959143</v>
      </c>
    </row>
    <row r="256" spans="1:13" x14ac:dyDescent="0.25">
      <c r="A256" s="170">
        <f>Données!A256</f>
        <v>5856</v>
      </c>
      <c r="B256" s="27" t="str">
        <f>Données!B256</f>
        <v>Essertines-sur-Rolle</v>
      </c>
      <c r="C256" s="377">
        <f>VPI!R256</f>
        <v>36688.113684210526</v>
      </c>
      <c r="D256" s="27">
        <f>Données!Z256</f>
        <v>757</v>
      </c>
      <c r="E256" s="115">
        <f t="shared" si="29"/>
        <v>48.465143572272822</v>
      </c>
      <c r="F256" s="203">
        <f t="shared" si="30"/>
        <v>1.0004832595315136</v>
      </c>
      <c r="G256" s="500">
        <f t="shared" si="31"/>
        <v>2.3409929505916693E-2</v>
      </c>
      <c r="H256" s="500">
        <f t="shared" si="32"/>
        <v>0</v>
      </c>
      <c r="I256" s="500">
        <f t="shared" si="33"/>
        <v>0</v>
      </c>
      <c r="J256" s="500">
        <f t="shared" si="34"/>
        <v>0</v>
      </c>
      <c r="K256" s="500">
        <f t="shared" si="35"/>
        <v>0</v>
      </c>
      <c r="L256" s="502">
        <f t="shared" si="36"/>
        <v>4.6819859011833385E-3</v>
      </c>
      <c r="M256" s="326">
        <f>L256*D256*VPI!Q256</f>
        <v>235.69351125851986</v>
      </c>
    </row>
    <row r="257" spans="1:13" x14ac:dyDescent="0.25">
      <c r="A257" s="170">
        <f>Données!A257</f>
        <v>5857</v>
      </c>
      <c r="B257" s="27" t="str">
        <f>Données!B257</f>
        <v>Gilly</v>
      </c>
      <c r="C257" s="377">
        <f>VPI!R257</f>
        <v>86828.689767441872</v>
      </c>
      <c r="D257" s="27">
        <f>Données!Z257</f>
        <v>1446</v>
      </c>
      <c r="E257" s="115">
        <f t="shared" si="29"/>
        <v>60.047503296986079</v>
      </c>
      <c r="F257" s="203">
        <f t="shared" si="30"/>
        <v>1.2395820459235791</v>
      </c>
      <c r="G257" s="500">
        <f t="shared" si="31"/>
        <v>11.605769654219174</v>
      </c>
      <c r="H257" s="500">
        <f t="shared" si="32"/>
        <v>1.9174229256657966</v>
      </c>
      <c r="I257" s="500">
        <f t="shared" si="33"/>
        <v>0</v>
      </c>
      <c r="J257" s="500">
        <f t="shared" si="34"/>
        <v>0</v>
      </c>
      <c r="K257" s="500">
        <f t="shared" si="35"/>
        <v>0</v>
      </c>
      <c r="L257" s="502">
        <f t="shared" si="36"/>
        <v>2.5128962234104146</v>
      </c>
      <c r="M257" s="326">
        <f>L257*D257*VPI!Q257</f>
        <v>234370.29206881914</v>
      </c>
    </row>
    <row r="258" spans="1:13" x14ac:dyDescent="0.25">
      <c r="A258" s="170">
        <f>Données!A258</f>
        <v>5858</v>
      </c>
      <c r="B258" s="27" t="str">
        <f>Données!B258</f>
        <v>Luins</v>
      </c>
      <c r="C258" s="377">
        <f>VPI!R258</f>
        <v>41178.091054131051</v>
      </c>
      <c r="D258" s="27">
        <f>Données!Z258</f>
        <v>618</v>
      </c>
      <c r="E258" s="115">
        <f t="shared" si="29"/>
        <v>66.631215297946682</v>
      </c>
      <c r="F258" s="203">
        <f t="shared" si="30"/>
        <v>1.3754919629697386</v>
      </c>
      <c r="G258" s="500">
        <f t="shared" si="31"/>
        <v>18.189481655179776</v>
      </c>
      <c r="H258" s="500">
        <f t="shared" si="32"/>
        <v>8.5011349266263991</v>
      </c>
      <c r="I258" s="500">
        <f t="shared" si="33"/>
        <v>0</v>
      </c>
      <c r="J258" s="500">
        <f t="shared" si="34"/>
        <v>0</v>
      </c>
      <c r="K258" s="500">
        <f t="shared" si="35"/>
        <v>0</v>
      </c>
      <c r="L258" s="502">
        <f t="shared" si="36"/>
        <v>4.4880098236985955</v>
      </c>
      <c r="M258" s="326">
        <f>L258*D258*VPI!Q258</f>
        <v>162255.01915617535</v>
      </c>
    </row>
    <row r="259" spans="1:13" x14ac:dyDescent="0.25">
      <c r="A259" s="170">
        <f>Données!A259</f>
        <v>5859</v>
      </c>
      <c r="B259" s="27" t="str">
        <f>Données!B259</f>
        <v>Mont-sur-Rolle</v>
      </c>
      <c r="C259" s="377">
        <f>VPI!R259</f>
        <v>158441.81716535432</v>
      </c>
      <c r="D259" s="27">
        <f>Données!Z259</f>
        <v>2761</v>
      </c>
      <c r="E259" s="115">
        <f t="shared" si="29"/>
        <v>57.385663587596639</v>
      </c>
      <c r="F259" s="203">
        <f t="shared" si="30"/>
        <v>1.1846327385965716</v>
      </c>
      <c r="G259" s="500">
        <f t="shared" si="31"/>
        <v>8.9439299448297334</v>
      </c>
      <c r="H259" s="500">
        <f t="shared" si="32"/>
        <v>0</v>
      </c>
      <c r="I259" s="500">
        <f t="shared" si="33"/>
        <v>0</v>
      </c>
      <c r="J259" s="500">
        <f t="shared" si="34"/>
        <v>0</v>
      </c>
      <c r="K259" s="500">
        <f t="shared" si="35"/>
        <v>0</v>
      </c>
      <c r="L259" s="502">
        <f t="shared" si="36"/>
        <v>1.7887859889659468</v>
      </c>
      <c r="M259" s="326">
        <f>L259*D259*VPI!Q259</f>
        <v>313616.22033647116</v>
      </c>
    </row>
    <row r="260" spans="1:13" x14ac:dyDescent="0.25">
      <c r="A260" s="170">
        <f>Données!A260</f>
        <v>5860</v>
      </c>
      <c r="B260" s="27" t="str">
        <f>Données!B260</f>
        <v>Perroy</v>
      </c>
      <c r="C260" s="377">
        <f>VPI!R260</f>
        <v>132374.98733727811</v>
      </c>
      <c r="D260" s="27">
        <f>Données!Z260</f>
        <v>1542</v>
      </c>
      <c r="E260" s="115">
        <f t="shared" si="29"/>
        <v>85.846295290063622</v>
      </c>
      <c r="F260" s="203">
        <f t="shared" si="30"/>
        <v>1.772155718520239</v>
      </c>
      <c r="G260" s="500">
        <f t="shared" si="31"/>
        <v>37.404561647296717</v>
      </c>
      <c r="H260" s="500">
        <f t="shared" si="32"/>
        <v>27.71621491874334</v>
      </c>
      <c r="I260" s="500">
        <f t="shared" si="33"/>
        <v>13.183694825913264</v>
      </c>
      <c r="J260" s="500">
        <f t="shared" si="34"/>
        <v>0</v>
      </c>
      <c r="K260" s="500">
        <f t="shared" si="35"/>
        <v>0</v>
      </c>
      <c r="L260" s="502">
        <f t="shared" si="36"/>
        <v>11.570903303925004</v>
      </c>
      <c r="M260" s="326">
        <f>L260*D260*VPI!Q260</f>
        <v>1043776.4743371627</v>
      </c>
    </row>
    <row r="261" spans="1:13" x14ac:dyDescent="0.25">
      <c r="A261" s="170">
        <f>Données!A261</f>
        <v>5861</v>
      </c>
      <c r="B261" s="27" t="str">
        <f>Données!B261</f>
        <v>Rolle</v>
      </c>
      <c r="C261" s="377">
        <f>VPI!R261</f>
        <v>897513.79815126071</v>
      </c>
      <c r="D261" s="27">
        <f>Données!Z261</f>
        <v>6323</v>
      </c>
      <c r="E261" s="115">
        <f t="shared" si="29"/>
        <v>141.94429830005706</v>
      </c>
      <c r="F261" s="203">
        <f t="shared" si="30"/>
        <v>2.93020682015272</v>
      </c>
      <c r="G261" s="500">
        <f t="shared" si="31"/>
        <v>93.502564657290151</v>
      </c>
      <c r="H261" s="500">
        <f t="shared" si="32"/>
        <v>83.814217928736781</v>
      </c>
      <c r="I261" s="500">
        <f t="shared" si="33"/>
        <v>69.281697835906698</v>
      </c>
      <c r="J261" s="500">
        <f t="shared" si="34"/>
        <v>45.060831014523245</v>
      </c>
      <c r="K261" s="500">
        <f t="shared" si="35"/>
        <v>0</v>
      </c>
      <c r="L261" s="502">
        <f t="shared" si="36"/>
        <v>38.516187609374704</v>
      </c>
      <c r="M261" s="326">
        <f>L261*D261*VPI!Q261</f>
        <v>14490502.328117538</v>
      </c>
    </row>
    <row r="262" spans="1:13" x14ac:dyDescent="0.25">
      <c r="A262" s="170">
        <f>Données!A262</f>
        <v>5862</v>
      </c>
      <c r="B262" s="27" t="str">
        <f>Données!B262</f>
        <v>Tartegnin</v>
      </c>
      <c r="C262" s="377">
        <f>VPI!R262</f>
        <v>10371.497468354431</v>
      </c>
      <c r="D262" s="27">
        <f>Données!Z262</f>
        <v>249</v>
      </c>
      <c r="E262" s="115">
        <f t="shared" si="29"/>
        <v>41.652600274515791</v>
      </c>
      <c r="F262" s="203">
        <f t="shared" si="30"/>
        <v>0.85984949633889007</v>
      </c>
      <c r="G262" s="500">
        <f t="shared" si="31"/>
        <v>0</v>
      </c>
      <c r="H262" s="500">
        <f t="shared" si="32"/>
        <v>0</v>
      </c>
      <c r="I262" s="500">
        <f t="shared" si="33"/>
        <v>0</v>
      </c>
      <c r="J262" s="500">
        <f t="shared" si="34"/>
        <v>0</v>
      </c>
      <c r="K262" s="500">
        <f t="shared" si="35"/>
        <v>0</v>
      </c>
      <c r="L262" s="502">
        <f t="shared" si="36"/>
        <v>0</v>
      </c>
      <c r="M262" s="326">
        <f>L262*D262*VPI!Q262</f>
        <v>0</v>
      </c>
    </row>
    <row r="263" spans="1:13" x14ac:dyDescent="0.25">
      <c r="A263" s="170">
        <f>Données!A263</f>
        <v>5863</v>
      </c>
      <c r="B263" s="27" t="str">
        <f>Données!B263</f>
        <v>Vinzel</v>
      </c>
      <c r="C263" s="377">
        <f>VPI!R263</f>
        <v>23661.929552238806</v>
      </c>
      <c r="D263" s="27">
        <f>Données!Z263</f>
        <v>378</v>
      </c>
      <c r="E263" s="115">
        <f t="shared" ref="E263:E305" si="37">C263/D263</f>
        <v>62.597697228144987</v>
      </c>
      <c r="F263" s="203">
        <f t="shared" ref="F263:F305" si="38">E263/$E$306</f>
        <v>1.2922266095959962</v>
      </c>
      <c r="G263" s="500">
        <f t="shared" ref="G263:G305" si="39">IF(E263-$G$3&lt;0,0,E263-$G$3)</f>
        <v>14.155963585378082</v>
      </c>
      <c r="H263" s="500">
        <f t="shared" ref="H263:H305" si="40">IF(E263-$H$3&lt;0,0,E263-$H$3)</f>
        <v>4.467616856824705</v>
      </c>
      <c r="I263" s="500">
        <f t="shared" ref="I263:I305" si="41">IF(E263-$I$3&lt;0,0,E263-$I$3)</f>
        <v>0</v>
      </c>
      <c r="J263" s="500">
        <f t="shared" ref="J263:J305" si="42">IF(E263-$J$3&lt;0,0,E263-$J$3)</f>
        <v>0</v>
      </c>
      <c r="K263" s="500">
        <f t="shared" ref="K263:K305" si="43">IF(E263-$K$3&lt;0,0,E263-$K$3)</f>
        <v>0</v>
      </c>
      <c r="L263" s="502">
        <f t="shared" ref="L263:L305" si="44">(G263-H263)*$G$4+(H263-I263)*$H$4+(I263-J263)*$I$4+(J263-K263)*$J$4+(K263*$K$4)</f>
        <v>3.2779544027580867</v>
      </c>
      <c r="M263" s="326">
        <f>L263*D263*VPI!Q263</f>
        <v>83017.473204251306</v>
      </c>
    </row>
    <row r="264" spans="1:13" x14ac:dyDescent="0.25">
      <c r="A264" s="170">
        <f>Données!A264</f>
        <v>5871</v>
      </c>
      <c r="B264" s="27" t="str">
        <f>Données!B264</f>
        <v>L'Abbaye</v>
      </c>
      <c r="C264" s="377">
        <f>VPI!R264</f>
        <v>50236.516429495467</v>
      </c>
      <c r="D264" s="27">
        <f>Données!Z264</f>
        <v>1536</v>
      </c>
      <c r="E264" s="115">
        <f t="shared" si="37"/>
        <v>32.706065383786111</v>
      </c>
      <c r="F264" s="203">
        <f t="shared" si="38"/>
        <v>0.67516298291420929</v>
      </c>
      <c r="G264" s="500">
        <f t="shared" si="39"/>
        <v>0</v>
      </c>
      <c r="H264" s="500">
        <f t="shared" si="40"/>
        <v>0</v>
      </c>
      <c r="I264" s="500">
        <f t="shared" si="41"/>
        <v>0</v>
      </c>
      <c r="J264" s="500">
        <f t="shared" si="42"/>
        <v>0</v>
      </c>
      <c r="K264" s="500">
        <f t="shared" si="43"/>
        <v>0</v>
      </c>
      <c r="L264" s="502">
        <f t="shared" si="44"/>
        <v>0</v>
      </c>
      <c r="M264" s="326">
        <f>L264*D264*VPI!Q264</f>
        <v>0</v>
      </c>
    </row>
    <row r="265" spans="1:13" x14ac:dyDescent="0.25">
      <c r="A265" s="170">
        <f>Données!A265</f>
        <v>5872</v>
      </c>
      <c r="B265" s="27" t="str">
        <f>Données!B265</f>
        <v>Le Chenit</v>
      </c>
      <c r="C265" s="377">
        <f>VPI!R265</f>
        <v>317064.3538829867</v>
      </c>
      <c r="D265" s="27">
        <f>Données!Z265</f>
        <v>4617</v>
      </c>
      <c r="E265" s="115">
        <f t="shared" si="37"/>
        <v>68.673241040283017</v>
      </c>
      <c r="F265" s="203">
        <f t="shared" si="38"/>
        <v>1.4176462293177443</v>
      </c>
      <c r="G265" s="500">
        <f t="shared" si="39"/>
        <v>20.231507397516111</v>
      </c>
      <c r="H265" s="500">
        <f t="shared" si="40"/>
        <v>10.543160668962734</v>
      </c>
      <c r="I265" s="500">
        <f t="shared" si="41"/>
        <v>0</v>
      </c>
      <c r="J265" s="500">
        <f t="shared" si="42"/>
        <v>0</v>
      </c>
      <c r="K265" s="500">
        <f t="shared" si="43"/>
        <v>0</v>
      </c>
      <c r="L265" s="502">
        <f t="shared" si="44"/>
        <v>5.100617546399496</v>
      </c>
      <c r="M265" s="326">
        <f>L265*D265*VPI!Q265</f>
        <v>1573816.5074796802</v>
      </c>
    </row>
    <row r="266" spans="1:13" x14ac:dyDescent="0.25">
      <c r="A266" s="170">
        <f>Données!A266</f>
        <v>5873</v>
      </c>
      <c r="B266" s="27" t="str">
        <f>Données!B266</f>
        <v>Le Lieu</v>
      </c>
      <c r="C266" s="377">
        <f>VPI!R266</f>
        <v>35207.025785714286</v>
      </c>
      <c r="D266" s="27">
        <f>Données!Z266</f>
        <v>886</v>
      </c>
      <c r="E266" s="115">
        <f t="shared" si="37"/>
        <v>39.737049419542082</v>
      </c>
      <c r="F266" s="203">
        <f t="shared" si="38"/>
        <v>0.82030609623888706</v>
      </c>
      <c r="G266" s="500">
        <f t="shared" si="39"/>
        <v>0</v>
      </c>
      <c r="H266" s="500">
        <f t="shared" si="40"/>
        <v>0</v>
      </c>
      <c r="I266" s="500">
        <f t="shared" si="41"/>
        <v>0</v>
      </c>
      <c r="J266" s="500">
        <f t="shared" si="42"/>
        <v>0</v>
      </c>
      <c r="K266" s="500">
        <f t="shared" si="43"/>
        <v>0</v>
      </c>
      <c r="L266" s="502">
        <f t="shared" si="44"/>
        <v>0</v>
      </c>
      <c r="M266" s="326">
        <f>L266*D266*VPI!Q266</f>
        <v>0</v>
      </c>
    </row>
    <row r="267" spans="1:13" x14ac:dyDescent="0.25">
      <c r="A267" s="170">
        <f>Données!A267</f>
        <v>5882</v>
      </c>
      <c r="B267" s="27" t="str">
        <f>Données!B267</f>
        <v>Chardonne</v>
      </c>
      <c r="C267" s="377">
        <f>VPI!R267</f>
        <v>201724.94897058822</v>
      </c>
      <c r="D267" s="27">
        <f>Données!Z267</f>
        <v>3195</v>
      </c>
      <c r="E267" s="115">
        <f t="shared" si="37"/>
        <v>63.13769920832182</v>
      </c>
      <c r="F267" s="203">
        <f t="shared" si="38"/>
        <v>1.3033740632391517</v>
      </c>
      <c r="G267" s="500">
        <f t="shared" si="39"/>
        <v>14.695965565554914</v>
      </c>
      <c r="H267" s="500">
        <f t="shared" si="40"/>
        <v>5.0076188370015373</v>
      </c>
      <c r="I267" s="500">
        <f t="shared" si="41"/>
        <v>0</v>
      </c>
      <c r="J267" s="500">
        <f t="shared" si="42"/>
        <v>0</v>
      </c>
      <c r="K267" s="500">
        <f t="shared" si="43"/>
        <v>0</v>
      </c>
      <c r="L267" s="502">
        <f t="shared" si="44"/>
        <v>3.4399549968111369</v>
      </c>
      <c r="M267" s="326">
        <f>L267*D267*VPI!Q267</f>
        <v>747364.6226071876</v>
      </c>
    </row>
    <row r="268" spans="1:13" x14ac:dyDescent="0.25">
      <c r="A268" s="170">
        <f>Données!A268</f>
        <v>5883</v>
      </c>
      <c r="B268" s="27" t="str">
        <f>Données!B268</f>
        <v>Corseaux</v>
      </c>
      <c r="C268" s="377">
        <f>VPI!R268</f>
        <v>180896.25407407407</v>
      </c>
      <c r="D268" s="27">
        <f>Données!Z268</f>
        <v>2307</v>
      </c>
      <c r="E268" s="115">
        <f t="shared" si="37"/>
        <v>78.411900335532749</v>
      </c>
      <c r="F268" s="203">
        <f t="shared" si="38"/>
        <v>1.618684849592307</v>
      </c>
      <c r="G268" s="500">
        <f t="shared" si="39"/>
        <v>29.970166692765844</v>
      </c>
      <c r="H268" s="500">
        <f t="shared" si="40"/>
        <v>20.281819964212467</v>
      </c>
      <c r="I268" s="500">
        <f t="shared" si="41"/>
        <v>5.7492998713823908</v>
      </c>
      <c r="J268" s="500">
        <f t="shared" si="42"/>
        <v>0</v>
      </c>
      <c r="K268" s="500">
        <f t="shared" si="43"/>
        <v>0</v>
      </c>
      <c r="L268" s="502">
        <f t="shared" si="44"/>
        <v>8.5971453221126541</v>
      </c>
      <c r="M268" s="326">
        <f>L268*D268*VPI!Q268</f>
        <v>1338768.9624226878</v>
      </c>
    </row>
    <row r="269" spans="1:13" x14ac:dyDescent="0.25">
      <c r="A269" s="170">
        <f>Données!A269</f>
        <v>5884</v>
      </c>
      <c r="B269" s="27" t="str">
        <f>Données!B269</f>
        <v>Corsier-sur-Vevey</v>
      </c>
      <c r="C269" s="377">
        <f>VPI!R269</f>
        <v>128051.27881136951</v>
      </c>
      <c r="D269" s="27">
        <f>Données!Z269</f>
        <v>3367</v>
      </c>
      <c r="E269" s="115">
        <f t="shared" si="37"/>
        <v>38.031267838244581</v>
      </c>
      <c r="F269" s="203">
        <f t="shared" si="38"/>
        <v>0.78509303813744147</v>
      </c>
      <c r="G269" s="500">
        <f t="shared" si="39"/>
        <v>0</v>
      </c>
      <c r="H269" s="500">
        <f t="shared" si="40"/>
        <v>0</v>
      </c>
      <c r="I269" s="500">
        <f t="shared" si="41"/>
        <v>0</v>
      </c>
      <c r="J269" s="500">
        <f t="shared" si="42"/>
        <v>0</v>
      </c>
      <c r="K269" s="500">
        <f t="shared" si="43"/>
        <v>0</v>
      </c>
      <c r="L269" s="502">
        <f t="shared" si="44"/>
        <v>0</v>
      </c>
      <c r="M269" s="326">
        <f>L269*D269*VPI!Q269</f>
        <v>0</v>
      </c>
    </row>
    <row r="270" spans="1:13" x14ac:dyDescent="0.25">
      <c r="A270" s="170">
        <f>Données!A270</f>
        <v>5885</v>
      </c>
      <c r="B270" s="27" t="str">
        <f>Données!B270</f>
        <v>Jongny</v>
      </c>
      <c r="C270" s="377">
        <f>VPI!R270</f>
        <v>104091.36242206233</v>
      </c>
      <c r="D270" s="27">
        <f>Données!Z270</f>
        <v>1842</v>
      </c>
      <c r="E270" s="115">
        <f t="shared" si="37"/>
        <v>56.509968741619069</v>
      </c>
      <c r="F270" s="203">
        <f t="shared" si="38"/>
        <v>1.166555457291254</v>
      </c>
      <c r="G270" s="500">
        <f t="shared" si="39"/>
        <v>8.0682350988521634</v>
      </c>
      <c r="H270" s="500">
        <f t="shared" si="40"/>
        <v>0</v>
      </c>
      <c r="I270" s="500">
        <f t="shared" si="41"/>
        <v>0</v>
      </c>
      <c r="J270" s="500">
        <f t="shared" si="42"/>
        <v>0</v>
      </c>
      <c r="K270" s="500">
        <f t="shared" si="43"/>
        <v>0</v>
      </c>
      <c r="L270" s="502">
        <f t="shared" si="44"/>
        <v>1.6136470197704327</v>
      </c>
      <c r="M270" s="326">
        <f>L270*D270*VPI!Q270</f>
        <v>206577.47782399101</v>
      </c>
    </row>
    <row r="271" spans="1:13" x14ac:dyDescent="0.25">
      <c r="A271" s="170">
        <f>Données!A271</f>
        <v>5886</v>
      </c>
      <c r="B271" s="27" t="str">
        <f>Données!B271</f>
        <v>Montreux</v>
      </c>
      <c r="C271" s="377">
        <f>VPI!R271</f>
        <v>1153112.7161538461</v>
      </c>
      <c r="D271" s="27">
        <f>Données!Z271</f>
        <v>26100</v>
      </c>
      <c r="E271" s="115">
        <f t="shared" si="37"/>
        <v>44.180563837312114</v>
      </c>
      <c r="F271" s="203">
        <f t="shared" si="38"/>
        <v>0.91203515058154716</v>
      </c>
      <c r="G271" s="500">
        <f t="shared" si="39"/>
        <v>0</v>
      </c>
      <c r="H271" s="500">
        <f t="shared" si="40"/>
        <v>0</v>
      </c>
      <c r="I271" s="500">
        <f t="shared" si="41"/>
        <v>0</v>
      </c>
      <c r="J271" s="500">
        <f t="shared" si="42"/>
        <v>0</v>
      </c>
      <c r="K271" s="500">
        <f t="shared" si="43"/>
        <v>0</v>
      </c>
      <c r="L271" s="502">
        <f t="shared" si="44"/>
        <v>0</v>
      </c>
      <c r="M271" s="326">
        <f>L271*D271*VPI!Q271</f>
        <v>0</v>
      </c>
    </row>
    <row r="272" spans="1:13" x14ac:dyDescent="0.25">
      <c r="A272" s="170">
        <f>Données!A272</f>
        <v>5889</v>
      </c>
      <c r="B272" s="27" t="str">
        <f>Données!B272</f>
        <v>La Tour-de-Peilz</v>
      </c>
      <c r="C272" s="377">
        <f>VPI!R272</f>
        <v>709179.36611979152</v>
      </c>
      <c r="D272" s="27">
        <f>Données!Z272</f>
        <v>12402</v>
      </c>
      <c r="E272" s="115">
        <f t="shared" si="37"/>
        <v>57.182661354603411</v>
      </c>
      <c r="F272" s="203">
        <f t="shared" si="38"/>
        <v>1.1804420910344868</v>
      </c>
      <c r="G272" s="500">
        <f t="shared" si="39"/>
        <v>8.7409277118365054</v>
      </c>
      <c r="H272" s="500">
        <f t="shared" si="40"/>
        <v>0</v>
      </c>
      <c r="I272" s="500">
        <f t="shared" si="41"/>
        <v>0</v>
      </c>
      <c r="J272" s="500">
        <f t="shared" si="42"/>
        <v>0</v>
      </c>
      <c r="K272" s="500">
        <f t="shared" si="43"/>
        <v>0</v>
      </c>
      <c r="L272" s="502">
        <f t="shared" si="44"/>
        <v>1.7481855423673012</v>
      </c>
      <c r="M272" s="326">
        <f>L272*D272*VPI!Q272</f>
        <v>1387583.8141721133</v>
      </c>
    </row>
    <row r="273" spans="1:13" x14ac:dyDescent="0.25">
      <c r="A273" s="170">
        <f>Données!A273</f>
        <v>5890</v>
      </c>
      <c r="B273" s="27" t="str">
        <f>Données!B273</f>
        <v>Vevey</v>
      </c>
      <c r="C273" s="377">
        <f>VPI!R273</f>
        <v>945087.70393736032</v>
      </c>
      <c r="D273" s="27">
        <f>Données!Z273</f>
        <v>19754</v>
      </c>
      <c r="E273" s="115">
        <f t="shared" si="37"/>
        <v>47.842852279910922</v>
      </c>
      <c r="F273" s="203">
        <f t="shared" si="38"/>
        <v>0.9876370782418229</v>
      </c>
      <c r="G273" s="500">
        <f t="shared" si="39"/>
        <v>0</v>
      </c>
      <c r="H273" s="500">
        <f t="shared" si="40"/>
        <v>0</v>
      </c>
      <c r="I273" s="500">
        <f t="shared" si="41"/>
        <v>0</v>
      </c>
      <c r="J273" s="500">
        <f t="shared" si="42"/>
        <v>0</v>
      </c>
      <c r="K273" s="500">
        <f t="shared" si="43"/>
        <v>0</v>
      </c>
      <c r="L273" s="502">
        <f t="shared" si="44"/>
        <v>0</v>
      </c>
      <c r="M273" s="326">
        <f>L273*D273*VPI!Q273</f>
        <v>0</v>
      </c>
    </row>
    <row r="274" spans="1:13" x14ac:dyDescent="0.25">
      <c r="A274" s="170">
        <f>Données!A274</f>
        <v>5891</v>
      </c>
      <c r="B274" s="27" t="str">
        <f>Données!B274</f>
        <v>Veytaux</v>
      </c>
      <c r="C274" s="377">
        <f>VPI!R274</f>
        <v>41113.316211031175</v>
      </c>
      <c r="D274" s="27">
        <f>Données!Z274</f>
        <v>972</v>
      </c>
      <c r="E274" s="115">
        <f t="shared" si="37"/>
        <v>42.297650422871577</v>
      </c>
      <c r="F274" s="203">
        <f t="shared" si="38"/>
        <v>0.87316549681716982</v>
      </c>
      <c r="G274" s="500">
        <f t="shared" si="39"/>
        <v>0</v>
      </c>
      <c r="H274" s="500">
        <f t="shared" si="40"/>
        <v>0</v>
      </c>
      <c r="I274" s="500">
        <f t="shared" si="41"/>
        <v>0</v>
      </c>
      <c r="J274" s="500">
        <f t="shared" si="42"/>
        <v>0</v>
      </c>
      <c r="K274" s="500">
        <f t="shared" si="43"/>
        <v>0</v>
      </c>
      <c r="L274" s="502">
        <f t="shared" si="44"/>
        <v>0</v>
      </c>
      <c r="M274" s="326">
        <f>L274*D274*VPI!Q274</f>
        <v>0</v>
      </c>
    </row>
    <row r="275" spans="1:13" x14ac:dyDescent="0.25">
      <c r="A275" s="170">
        <f>Données!A275</f>
        <v>5892</v>
      </c>
      <c r="B275" s="27" t="str">
        <f>Données!B275</f>
        <v>Blonay-Saint-Légier</v>
      </c>
      <c r="C275" s="377">
        <f>VPI!R275</f>
        <v>749734.6567883211</v>
      </c>
      <c r="D275" s="27">
        <f>Données!Z275</f>
        <v>12137</v>
      </c>
      <c r="E275" s="115">
        <f t="shared" si="37"/>
        <v>61.772650308010306</v>
      </c>
      <c r="F275" s="203">
        <f t="shared" si="38"/>
        <v>1.2751948715038177</v>
      </c>
      <c r="G275" s="500">
        <f t="shared" si="39"/>
        <v>13.3309166652434</v>
      </c>
      <c r="H275" s="500">
        <f t="shared" si="40"/>
        <v>3.6425699366900233</v>
      </c>
      <c r="I275" s="500">
        <f t="shared" si="41"/>
        <v>0</v>
      </c>
      <c r="J275" s="500">
        <f t="shared" si="42"/>
        <v>0</v>
      </c>
      <c r="K275" s="500">
        <f t="shared" si="43"/>
        <v>0</v>
      </c>
      <c r="L275" s="502">
        <f t="shared" si="44"/>
        <v>3.0304403267176827</v>
      </c>
      <c r="M275" s="326">
        <f>L275*D275*VPI!Q275</f>
        <v>2519461.1158080171</v>
      </c>
    </row>
    <row r="276" spans="1:13" x14ac:dyDescent="0.25">
      <c r="A276" s="170">
        <f>Données!A276</f>
        <v>5902</v>
      </c>
      <c r="B276" s="27" t="str">
        <f>Données!B276</f>
        <v>Belmont-sur-Yverdon</v>
      </c>
      <c r="C276" s="377">
        <f>VPI!R276</f>
        <v>11918.01</v>
      </c>
      <c r="D276" s="27">
        <f>Données!Z276</f>
        <v>434</v>
      </c>
      <c r="E276" s="115">
        <f t="shared" si="37"/>
        <v>27.460852534562214</v>
      </c>
      <c r="F276" s="203">
        <f t="shared" si="38"/>
        <v>0.56688418166599908</v>
      </c>
      <c r="G276" s="500">
        <f t="shared" si="39"/>
        <v>0</v>
      </c>
      <c r="H276" s="500">
        <f t="shared" si="40"/>
        <v>0</v>
      </c>
      <c r="I276" s="500">
        <f t="shared" si="41"/>
        <v>0</v>
      </c>
      <c r="J276" s="500">
        <f t="shared" si="42"/>
        <v>0</v>
      </c>
      <c r="K276" s="500">
        <f t="shared" si="43"/>
        <v>0</v>
      </c>
      <c r="L276" s="502">
        <f t="shared" si="44"/>
        <v>0</v>
      </c>
      <c r="M276" s="326">
        <f>L276*D276*VPI!Q276</f>
        <v>0</v>
      </c>
    </row>
    <row r="277" spans="1:13" x14ac:dyDescent="0.25">
      <c r="A277" s="170">
        <f>Données!A277</f>
        <v>5903</v>
      </c>
      <c r="B277" s="27" t="str">
        <f>Données!B277</f>
        <v>Bioley-Magnoux</v>
      </c>
      <c r="C277" s="377">
        <f>VPI!R277</f>
        <v>6275.4313293650803</v>
      </c>
      <c r="D277" s="27">
        <f>Données!Z277</f>
        <v>247</v>
      </c>
      <c r="E277" s="115">
        <f t="shared" si="37"/>
        <v>25.406604572328259</v>
      </c>
      <c r="F277" s="203">
        <f t="shared" si="38"/>
        <v>0.52447760766963913</v>
      </c>
      <c r="G277" s="500">
        <f t="shared" si="39"/>
        <v>0</v>
      </c>
      <c r="H277" s="500">
        <f t="shared" si="40"/>
        <v>0</v>
      </c>
      <c r="I277" s="500">
        <f t="shared" si="41"/>
        <v>0</v>
      </c>
      <c r="J277" s="500">
        <f t="shared" si="42"/>
        <v>0</v>
      </c>
      <c r="K277" s="500">
        <f t="shared" si="43"/>
        <v>0</v>
      </c>
      <c r="L277" s="502">
        <f t="shared" si="44"/>
        <v>0</v>
      </c>
      <c r="M277" s="326">
        <f>L277*D277*VPI!Q277</f>
        <v>0</v>
      </c>
    </row>
    <row r="278" spans="1:13" x14ac:dyDescent="0.25">
      <c r="A278" s="170">
        <f>Données!A278</f>
        <v>5904</v>
      </c>
      <c r="B278" s="27" t="str">
        <f>Données!B278</f>
        <v>Chamblon</v>
      </c>
      <c r="C278" s="377">
        <f>VPI!R278</f>
        <v>18890.250303030305</v>
      </c>
      <c r="D278" s="27">
        <f>Données!Z278</f>
        <v>567</v>
      </c>
      <c r="E278" s="115">
        <f t="shared" si="37"/>
        <v>33.316138100582549</v>
      </c>
      <c r="F278" s="203">
        <f t="shared" si="38"/>
        <v>0.68775693178679542</v>
      </c>
      <c r="G278" s="500">
        <f t="shared" si="39"/>
        <v>0</v>
      </c>
      <c r="H278" s="500">
        <f t="shared" si="40"/>
        <v>0</v>
      </c>
      <c r="I278" s="500">
        <f t="shared" si="41"/>
        <v>0</v>
      </c>
      <c r="J278" s="500">
        <f t="shared" si="42"/>
        <v>0</v>
      </c>
      <c r="K278" s="500">
        <f t="shared" si="43"/>
        <v>0</v>
      </c>
      <c r="L278" s="502">
        <f t="shared" si="44"/>
        <v>0</v>
      </c>
      <c r="M278" s="326">
        <f>L278*D278*VPI!Q278</f>
        <v>0</v>
      </c>
    </row>
    <row r="279" spans="1:13" x14ac:dyDescent="0.25">
      <c r="A279" s="170">
        <f>Données!A279</f>
        <v>5905</v>
      </c>
      <c r="B279" s="27" t="str">
        <f>Données!B279</f>
        <v>Champvent</v>
      </c>
      <c r="C279" s="377">
        <f>VPI!R279</f>
        <v>21534.177714285714</v>
      </c>
      <c r="D279" s="27">
        <f>Données!Z279</f>
        <v>733</v>
      </c>
      <c r="E279" s="115">
        <f t="shared" si="37"/>
        <v>29.378141492886375</v>
      </c>
      <c r="F279" s="203">
        <f t="shared" si="38"/>
        <v>0.60646346205392221</v>
      </c>
      <c r="G279" s="500">
        <f t="shared" si="39"/>
        <v>0</v>
      </c>
      <c r="H279" s="500">
        <f t="shared" si="40"/>
        <v>0</v>
      </c>
      <c r="I279" s="500">
        <f t="shared" si="41"/>
        <v>0</v>
      </c>
      <c r="J279" s="500">
        <f t="shared" si="42"/>
        <v>0</v>
      </c>
      <c r="K279" s="500">
        <f t="shared" si="43"/>
        <v>0</v>
      </c>
      <c r="L279" s="502">
        <f t="shared" si="44"/>
        <v>0</v>
      </c>
      <c r="M279" s="326">
        <f>L279*D279*VPI!Q279</f>
        <v>0</v>
      </c>
    </row>
    <row r="280" spans="1:13" x14ac:dyDescent="0.25">
      <c r="A280" s="170">
        <f>Données!A280</f>
        <v>5907</v>
      </c>
      <c r="B280" s="27" t="str">
        <f>Données!B280</f>
        <v>Chavannes-le-Chêne</v>
      </c>
      <c r="C280" s="377">
        <f>VPI!R280</f>
        <v>8453.4726666666666</v>
      </c>
      <c r="D280" s="27">
        <f>Données!Z280</f>
        <v>317</v>
      </c>
      <c r="E280" s="115">
        <f t="shared" si="37"/>
        <v>26.667106203995793</v>
      </c>
      <c r="F280" s="203">
        <f t="shared" si="38"/>
        <v>0.55049859281775726</v>
      </c>
      <c r="G280" s="500">
        <f t="shared" si="39"/>
        <v>0</v>
      </c>
      <c r="H280" s="500">
        <f t="shared" si="40"/>
        <v>0</v>
      </c>
      <c r="I280" s="500">
        <f t="shared" si="41"/>
        <v>0</v>
      </c>
      <c r="J280" s="500">
        <f t="shared" si="42"/>
        <v>0</v>
      </c>
      <c r="K280" s="500">
        <f t="shared" si="43"/>
        <v>0</v>
      </c>
      <c r="L280" s="502">
        <f t="shared" si="44"/>
        <v>0</v>
      </c>
      <c r="M280" s="326">
        <f>L280*D280*VPI!Q280</f>
        <v>0</v>
      </c>
    </row>
    <row r="281" spans="1:13" x14ac:dyDescent="0.25">
      <c r="A281" s="170">
        <f>Données!A281</f>
        <v>5908</v>
      </c>
      <c r="B281" s="27" t="str">
        <f>Données!B281</f>
        <v>Chêne-Pâquier</v>
      </c>
      <c r="C281" s="377">
        <f>VPI!R281</f>
        <v>4917.9366666666683</v>
      </c>
      <c r="D281" s="27">
        <f>Données!Z281</f>
        <v>163</v>
      </c>
      <c r="E281" s="115">
        <f t="shared" si="37"/>
        <v>30.171390593047043</v>
      </c>
      <c r="F281" s="203">
        <f t="shared" si="38"/>
        <v>0.62283878639739998</v>
      </c>
      <c r="G281" s="500">
        <f t="shared" si="39"/>
        <v>0</v>
      </c>
      <c r="H281" s="500">
        <f t="shared" si="40"/>
        <v>0</v>
      </c>
      <c r="I281" s="500">
        <f t="shared" si="41"/>
        <v>0</v>
      </c>
      <c r="J281" s="500">
        <f t="shared" si="42"/>
        <v>0</v>
      </c>
      <c r="K281" s="500">
        <f t="shared" si="43"/>
        <v>0</v>
      </c>
      <c r="L281" s="502">
        <f t="shared" si="44"/>
        <v>0</v>
      </c>
      <c r="M281" s="326">
        <f>L281*D281*VPI!Q281</f>
        <v>0</v>
      </c>
    </row>
    <row r="282" spans="1:13" x14ac:dyDescent="0.25">
      <c r="A282" s="170">
        <f>Données!A282</f>
        <v>5909</v>
      </c>
      <c r="B282" s="27" t="str">
        <f>Données!B282</f>
        <v>Cheseaux-Noréaz</v>
      </c>
      <c r="C282" s="377">
        <f>VPI!R282</f>
        <v>34179.649850746275</v>
      </c>
      <c r="D282" s="27">
        <f>Données!Z282</f>
        <v>735</v>
      </c>
      <c r="E282" s="115">
        <f t="shared" si="37"/>
        <v>46.502924967001732</v>
      </c>
      <c r="F282" s="203">
        <f t="shared" si="38"/>
        <v>0.95997648040297445</v>
      </c>
      <c r="G282" s="500">
        <f t="shared" si="39"/>
        <v>0</v>
      </c>
      <c r="H282" s="500">
        <f t="shared" si="40"/>
        <v>0</v>
      </c>
      <c r="I282" s="500">
        <f t="shared" si="41"/>
        <v>0</v>
      </c>
      <c r="J282" s="500">
        <f t="shared" si="42"/>
        <v>0</v>
      </c>
      <c r="K282" s="500">
        <f t="shared" si="43"/>
        <v>0</v>
      </c>
      <c r="L282" s="502">
        <f t="shared" si="44"/>
        <v>0</v>
      </c>
      <c r="M282" s="326">
        <f>L282*D282*VPI!Q282</f>
        <v>0</v>
      </c>
    </row>
    <row r="283" spans="1:13" x14ac:dyDescent="0.25">
      <c r="A283" s="170">
        <f>Données!A283</f>
        <v>5910</v>
      </c>
      <c r="B283" s="27" t="str">
        <f>Données!B283</f>
        <v>Cronay</v>
      </c>
      <c r="C283" s="377">
        <f>VPI!R283</f>
        <v>10620.023506493504</v>
      </c>
      <c r="D283" s="27">
        <f>Données!Z283</f>
        <v>410</v>
      </c>
      <c r="E283" s="115">
        <f t="shared" si="37"/>
        <v>25.902496357301228</v>
      </c>
      <c r="F283" s="203">
        <f t="shared" si="38"/>
        <v>0.53471447880703316</v>
      </c>
      <c r="G283" s="500">
        <f t="shared" si="39"/>
        <v>0</v>
      </c>
      <c r="H283" s="500">
        <f t="shared" si="40"/>
        <v>0</v>
      </c>
      <c r="I283" s="500">
        <f t="shared" si="41"/>
        <v>0</v>
      </c>
      <c r="J283" s="500">
        <f t="shared" si="42"/>
        <v>0</v>
      </c>
      <c r="K283" s="500">
        <f t="shared" si="43"/>
        <v>0</v>
      </c>
      <c r="L283" s="502">
        <f t="shared" si="44"/>
        <v>0</v>
      </c>
      <c r="M283" s="326">
        <f>L283*D283*VPI!Q283</f>
        <v>0</v>
      </c>
    </row>
    <row r="284" spans="1:13" x14ac:dyDescent="0.25">
      <c r="A284" s="170">
        <f>Données!A284</f>
        <v>5911</v>
      </c>
      <c r="B284" s="27" t="str">
        <f>Données!B284</f>
        <v>Cuarny</v>
      </c>
      <c r="C284" s="377">
        <f>VPI!R284</f>
        <v>7630.7251948051926</v>
      </c>
      <c r="D284" s="27">
        <f>Données!Z284</f>
        <v>236</v>
      </c>
      <c r="E284" s="115">
        <f t="shared" si="37"/>
        <v>32.333581333920307</v>
      </c>
      <c r="F284" s="203">
        <f t="shared" si="38"/>
        <v>0.66747366170591638</v>
      </c>
      <c r="G284" s="500">
        <f t="shared" si="39"/>
        <v>0</v>
      </c>
      <c r="H284" s="500">
        <f t="shared" si="40"/>
        <v>0</v>
      </c>
      <c r="I284" s="500">
        <f t="shared" si="41"/>
        <v>0</v>
      </c>
      <c r="J284" s="500">
        <f t="shared" si="42"/>
        <v>0</v>
      </c>
      <c r="K284" s="500">
        <f t="shared" si="43"/>
        <v>0</v>
      </c>
      <c r="L284" s="502">
        <f t="shared" si="44"/>
        <v>0</v>
      </c>
      <c r="M284" s="326">
        <f>L284*D284*VPI!Q284</f>
        <v>0</v>
      </c>
    </row>
    <row r="285" spans="1:13" x14ac:dyDescent="0.25">
      <c r="A285" s="170">
        <f>Données!A285</f>
        <v>5912</v>
      </c>
      <c r="B285" s="27" t="str">
        <f>Données!B285</f>
        <v>Démoret</v>
      </c>
      <c r="C285" s="377">
        <f>VPI!R285</f>
        <v>3035.5994871794869</v>
      </c>
      <c r="D285" s="27">
        <f>Données!Z285</f>
        <v>167</v>
      </c>
      <c r="E285" s="115">
        <f t="shared" si="37"/>
        <v>18.177242438200519</v>
      </c>
      <c r="F285" s="203">
        <f t="shared" si="38"/>
        <v>0.3752393044445605</v>
      </c>
      <c r="G285" s="500">
        <f t="shared" si="39"/>
        <v>0</v>
      </c>
      <c r="H285" s="500">
        <f t="shared" si="40"/>
        <v>0</v>
      </c>
      <c r="I285" s="500">
        <f t="shared" si="41"/>
        <v>0</v>
      </c>
      <c r="J285" s="500">
        <f t="shared" si="42"/>
        <v>0</v>
      </c>
      <c r="K285" s="500">
        <f t="shared" si="43"/>
        <v>0</v>
      </c>
      <c r="L285" s="502">
        <f t="shared" si="44"/>
        <v>0</v>
      </c>
      <c r="M285" s="326">
        <f>L285*D285*VPI!Q285</f>
        <v>0</v>
      </c>
    </row>
    <row r="286" spans="1:13" x14ac:dyDescent="0.25">
      <c r="A286" s="170">
        <f>Données!A286</f>
        <v>5913</v>
      </c>
      <c r="B286" s="27" t="str">
        <f>Données!B286</f>
        <v>Donneloye</v>
      </c>
      <c r="C286" s="377">
        <f>VPI!R286</f>
        <v>21868.165342465756</v>
      </c>
      <c r="D286" s="27">
        <f>Données!Z286</f>
        <v>905</v>
      </c>
      <c r="E286" s="115">
        <f t="shared" si="37"/>
        <v>24.163718610459398</v>
      </c>
      <c r="F286" s="203">
        <f t="shared" si="38"/>
        <v>0.49882026908150123</v>
      </c>
      <c r="G286" s="500">
        <f t="shared" si="39"/>
        <v>0</v>
      </c>
      <c r="H286" s="500">
        <f t="shared" si="40"/>
        <v>0</v>
      </c>
      <c r="I286" s="500">
        <f t="shared" si="41"/>
        <v>0</v>
      </c>
      <c r="J286" s="500">
        <f t="shared" si="42"/>
        <v>0</v>
      </c>
      <c r="K286" s="500">
        <f t="shared" si="43"/>
        <v>0</v>
      </c>
      <c r="L286" s="502">
        <f t="shared" si="44"/>
        <v>0</v>
      </c>
      <c r="M286" s="326">
        <f>L286*D286*VPI!Q286</f>
        <v>0</v>
      </c>
    </row>
    <row r="287" spans="1:13" x14ac:dyDescent="0.25">
      <c r="A287" s="170">
        <f>Données!A287</f>
        <v>5914</v>
      </c>
      <c r="B287" s="27" t="str">
        <f>Données!B287</f>
        <v>Ependes</v>
      </c>
      <c r="C287" s="377">
        <f>VPI!R287</f>
        <v>9826.1438095238063</v>
      </c>
      <c r="D287" s="27">
        <f>Données!Z287</f>
        <v>372</v>
      </c>
      <c r="E287" s="115">
        <f t="shared" si="37"/>
        <v>26.414365079365069</v>
      </c>
      <c r="F287" s="203">
        <f t="shared" si="38"/>
        <v>0.54528116756013623</v>
      </c>
      <c r="G287" s="500">
        <f t="shared" si="39"/>
        <v>0</v>
      </c>
      <c r="H287" s="500">
        <f t="shared" si="40"/>
        <v>0</v>
      </c>
      <c r="I287" s="500">
        <f t="shared" si="41"/>
        <v>0</v>
      </c>
      <c r="J287" s="500">
        <f t="shared" si="42"/>
        <v>0</v>
      </c>
      <c r="K287" s="500">
        <f t="shared" si="43"/>
        <v>0</v>
      </c>
      <c r="L287" s="502">
        <f t="shared" si="44"/>
        <v>0</v>
      </c>
      <c r="M287" s="326">
        <f>L287*D287*VPI!Q287</f>
        <v>0</v>
      </c>
    </row>
    <row r="288" spans="1:13" x14ac:dyDescent="0.25">
      <c r="A288" s="170">
        <f>Données!A288</f>
        <v>5919</v>
      </c>
      <c r="B288" s="27" t="str">
        <f>Données!B288</f>
        <v>Mathod</v>
      </c>
      <c r="C288" s="377">
        <f>VPI!R288</f>
        <v>20854.383912037036</v>
      </c>
      <c r="D288" s="27">
        <f>Données!Z288</f>
        <v>685</v>
      </c>
      <c r="E288" s="115">
        <f t="shared" si="37"/>
        <v>30.444356075966475</v>
      </c>
      <c r="F288" s="203">
        <f t="shared" si="38"/>
        <v>0.62847371030273369</v>
      </c>
      <c r="G288" s="500">
        <f t="shared" si="39"/>
        <v>0</v>
      </c>
      <c r="H288" s="500">
        <f t="shared" si="40"/>
        <v>0</v>
      </c>
      <c r="I288" s="500">
        <f t="shared" si="41"/>
        <v>0</v>
      </c>
      <c r="J288" s="500">
        <f t="shared" si="42"/>
        <v>0</v>
      </c>
      <c r="K288" s="500">
        <f t="shared" si="43"/>
        <v>0</v>
      </c>
      <c r="L288" s="502">
        <f t="shared" si="44"/>
        <v>0</v>
      </c>
      <c r="M288" s="326">
        <f>L288*D288*VPI!Q288</f>
        <v>0</v>
      </c>
    </row>
    <row r="289" spans="1:18" s="217" customFormat="1" x14ac:dyDescent="0.25">
      <c r="A289" s="170">
        <f>Données!A289</f>
        <v>5921</v>
      </c>
      <c r="B289" s="27" t="str">
        <f>Données!B289</f>
        <v>Molondin</v>
      </c>
      <c r="C289" s="377">
        <f>VPI!R289</f>
        <v>5090.9675308641981</v>
      </c>
      <c r="D289" s="27">
        <f>Données!Z289</f>
        <v>258</v>
      </c>
      <c r="E289" s="115">
        <f t="shared" si="37"/>
        <v>19.73243229017131</v>
      </c>
      <c r="F289" s="203">
        <f t="shared" si="38"/>
        <v>0.40734364372026693</v>
      </c>
      <c r="G289" s="500">
        <f t="shared" si="39"/>
        <v>0</v>
      </c>
      <c r="H289" s="500">
        <f t="shared" si="40"/>
        <v>0</v>
      </c>
      <c r="I289" s="500">
        <f t="shared" si="41"/>
        <v>0</v>
      </c>
      <c r="J289" s="500">
        <f t="shared" si="42"/>
        <v>0</v>
      </c>
      <c r="K289" s="500">
        <f t="shared" si="43"/>
        <v>0</v>
      </c>
      <c r="L289" s="502">
        <f t="shared" si="44"/>
        <v>0</v>
      </c>
      <c r="M289" s="326">
        <f>L289*D289*VPI!Q289</f>
        <v>0</v>
      </c>
      <c r="N289" s="237"/>
      <c r="O289" s="237"/>
      <c r="P289" s="237"/>
      <c r="Q289" s="237"/>
      <c r="R289" s="237"/>
    </row>
    <row r="290" spans="1:18" s="217" customFormat="1" x14ac:dyDescent="0.25">
      <c r="A290" s="170">
        <f>Données!A290</f>
        <v>5922</v>
      </c>
      <c r="B290" s="27" t="str">
        <f>Données!B290</f>
        <v>Montagny-près-Yverdon</v>
      </c>
      <c r="C290" s="377">
        <f>VPI!R290</f>
        <v>39799.996472868217</v>
      </c>
      <c r="D290" s="27">
        <f>Données!Z290</f>
        <v>770</v>
      </c>
      <c r="E290" s="115">
        <f t="shared" si="37"/>
        <v>51.688307107621064</v>
      </c>
      <c r="F290" s="203">
        <f t="shared" si="38"/>
        <v>1.0670201749754866</v>
      </c>
      <c r="G290" s="500">
        <f t="shared" si="39"/>
        <v>3.2465734648541584</v>
      </c>
      <c r="H290" s="500">
        <f t="shared" si="40"/>
        <v>0</v>
      </c>
      <c r="I290" s="500">
        <f t="shared" si="41"/>
        <v>0</v>
      </c>
      <c r="J290" s="500">
        <f t="shared" si="42"/>
        <v>0</v>
      </c>
      <c r="K290" s="500">
        <f t="shared" si="43"/>
        <v>0</v>
      </c>
      <c r="L290" s="502">
        <f t="shared" si="44"/>
        <v>0.64931469297083177</v>
      </c>
      <c r="M290" s="326">
        <f>L290*D290*VPI!Q290</f>
        <v>32248.214226396358</v>
      </c>
      <c r="N290" s="237"/>
      <c r="O290" s="237"/>
      <c r="P290" s="237"/>
      <c r="Q290" s="237"/>
      <c r="R290" s="237"/>
    </row>
    <row r="291" spans="1:18" s="217" customFormat="1" x14ac:dyDescent="0.25">
      <c r="A291" s="170">
        <f>Données!A291</f>
        <v>5923</v>
      </c>
      <c r="B291" s="27" t="str">
        <f>Données!B291</f>
        <v>Oppens</v>
      </c>
      <c r="C291" s="377">
        <f>VPI!R291</f>
        <v>4459.4095061728403</v>
      </c>
      <c r="D291" s="27">
        <f>Données!Z291</f>
        <v>202</v>
      </c>
      <c r="E291" s="115">
        <f t="shared" si="37"/>
        <v>22.07628468402396</v>
      </c>
      <c r="F291" s="203">
        <f t="shared" si="38"/>
        <v>0.45572862537962222</v>
      </c>
      <c r="G291" s="500">
        <f t="shared" si="39"/>
        <v>0</v>
      </c>
      <c r="H291" s="500">
        <f t="shared" si="40"/>
        <v>0</v>
      </c>
      <c r="I291" s="500">
        <f t="shared" si="41"/>
        <v>0</v>
      </c>
      <c r="J291" s="500">
        <f t="shared" si="42"/>
        <v>0</v>
      </c>
      <c r="K291" s="500">
        <f t="shared" si="43"/>
        <v>0</v>
      </c>
      <c r="L291" s="502">
        <f t="shared" si="44"/>
        <v>0</v>
      </c>
      <c r="M291" s="326">
        <f>L291*D291*VPI!Q291</f>
        <v>0</v>
      </c>
      <c r="N291" s="237"/>
      <c r="O291" s="237"/>
      <c r="P291" s="237"/>
      <c r="Q291" s="237"/>
      <c r="R291" s="237"/>
    </row>
    <row r="292" spans="1:18" s="217" customFormat="1" x14ac:dyDescent="0.25">
      <c r="A292" s="170">
        <f>Données!A292</f>
        <v>5924</v>
      </c>
      <c r="B292" s="27" t="str">
        <f>Données!B292</f>
        <v>Orges</v>
      </c>
      <c r="C292" s="377">
        <f>VPI!R292</f>
        <v>11637.592027027025</v>
      </c>
      <c r="D292" s="27">
        <f>Données!Z292</f>
        <v>407</v>
      </c>
      <c r="E292" s="115">
        <f t="shared" si="37"/>
        <v>28.593592203997606</v>
      </c>
      <c r="F292" s="203">
        <f t="shared" si="38"/>
        <v>0.59026773102013186</v>
      </c>
      <c r="G292" s="500">
        <f t="shared" si="39"/>
        <v>0</v>
      </c>
      <c r="H292" s="500">
        <f t="shared" si="40"/>
        <v>0</v>
      </c>
      <c r="I292" s="500">
        <f t="shared" si="41"/>
        <v>0</v>
      </c>
      <c r="J292" s="500">
        <f t="shared" si="42"/>
        <v>0</v>
      </c>
      <c r="K292" s="500">
        <f t="shared" si="43"/>
        <v>0</v>
      </c>
      <c r="L292" s="502">
        <f t="shared" si="44"/>
        <v>0</v>
      </c>
      <c r="M292" s="326">
        <f>L292*D292*VPI!Q292</f>
        <v>0</v>
      </c>
      <c r="N292" s="237"/>
      <c r="O292" s="237"/>
      <c r="P292" s="237"/>
      <c r="Q292" s="237"/>
      <c r="R292" s="237"/>
    </row>
    <row r="293" spans="1:18" s="217" customFormat="1" x14ac:dyDescent="0.25">
      <c r="A293" s="170">
        <f>Données!A293</f>
        <v>5925</v>
      </c>
      <c r="B293" s="27" t="str">
        <f>Données!B293</f>
        <v>Orzens</v>
      </c>
      <c r="C293" s="377">
        <f>VPI!R293</f>
        <v>5249.0272151898725</v>
      </c>
      <c r="D293" s="27">
        <f>Données!Z293</f>
        <v>212</v>
      </c>
      <c r="E293" s="115">
        <f t="shared" si="37"/>
        <v>24.759562335801284</v>
      </c>
      <c r="F293" s="203">
        <f t="shared" si="38"/>
        <v>0.5111204838041189</v>
      </c>
      <c r="G293" s="500">
        <f t="shared" si="39"/>
        <v>0</v>
      </c>
      <c r="H293" s="500">
        <f t="shared" si="40"/>
        <v>0</v>
      </c>
      <c r="I293" s="500">
        <f t="shared" si="41"/>
        <v>0</v>
      </c>
      <c r="J293" s="500">
        <f t="shared" si="42"/>
        <v>0</v>
      </c>
      <c r="K293" s="500">
        <f t="shared" si="43"/>
        <v>0</v>
      </c>
      <c r="L293" s="502">
        <f t="shared" si="44"/>
        <v>0</v>
      </c>
      <c r="M293" s="326">
        <f>L293*D293*VPI!Q293</f>
        <v>0</v>
      </c>
      <c r="N293" s="237"/>
      <c r="O293" s="237"/>
      <c r="P293" s="237"/>
      <c r="Q293" s="237"/>
      <c r="R293" s="237"/>
    </row>
    <row r="294" spans="1:18" s="217" customFormat="1" x14ac:dyDescent="0.25">
      <c r="A294" s="170">
        <f>Données!A294</f>
        <v>5926</v>
      </c>
      <c r="B294" s="27" t="str">
        <f>Données!B294</f>
        <v>Pomy</v>
      </c>
      <c r="C294" s="377">
        <f>VPI!R294</f>
        <v>26782.680140845066</v>
      </c>
      <c r="D294" s="27">
        <f>Données!Z294</f>
        <v>868</v>
      </c>
      <c r="E294" s="115">
        <f t="shared" si="37"/>
        <v>30.855622282079569</v>
      </c>
      <c r="F294" s="203">
        <f t="shared" si="38"/>
        <v>0.6369636254066392</v>
      </c>
      <c r="G294" s="500">
        <f t="shared" si="39"/>
        <v>0</v>
      </c>
      <c r="H294" s="500">
        <f t="shared" si="40"/>
        <v>0</v>
      </c>
      <c r="I294" s="500">
        <f t="shared" si="41"/>
        <v>0</v>
      </c>
      <c r="J294" s="500">
        <f t="shared" si="42"/>
        <v>0</v>
      </c>
      <c r="K294" s="500">
        <f t="shared" si="43"/>
        <v>0</v>
      </c>
      <c r="L294" s="502">
        <f t="shared" si="44"/>
        <v>0</v>
      </c>
      <c r="M294" s="326">
        <f>L294*D294*VPI!Q294</f>
        <v>0</v>
      </c>
      <c r="N294" s="237"/>
      <c r="O294" s="237"/>
      <c r="P294" s="237"/>
      <c r="Q294" s="237"/>
      <c r="R294" s="237"/>
    </row>
    <row r="295" spans="1:18" s="217" customFormat="1" x14ac:dyDescent="0.25">
      <c r="A295" s="170">
        <f>Données!A295</f>
        <v>5928</v>
      </c>
      <c r="B295" s="27" t="str">
        <f>Données!B295</f>
        <v>Rovray</v>
      </c>
      <c r="C295" s="377">
        <f>VPI!R295</f>
        <v>5095.519580419581</v>
      </c>
      <c r="D295" s="27">
        <f>Données!Z295</f>
        <v>197</v>
      </c>
      <c r="E295" s="115">
        <f t="shared" si="37"/>
        <v>25.865581626495334</v>
      </c>
      <c r="F295" s="203">
        <f t="shared" si="38"/>
        <v>0.53395243484142862</v>
      </c>
      <c r="G295" s="500">
        <f t="shared" si="39"/>
        <v>0</v>
      </c>
      <c r="H295" s="500">
        <f t="shared" si="40"/>
        <v>0</v>
      </c>
      <c r="I295" s="500">
        <f t="shared" si="41"/>
        <v>0</v>
      </c>
      <c r="J295" s="500">
        <f t="shared" si="42"/>
        <v>0</v>
      </c>
      <c r="K295" s="500">
        <f t="shared" si="43"/>
        <v>0</v>
      </c>
      <c r="L295" s="502">
        <f t="shared" si="44"/>
        <v>0</v>
      </c>
      <c r="M295" s="326">
        <f>L295*D295*VPI!Q295</f>
        <v>0</v>
      </c>
      <c r="N295" s="237"/>
      <c r="O295" s="237"/>
      <c r="P295" s="237"/>
      <c r="Q295" s="237"/>
      <c r="R295" s="237"/>
    </row>
    <row r="296" spans="1:18" s="217" customFormat="1" x14ac:dyDescent="0.25">
      <c r="A296" s="170">
        <f>Données!A296</f>
        <v>5929</v>
      </c>
      <c r="B296" s="27" t="str">
        <f>Données!B296</f>
        <v>Suchy</v>
      </c>
      <c r="C296" s="377">
        <f>VPI!R296</f>
        <v>21603.071857142855</v>
      </c>
      <c r="D296" s="27">
        <f>Données!Z296</f>
        <v>671</v>
      </c>
      <c r="E296" s="115">
        <f t="shared" si="37"/>
        <v>32.195338088141362</v>
      </c>
      <c r="F296" s="203">
        <f t="shared" si="38"/>
        <v>0.66461985703413451</v>
      </c>
      <c r="G296" s="500">
        <f t="shared" si="39"/>
        <v>0</v>
      </c>
      <c r="H296" s="500">
        <f t="shared" si="40"/>
        <v>0</v>
      </c>
      <c r="I296" s="500">
        <f t="shared" si="41"/>
        <v>0</v>
      </c>
      <c r="J296" s="500">
        <f t="shared" si="42"/>
        <v>0</v>
      </c>
      <c r="K296" s="500">
        <f t="shared" si="43"/>
        <v>0</v>
      </c>
      <c r="L296" s="502">
        <f t="shared" si="44"/>
        <v>0</v>
      </c>
      <c r="M296" s="326">
        <f>L296*D296*VPI!Q296</f>
        <v>0</v>
      </c>
      <c r="N296" s="237"/>
      <c r="O296" s="237"/>
      <c r="P296" s="237"/>
      <c r="Q296" s="237"/>
      <c r="R296" s="237"/>
    </row>
    <row r="297" spans="1:18" x14ac:dyDescent="0.25">
      <c r="A297" s="170">
        <f>Données!A297</f>
        <v>5930</v>
      </c>
      <c r="B297" s="27" t="str">
        <f>Données!B297</f>
        <v>Suscévaz</v>
      </c>
      <c r="C297" s="377">
        <f>VPI!R297</f>
        <v>5749.1651388888886</v>
      </c>
      <c r="D297" s="27">
        <f>Données!Z297</f>
        <v>220</v>
      </c>
      <c r="E297" s="115">
        <f t="shared" si="37"/>
        <v>26.132568813131311</v>
      </c>
      <c r="F297" s="203">
        <f t="shared" si="38"/>
        <v>0.53946394664248987</v>
      </c>
      <c r="G297" s="500">
        <f t="shared" si="39"/>
        <v>0</v>
      </c>
      <c r="H297" s="500">
        <f t="shared" si="40"/>
        <v>0</v>
      </c>
      <c r="I297" s="500">
        <f t="shared" si="41"/>
        <v>0</v>
      </c>
      <c r="J297" s="500">
        <f t="shared" si="42"/>
        <v>0</v>
      </c>
      <c r="K297" s="500">
        <f t="shared" si="43"/>
        <v>0</v>
      </c>
      <c r="L297" s="502">
        <f t="shared" si="44"/>
        <v>0</v>
      </c>
      <c r="M297" s="326">
        <f>L297*D297*VPI!Q297</f>
        <v>0</v>
      </c>
    </row>
    <row r="298" spans="1:18" x14ac:dyDescent="0.25">
      <c r="A298" s="170">
        <f>Données!A298</f>
        <v>5931</v>
      </c>
      <c r="B298" s="27" t="str">
        <f>Données!B298</f>
        <v>Treycovagnes</v>
      </c>
      <c r="C298" s="377">
        <f>VPI!R298</f>
        <v>16306.743466666663</v>
      </c>
      <c r="D298" s="27">
        <f>Données!Z298</f>
        <v>520</v>
      </c>
      <c r="E298" s="115">
        <f t="shared" si="37"/>
        <v>31.359122051282043</v>
      </c>
      <c r="F298" s="203">
        <f t="shared" si="38"/>
        <v>0.64735755087833113</v>
      </c>
      <c r="G298" s="500">
        <f t="shared" si="39"/>
        <v>0</v>
      </c>
      <c r="H298" s="500">
        <f t="shared" si="40"/>
        <v>0</v>
      </c>
      <c r="I298" s="500">
        <f t="shared" si="41"/>
        <v>0</v>
      </c>
      <c r="J298" s="500">
        <f t="shared" si="42"/>
        <v>0</v>
      </c>
      <c r="K298" s="500">
        <f t="shared" si="43"/>
        <v>0</v>
      </c>
      <c r="L298" s="502">
        <f t="shared" si="44"/>
        <v>0</v>
      </c>
      <c r="M298" s="326">
        <f>L298*D298*VPI!Q298</f>
        <v>0</v>
      </c>
    </row>
    <row r="299" spans="1:18" x14ac:dyDescent="0.25">
      <c r="A299" s="170">
        <f>Données!A299</f>
        <v>5932</v>
      </c>
      <c r="B299" s="27" t="str">
        <f>Données!B299</f>
        <v>Ursins</v>
      </c>
      <c r="C299" s="377">
        <f>VPI!R299</f>
        <v>7945.6340000000009</v>
      </c>
      <c r="D299" s="27">
        <f>Données!Z299</f>
        <v>230</v>
      </c>
      <c r="E299" s="115">
        <f t="shared" si="37"/>
        <v>34.5462347826087</v>
      </c>
      <c r="F299" s="203">
        <f t="shared" si="38"/>
        <v>0.71315025670570698</v>
      </c>
      <c r="G299" s="500">
        <f t="shared" si="39"/>
        <v>0</v>
      </c>
      <c r="H299" s="500">
        <f t="shared" si="40"/>
        <v>0</v>
      </c>
      <c r="I299" s="500">
        <f t="shared" si="41"/>
        <v>0</v>
      </c>
      <c r="J299" s="500">
        <f t="shared" si="42"/>
        <v>0</v>
      </c>
      <c r="K299" s="500">
        <f t="shared" si="43"/>
        <v>0</v>
      </c>
      <c r="L299" s="502">
        <f t="shared" si="44"/>
        <v>0</v>
      </c>
      <c r="M299" s="326">
        <f>L299*D299*VPI!Q299</f>
        <v>0</v>
      </c>
    </row>
    <row r="300" spans="1:18" x14ac:dyDescent="0.25">
      <c r="A300" s="170">
        <f>Données!A300</f>
        <v>5933</v>
      </c>
      <c r="B300" s="27" t="str">
        <f>Données!B300</f>
        <v>Valeyres-sous-Montagny</v>
      </c>
      <c r="C300" s="377">
        <f>VPI!R300</f>
        <v>23478.314609929079</v>
      </c>
      <c r="D300" s="27">
        <f>Données!Z300</f>
        <v>703</v>
      </c>
      <c r="E300" s="115">
        <f t="shared" si="37"/>
        <v>33.397318079557721</v>
      </c>
      <c r="F300" s="203">
        <f t="shared" si="38"/>
        <v>0.68943275907187629</v>
      </c>
      <c r="G300" s="500">
        <f t="shared" si="39"/>
        <v>0</v>
      </c>
      <c r="H300" s="500">
        <f t="shared" si="40"/>
        <v>0</v>
      </c>
      <c r="I300" s="500">
        <f t="shared" si="41"/>
        <v>0</v>
      </c>
      <c r="J300" s="500">
        <f t="shared" si="42"/>
        <v>0</v>
      </c>
      <c r="K300" s="500">
        <f t="shared" si="43"/>
        <v>0</v>
      </c>
      <c r="L300" s="502">
        <f t="shared" si="44"/>
        <v>0</v>
      </c>
      <c r="M300" s="326">
        <f>L300*D300*VPI!Q300</f>
        <v>0</v>
      </c>
    </row>
    <row r="301" spans="1:18" x14ac:dyDescent="0.25">
      <c r="A301" s="170">
        <f>Données!A301</f>
        <v>5934</v>
      </c>
      <c r="B301" s="27" t="str">
        <f>Données!B301</f>
        <v>Valeyres-sous-Ursins</v>
      </c>
      <c r="C301" s="377">
        <f>VPI!R301</f>
        <v>16787.585844155841</v>
      </c>
      <c r="D301" s="27">
        <f>Données!Z301</f>
        <v>241</v>
      </c>
      <c r="E301" s="115">
        <f t="shared" si="37"/>
        <v>69.658032548364488</v>
      </c>
      <c r="F301" s="203">
        <f t="shared" si="38"/>
        <v>1.4379756319634835</v>
      </c>
      <c r="G301" s="500">
        <f t="shared" si="39"/>
        <v>21.216298905597583</v>
      </c>
      <c r="H301" s="500">
        <f t="shared" si="40"/>
        <v>11.527952177044206</v>
      </c>
      <c r="I301" s="500">
        <f t="shared" si="41"/>
        <v>0</v>
      </c>
      <c r="J301" s="500">
        <f t="shared" si="42"/>
        <v>0</v>
      </c>
      <c r="K301" s="500">
        <f t="shared" si="43"/>
        <v>0</v>
      </c>
      <c r="L301" s="502">
        <f t="shared" si="44"/>
        <v>5.3960549988239368</v>
      </c>
      <c r="M301" s="326">
        <f>L301*D301*VPI!Q301</f>
        <v>100134.59261317579</v>
      </c>
    </row>
    <row r="302" spans="1:18" x14ac:dyDescent="0.25">
      <c r="A302" s="170">
        <f>Données!A302</f>
        <v>5935</v>
      </c>
      <c r="B302" s="27" t="str">
        <f>Données!B302</f>
        <v>Villars-Epeney</v>
      </c>
      <c r="C302" s="377">
        <f>VPI!R302</f>
        <v>6724.4138235294122</v>
      </c>
      <c r="D302" s="27">
        <f>Données!Z302</f>
        <v>92</v>
      </c>
      <c r="E302" s="115">
        <f t="shared" si="37"/>
        <v>73.091454603580573</v>
      </c>
      <c r="F302" s="203">
        <f t="shared" si="38"/>
        <v>1.5088529890897959</v>
      </c>
      <c r="G302" s="500">
        <f t="shared" si="39"/>
        <v>24.649720960813667</v>
      </c>
      <c r="H302" s="500">
        <f t="shared" si="40"/>
        <v>14.96137423226029</v>
      </c>
      <c r="I302" s="500">
        <f t="shared" si="41"/>
        <v>0.42885413943021433</v>
      </c>
      <c r="J302" s="500">
        <f t="shared" si="42"/>
        <v>0</v>
      </c>
      <c r="K302" s="500">
        <f t="shared" si="43"/>
        <v>0</v>
      </c>
      <c r="L302" s="502">
        <f t="shared" si="44"/>
        <v>6.4689670293317842</v>
      </c>
      <c r="M302" s="326">
        <f>L302*D302*VPI!Q302</f>
        <v>40469.857735499645</v>
      </c>
    </row>
    <row r="303" spans="1:18" x14ac:dyDescent="0.25">
      <c r="A303" s="170">
        <f>Données!A303</f>
        <v>5937</v>
      </c>
      <c r="B303" s="27" t="str">
        <f>Données!B303</f>
        <v>Vugelles-La Mothe</v>
      </c>
      <c r="C303" s="377">
        <f>VPI!R303</f>
        <v>3343.8941428571434</v>
      </c>
      <c r="D303" s="27">
        <f>Données!Z303</f>
        <v>142</v>
      </c>
      <c r="E303" s="115">
        <f t="shared" si="37"/>
        <v>23.54855030181087</v>
      </c>
      <c r="F303" s="203">
        <f t="shared" si="38"/>
        <v>0.4861211300873215</v>
      </c>
      <c r="G303" s="500">
        <f t="shared" si="39"/>
        <v>0</v>
      </c>
      <c r="H303" s="500">
        <f t="shared" si="40"/>
        <v>0</v>
      </c>
      <c r="I303" s="500">
        <f t="shared" si="41"/>
        <v>0</v>
      </c>
      <c r="J303" s="500">
        <f t="shared" si="42"/>
        <v>0</v>
      </c>
      <c r="K303" s="500">
        <f t="shared" si="43"/>
        <v>0</v>
      </c>
      <c r="L303" s="502">
        <f t="shared" si="44"/>
        <v>0</v>
      </c>
      <c r="M303" s="326">
        <f>L303*D303*VPI!Q303</f>
        <v>0</v>
      </c>
    </row>
    <row r="304" spans="1:18" x14ac:dyDescent="0.25">
      <c r="A304" s="170">
        <f>Données!A304</f>
        <v>5938</v>
      </c>
      <c r="B304" s="27" t="str">
        <f>Données!B304</f>
        <v>Yverdon-les-Bains</v>
      </c>
      <c r="C304" s="377">
        <f>VPI!R304</f>
        <v>780594.69946666679</v>
      </c>
      <c r="D304" s="27">
        <f>Données!Z304</f>
        <v>29897</v>
      </c>
      <c r="E304" s="115">
        <f t="shared" si="37"/>
        <v>26.109465814853223</v>
      </c>
      <c r="F304" s="203">
        <f t="shared" si="38"/>
        <v>0.53898702320187852</v>
      </c>
      <c r="G304" s="500">
        <f t="shared" si="39"/>
        <v>0</v>
      </c>
      <c r="H304" s="500">
        <f t="shared" si="40"/>
        <v>0</v>
      </c>
      <c r="I304" s="500">
        <f t="shared" si="41"/>
        <v>0</v>
      </c>
      <c r="J304" s="500">
        <f t="shared" si="42"/>
        <v>0</v>
      </c>
      <c r="K304" s="500">
        <f t="shared" si="43"/>
        <v>0</v>
      </c>
      <c r="L304" s="502">
        <f t="shared" si="44"/>
        <v>0</v>
      </c>
      <c r="M304" s="326">
        <f>L304*D304*VPI!Q304</f>
        <v>0</v>
      </c>
    </row>
    <row r="305" spans="1:13" x14ac:dyDescent="0.25">
      <c r="A305" s="170">
        <f>Données!A305</f>
        <v>5939</v>
      </c>
      <c r="B305" s="27" t="str">
        <f>Données!B305</f>
        <v>Yvonand</v>
      </c>
      <c r="C305" s="377">
        <f>VPI!R305</f>
        <v>97394.348251748248</v>
      </c>
      <c r="D305" s="27">
        <f>Données!Z305</f>
        <v>3535</v>
      </c>
      <c r="E305" s="115">
        <f t="shared" si="37"/>
        <v>27.551442221145191</v>
      </c>
      <c r="F305" s="203">
        <f t="shared" si="38"/>
        <v>0.56875425690424364</v>
      </c>
      <c r="G305" s="500">
        <f t="shared" si="39"/>
        <v>0</v>
      </c>
      <c r="H305" s="500">
        <f t="shared" si="40"/>
        <v>0</v>
      </c>
      <c r="I305" s="500">
        <f t="shared" si="41"/>
        <v>0</v>
      </c>
      <c r="J305" s="500">
        <f t="shared" si="42"/>
        <v>0</v>
      </c>
      <c r="K305" s="500">
        <f t="shared" si="43"/>
        <v>0</v>
      </c>
      <c r="L305" s="503">
        <f t="shared" si="44"/>
        <v>0</v>
      </c>
      <c r="M305" s="326">
        <f>L305*D305*VPI!Q305</f>
        <v>0</v>
      </c>
    </row>
    <row r="306" spans="1:13" x14ac:dyDescent="0.25">
      <c r="A306" s="6"/>
      <c r="B306" s="74">
        <f>COUNTA(B6:B305)</f>
        <v>300</v>
      </c>
      <c r="C306" s="378">
        <f>SUM(C6:C305)</f>
        <v>40270921.104040481</v>
      </c>
      <c r="D306" s="159">
        <f>SUM(D6:D305)</f>
        <v>831327</v>
      </c>
      <c r="E306" s="46">
        <f>C306/D306</f>
        <v>48.441733642766906</v>
      </c>
      <c r="F306" s="47">
        <v>1</v>
      </c>
      <c r="G306" s="667"/>
      <c r="H306" s="668"/>
      <c r="I306" s="668"/>
      <c r="J306" s="668"/>
      <c r="K306" s="668"/>
      <c r="L306" s="669"/>
      <c r="M306" s="327">
        <f>SUM(M6:M305)</f>
        <v>130102885.44580179</v>
      </c>
    </row>
    <row r="307" spans="1:13" x14ac:dyDescent="0.25">
      <c r="M307" s="5"/>
    </row>
    <row r="309" spans="1:13" x14ac:dyDescent="0.25">
      <c r="F309" s="13"/>
    </row>
    <row r="310" spans="1:13" x14ac:dyDescent="0.25">
      <c r="F310" s="13"/>
    </row>
    <row r="311" spans="1:13" x14ac:dyDescent="0.25">
      <c r="F311" s="13"/>
      <c r="G311" s="15"/>
      <c r="H311" s="15"/>
    </row>
    <row r="312" spans="1:13" x14ac:dyDescent="0.25">
      <c r="E312" s="23"/>
    </row>
  </sheetData>
  <sheetProtection sheet="1" objects="1" scenarios="1"/>
  <mergeCells count="7">
    <mergeCell ref="G306:L306"/>
    <mergeCell ref="M4:M5"/>
    <mergeCell ref="L4:L5"/>
    <mergeCell ref="A4:A5"/>
    <mergeCell ref="B4:B5"/>
    <mergeCell ref="F4:F5"/>
    <mergeCell ref="C4:E4"/>
  </mergeCells>
  <phoneticPr fontId="21" type="noConversion"/>
  <hyperlinks>
    <hyperlink ref="C1" location="PCS!A1" display="← Précédent" xr:uid="{901F770C-9D71-4B9C-BD74-2BF5F01B4728}"/>
    <hyperlink ref="E1" location="'Péréquation directe'!A1" display="Suivant →" xr:uid="{8E8E8AD3-F212-48FB-86E5-C0AB3A686AFA}"/>
    <hyperlink ref="D1" location="'Table des matières'!A1" display="'Table des matières'!A1" xr:uid="{202983C2-6A43-4285-A91A-F524C826C944}"/>
  </hyperlinks>
  <pageMargins left="0.78740157499999996" right="0.78740157499999996" top="0.984251969" bottom="0.984251969" header="0.4921259845" footer="0.4921259845"/>
  <pageSetup paperSize="9" orientation="landscape" horizontalDpi="4294967292" vertic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B050"/>
  </sheetPr>
  <dimension ref="A1:K331"/>
  <sheetViews>
    <sheetView zoomScaleNormal="100" workbookViewId="0">
      <selection activeCell="C3" sqref="C3:E3"/>
    </sheetView>
  </sheetViews>
  <sheetFormatPr baseColWidth="10" defaultColWidth="11" defaultRowHeight="15" x14ac:dyDescent="0.25"/>
  <cols>
    <col min="1" max="1" width="7.125" style="11" customWidth="1"/>
    <col min="2" max="2" width="23.125" style="11" customWidth="1"/>
    <col min="3" max="3" width="16.125" style="11" customWidth="1"/>
    <col min="4" max="4" width="11" style="11" customWidth="1"/>
    <col min="5" max="6" width="12.75" style="11" customWidth="1"/>
    <col min="7" max="7" width="12.875" style="11" customWidth="1"/>
    <col min="8" max="8" width="12.75" style="217" customWidth="1"/>
    <col min="9" max="9" width="12.75" style="11" customWidth="1"/>
    <col min="10" max="10" width="12.75" style="217" customWidth="1"/>
    <col min="11" max="11" width="12.5" style="11" customWidth="1"/>
    <col min="12" max="16384" width="11" style="11"/>
  </cols>
  <sheetData>
    <row r="1" spans="1:11" s="285" customFormat="1" ht="26.25" x14ac:dyDescent="0.4">
      <c r="A1" s="278" t="s">
        <v>277</v>
      </c>
      <c r="B1" s="283"/>
      <c r="C1" s="404" t="s">
        <v>405</v>
      </c>
      <c r="D1" s="302" t="s">
        <v>397</v>
      </c>
      <c r="E1" s="496" t="s">
        <v>406</v>
      </c>
      <c r="H1" s="307"/>
    </row>
    <row r="2" spans="1:11" s="217" customFormat="1" ht="15.75" x14ac:dyDescent="0.25">
      <c r="A2" s="355" t="str">
        <f>Paramètres!B4</f>
        <v>Décompte 2022</v>
      </c>
      <c r="B2" s="32"/>
      <c r="C2" s="219"/>
      <c r="D2" s="219"/>
      <c r="E2" s="219"/>
      <c r="F2" s="219"/>
      <c r="G2" s="219"/>
      <c r="H2" s="219"/>
      <c r="I2" s="219"/>
      <c r="J2" s="219"/>
    </row>
    <row r="4" spans="1:11" x14ac:dyDescent="0.25">
      <c r="A4" s="76" t="s">
        <v>506</v>
      </c>
      <c r="B4" s="77"/>
      <c r="C4" s="78" t="s">
        <v>359</v>
      </c>
      <c r="D4" s="78" t="s">
        <v>335</v>
      </c>
      <c r="E4" s="49"/>
      <c r="F4" s="49"/>
      <c r="G4" s="49"/>
      <c r="H4" s="219"/>
      <c r="I4" s="49"/>
      <c r="J4" s="219"/>
    </row>
    <row r="5" spans="1:11" x14ac:dyDescent="0.25">
      <c r="A5" s="676" t="s">
        <v>507</v>
      </c>
      <c r="B5" s="677"/>
      <c r="C5" s="16">
        <f>ABS(E312+F312+G312)</f>
        <v>782934535.51097572</v>
      </c>
      <c r="D5" s="62">
        <f>C5/$C$312</f>
        <v>19.441684323242907</v>
      </c>
      <c r="E5" s="49"/>
      <c r="F5" s="49"/>
      <c r="G5" s="49"/>
      <c r="H5" s="219"/>
      <c r="I5" s="49"/>
      <c r="J5" s="219"/>
    </row>
    <row r="6" spans="1:11" x14ac:dyDescent="0.25">
      <c r="A6" s="678" t="s">
        <v>554</v>
      </c>
      <c r="B6" s="679"/>
      <c r="C6" s="8">
        <f>-Paramètres!B50</f>
        <v>-9894424.2643510215</v>
      </c>
      <c r="D6" s="62">
        <f>C6/$C$312</f>
        <v>-0.24569649745007421</v>
      </c>
      <c r="E6" s="49"/>
      <c r="F6" s="49"/>
      <c r="G6" s="49"/>
      <c r="H6" s="219"/>
      <c r="I6" s="49"/>
      <c r="J6" s="219"/>
    </row>
    <row r="7" spans="1:11" x14ac:dyDescent="0.25">
      <c r="A7" s="676" t="s">
        <v>514</v>
      </c>
      <c r="B7" s="677"/>
      <c r="C7" s="9">
        <f>Paramètres!B51</f>
        <v>450000</v>
      </c>
      <c r="D7" s="62">
        <f>C7/$C$312</f>
        <v>1.1174316048977841E-2</v>
      </c>
      <c r="E7" s="49"/>
      <c r="F7" s="49"/>
      <c r="G7" s="49"/>
      <c r="H7" s="219"/>
      <c r="I7" s="49"/>
      <c r="J7" s="219"/>
    </row>
    <row r="8" spans="1:11" x14ac:dyDescent="0.25">
      <c r="A8" s="344" t="s">
        <v>487</v>
      </c>
      <c r="B8" s="345"/>
      <c r="C8" s="332">
        <f>SUM(C5:C7)</f>
        <v>773490111.24662471</v>
      </c>
      <c r="D8" s="556">
        <f>SUM(D5:D7)</f>
        <v>19.207162141841813</v>
      </c>
      <c r="E8" s="49"/>
      <c r="F8" s="49"/>
      <c r="G8" s="49"/>
      <c r="H8" s="219"/>
      <c r="I8" s="49"/>
      <c r="J8" s="219"/>
    </row>
    <row r="10" spans="1:11" ht="60" customHeight="1" x14ac:dyDescent="0.25">
      <c r="A10" s="680" t="s">
        <v>44</v>
      </c>
      <c r="B10" s="680" t="s">
        <v>84</v>
      </c>
      <c r="C10" s="675" t="s">
        <v>413</v>
      </c>
      <c r="D10" s="675" t="s">
        <v>257</v>
      </c>
      <c r="E10" s="48" t="s">
        <v>503</v>
      </c>
      <c r="F10" s="48" t="s">
        <v>504</v>
      </c>
      <c r="G10" s="306" t="s">
        <v>550</v>
      </c>
      <c r="H10" s="306" t="s">
        <v>508</v>
      </c>
      <c r="I10" s="48" t="s">
        <v>512</v>
      </c>
      <c r="J10" s="360" t="s">
        <v>513</v>
      </c>
      <c r="K10" s="675" t="s">
        <v>509</v>
      </c>
    </row>
    <row r="11" spans="1:11" x14ac:dyDescent="0.25">
      <c r="A11" s="681"/>
      <c r="B11" s="681"/>
      <c r="C11" s="675"/>
      <c r="D11" s="675"/>
      <c r="E11" s="388">
        <f>E312/$C$312</f>
        <v>-11.439262533721463</v>
      </c>
      <c r="F11" s="211">
        <f t="shared" ref="F11:G11" si="0">F312/$C$312</f>
        <v>-3.5024217895214416</v>
      </c>
      <c r="G11" s="388">
        <f t="shared" si="0"/>
        <v>-4.5</v>
      </c>
      <c r="H11" s="211">
        <f>H312/C312</f>
        <v>0.24569649745007402</v>
      </c>
      <c r="I11" s="388">
        <f>I312/C312</f>
        <v>-19.19598782579283</v>
      </c>
      <c r="J11" s="211">
        <f>ABS(D8)</f>
        <v>19.207162141841813</v>
      </c>
      <c r="K11" s="675"/>
    </row>
    <row r="12" spans="1:11" x14ac:dyDescent="0.25">
      <c r="A12" s="36">
        <f>Données!A6</f>
        <v>5401</v>
      </c>
      <c r="B12" s="171" t="str">
        <f>Données!B6</f>
        <v>Aigle</v>
      </c>
      <c r="C12" s="26">
        <f>Ecrêtage!C6</f>
        <v>294634.51575757569</v>
      </c>
      <c r="D12" s="12">
        <f>Données!Z6</f>
        <v>10943</v>
      </c>
      <c r="E12" s="41">
        <f>Population!K9</f>
        <v>-6065734.7082494954</v>
      </c>
      <c r="F12" s="236">
        <f>Solidarité!I6</f>
        <v>-4099382.6494983709</v>
      </c>
      <c r="G12" s="41">
        <f>DT!O6</f>
        <v>0</v>
      </c>
      <c r="H12" s="236">
        <f>Effort!K6+Aide!I6+Taux!J6</f>
        <v>0</v>
      </c>
      <c r="I12" s="331">
        <f>SUM(E12:H12)</f>
        <v>-10165117.357747866</v>
      </c>
      <c r="J12" s="387">
        <f>C12*$J$11</f>
        <v>5659092.9167388026</v>
      </c>
      <c r="K12" s="512">
        <f>I12+J12</f>
        <v>-4506024.4410090633</v>
      </c>
    </row>
    <row r="13" spans="1:11" s="217" customFormat="1" x14ac:dyDescent="0.25">
      <c r="A13" s="38">
        <f>Données!A7</f>
        <v>5402</v>
      </c>
      <c r="B13" s="27" t="str">
        <f>Données!B7</f>
        <v>Bex</v>
      </c>
      <c r="C13" s="213">
        <f>Ecrêtage!C7</f>
        <v>191961.18746478873</v>
      </c>
      <c r="D13" s="236">
        <f>Données!Z7</f>
        <v>8165</v>
      </c>
      <c r="E13" s="8">
        <f>Population!K10</f>
        <v>-3843887.3239436615</v>
      </c>
      <c r="F13" s="236">
        <f>Solidarité!I7</f>
        <v>-4101363.2930515739</v>
      </c>
      <c r="G13" s="8">
        <f>DT!O7</f>
        <v>0</v>
      </c>
      <c r="H13" s="236">
        <f>Effort!K7+Aide!I7+Taux!J7</f>
        <v>0</v>
      </c>
      <c r="I13" s="313">
        <f t="shared" ref="I13:I76" si="1">SUM(E13:H13)</f>
        <v>-7945250.6169952359</v>
      </c>
      <c r="J13" s="387">
        <f t="shared" ref="J13:J76" si="2">C13*$J$11</f>
        <v>3687029.6525766891</v>
      </c>
      <c r="K13" s="513">
        <f t="shared" ref="K13:K76" si="3">I13+J13</f>
        <v>-4258220.9644185472</v>
      </c>
    </row>
    <row r="14" spans="1:11" s="217" customFormat="1" x14ac:dyDescent="0.25">
      <c r="A14" s="38">
        <f>Données!A8</f>
        <v>5403</v>
      </c>
      <c r="B14" s="27" t="str">
        <f>Données!B8</f>
        <v>Chessel</v>
      </c>
      <c r="C14" s="213">
        <f>Ecrêtage!C8</f>
        <v>13521.430615384616</v>
      </c>
      <c r="D14" s="236">
        <f>Données!Z8</f>
        <v>528</v>
      </c>
      <c r="E14" s="8">
        <f>Population!K11</f>
        <v>-68124.748490945654</v>
      </c>
      <c r="F14" s="236">
        <f>Solidarité!I8</f>
        <v>-203577.67070233653</v>
      </c>
      <c r="G14" s="8">
        <f>DT!O8</f>
        <v>0</v>
      </c>
      <c r="H14" s="236">
        <f>Effort!K8+Aide!I8+Taux!J8</f>
        <v>0</v>
      </c>
      <c r="I14" s="313">
        <f t="shared" si="1"/>
        <v>-271702.4191932822</v>
      </c>
      <c r="J14" s="387">
        <f t="shared" si="2"/>
        <v>259708.31021935624</v>
      </c>
      <c r="K14" s="513">
        <f t="shared" si="3"/>
        <v>-11994.108973925962</v>
      </c>
    </row>
    <row r="15" spans="1:11" s="217" customFormat="1" x14ac:dyDescent="0.25">
      <c r="A15" s="38">
        <f>Données!A9</f>
        <v>5404</v>
      </c>
      <c r="B15" s="27" t="str">
        <f>Données!B9</f>
        <v>Corbeyrier</v>
      </c>
      <c r="C15" s="213">
        <f>Ecrêtage!C9</f>
        <v>11663.247882882884</v>
      </c>
      <c r="D15" s="236">
        <f>Données!Z9</f>
        <v>440</v>
      </c>
      <c r="E15" s="8">
        <f>Population!K12</f>
        <v>-56770.623742454714</v>
      </c>
      <c r="F15" s="236">
        <f>Solidarité!I9</f>
        <v>-211226.37624202319</v>
      </c>
      <c r="G15" s="8">
        <f>DT!O9</f>
        <v>0</v>
      </c>
      <c r="H15" s="236">
        <f>Effort!K9+Aide!I9+Taux!J9</f>
        <v>0</v>
      </c>
      <c r="I15" s="313">
        <f t="shared" si="1"/>
        <v>-267996.99998447788</v>
      </c>
      <c r="J15" s="387">
        <f t="shared" si="2"/>
        <v>224017.89318702481</v>
      </c>
      <c r="K15" s="513">
        <f t="shared" si="3"/>
        <v>-43979.106797453074</v>
      </c>
    </row>
    <row r="16" spans="1:11" x14ac:dyDescent="0.25">
      <c r="A16" s="38">
        <f>Données!A10</f>
        <v>5405</v>
      </c>
      <c r="B16" s="27" t="str">
        <f>Données!B10</f>
        <v>Gryon</v>
      </c>
      <c r="C16" s="26">
        <f>Ecrêtage!C10</f>
        <v>73286.214467120197</v>
      </c>
      <c r="D16" s="12">
        <f>Données!Z10</f>
        <v>1390</v>
      </c>
      <c r="E16" s="8">
        <f>Population!K13</f>
        <v>-269918.51106639835</v>
      </c>
      <c r="F16" s="236">
        <f>Solidarité!I10</f>
        <v>0</v>
      </c>
      <c r="G16" s="8">
        <f>DT!O10</f>
        <v>0</v>
      </c>
      <c r="H16" s="236">
        <f>Effort!K10+Aide!I10+Taux!J10</f>
        <v>0</v>
      </c>
      <c r="I16" s="313">
        <f t="shared" si="1"/>
        <v>-269918.51106639835</v>
      </c>
      <c r="J16" s="387">
        <f t="shared" si="2"/>
        <v>1407620.2040317708</v>
      </c>
      <c r="K16" s="513">
        <f t="shared" si="3"/>
        <v>1137701.6929653725</v>
      </c>
    </row>
    <row r="17" spans="1:11" x14ac:dyDescent="0.25">
      <c r="A17" s="38">
        <f>Données!A11</f>
        <v>5406</v>
      </c>
      <c r="B17" s="27" t="str">
        <f>Données!B11</f>
        <v>Lavey-Morcles</v>
      </c>
      <c r="C17" s="26">
        <f>Ecrêtage!C11</f>
        <v>22111.529381387842</v>
      </c>
      <c r="D17" s="12">
        <f>Données!Z11</f>
        <v>977</v>
      </c>
      <c r="E17" s="8">
        <f>Population!K14</f>
        <v>-126056.58953722331</v>
      </c>
      <c r="F17" s="236">
        <f>Solidarité!I11</f>
        <v>-515224.21460450132</v>
      </c>
      <c r="G17" s="8">
        <f>DT!O11</f>
        <v>0</v>
      </c>
      <c r="H17" s="236">
        <f>Effort!K11+Aide!I11+Taux!J11</f>
        <v>0</v>
      </c>
      <c r="I17" s="313">
        <f t="shared" si="1"/>
        <v>-641280.8041417246</v>
      </c>
      <c r="J17" s="387">
        <f t="shared" si="2"/>
        <v>424699.73003241548</v>
      </c>
      <c r="K17" s="513">
        <f t="shared" si="3"/>
        <v>-216581.07410930912</v>
      </c>
    </row>
    <row r="18" spans="1:11" x14ac:dyDescent="0.25">
      <c r="A18" s="38">
        <f>Données!A12</f>
        <v>5407</v>
      </c>
      <c r="B18" s="27" t="str">
        <f>Données!B12</f>
        <v>Leysin</v>
      </c>
      <c r="C18" s="26">
        <f>Ecrêtage!C12</f>
        <v>89841.412521367529</v>
      </c>
      <c r="D18" s="12">
        <f>Données!Z12</f>
        <v>3752</v>
      </c>
      <c r="E18" s="8">
        <f>Population!K15</f>
        <v>-1239663.9839034202</v>
      </c>
      <c r="F18" s="236">
        <f>Solidarité!I12</f>
        <v>-2234953.604370614</v>
      </c>
      <c r="G18" s="8">
        <f>DT!O12</f>
        <v>0</v>
      </c>
      <c r="H18" s="236">
        <f>Effort!K12+Aide!I12+Taux!J12</f>
        <v>0</v>
      </c>
      <c r="I18" s="313">
        <f t="shared" si="1"/>
        <v>-3474617.5882740342</v>
      </c>
      <c r="J18" s="387">
        <f t="shared" si="2"/>
        <v>1725598.5773500034</v>
      </c>
      <c r="K18" s="513">
        <f t="shared" si="3"/>
        <v>-1749019.0109240308</v>
      </c>
    </row>
    <row r="19" spans="1:11" x14ac:dyDescent="0.25">
      <c r="A19" s="38">
        <f>Données!A13</f>
        <v>5408</v>
      </c>
      <c r="B19" s="27" t="str">
        <f>Données!B13</f>
        <v>Noville</v>
      </c>
      <c r="C19" s="26">
        <f>Ecrêtage!C13</f>
        <v>41973.380088888902</v>
      </c>
      <c r="D19" s="12">
        <f>Données!Z13</f>
        <v>1169</v>
      </c>
      <c r="E19" s="8">
        <f>Population!K16</f>
        <v>-190078.37022132793</v>
      </c>
      <c r="F19" s="236">
        <f>Solidarité!I13</f>
        <v>-329469.91612454009</v>
      </c>
      <c r="G19" s="8">
        <f>DT!O13</f>
        <v>0</v>
      </c>
      <c r="H19" s="236">
        <f>Effort!K13+Aide!I13+Taux!J13</f>
        <v>0</v>
      </c>
      <c r="I19" s="313">
        <f t="shared" si="1"/>
        <v>-519548.28634586802</v>
      </c>
      <c r="J19" s="387">
        <f t="shared" si="2"/>
        <v>806189.51700844383</v>
      </c>
      <c r="K19" s="513">
        <f t="shared" si="3"/>
        <v>286641.23066257581</v>
      </c>
    </row>
    <row r="20" spans="1:11" x14ac:dyDescent="0.25">
      <c r="A20" s="38">
        <f>Données!A14</f>
        <v>5409</v>
      </c>
      <c r="B20" s="27" t="str">
        <f>Données!B14</f>
        <v>Ollon</v>
      </c>
      <c r="C20" s="26">
        <f>Ecrêtage!C14</f>
        <v>405938.29721719451</v>
      </c>
      <c r="D20" s="12">
        <f>Données!Z14</f>
        <v>7971</v>
      </c>
      <c r="E20" s="8">
        <f>Population!K17</f>
        <v>-3723740.0402414482</v>
      </c>
      <c r="F20" s="236">
        <f>Solidarité!I14</f>
        <v>0</v>
      </c>
      <c r="G20" s="8">
        <f>DT!O14</f>
        <v>0</v>
      </c>
      <c r="H20" s="236">
        <f>Effort!K14+Aide!I14+Taux!J14</f>
        <v>0</v>
      </c>
      <c r="I20" s="313">
        <f t="shared" si="1"/>
        <v>-3723740.0402414482</v>
      </c>
      <c r="J20" s="387">
        <f t="shared" si="2"/>
        <v>7796922.6942338282</v>
      </c>
      <c r="K20" s="513">
        <f t="shared" si="3"/>
        <v>4073182.65399238</v>
      </c>
    </row>
    <row r="21" spans="1:11" x14ac:dyDescent="0.25">
      <c r="A21" s="38">
        <f>Données!A15</f>
        <v>5410</v>
      </c>
      <c r="B21" s="27" t="str">
        <f>Données!B15</f>
        <v>Ormont-Dessous</v>
      </c>
      <c r="C21" s="26">
        <f>Ecrêtage!C15</f>
        <v>38418.577099567097</v>
      </c>
      <c r="D21" s="12">
        <f>Données!Z15</f>
        <v>1178</v>
      </c>
      <c r="E21" s="8">
        <f>Population!K18</f>
        <v>-193329.77867203215</v>
      </c>
      <c r="F21" s="236">
        <f>Solidarité!I15</f>
        <v>-441844.39238495601</v>
      </c>
      <c r="G21" s="8">
        <f>DT!O15</f>
        <v>0</v>
      </c>
      <c r="H21" s="236">
        <f>Effort!K15+Aide!I15+Taux!J15</f>
        <v>0</v>
      </c>
      <c r="I21" s="313">
        <f t="shared" si="1"/>
        <v>-635174.17105698818</v>
      </c>
      <c r="J21" s="387">
        <f t="shared" si="2"/>
        <v>737911.839610236</v>
      </c>
      <c r="K21" s="513">
        <f t="shared" si="3"/>
        <v>102737.66855324781</v>
      </c>
    </row>
    <row r="22" spans="1:11" x14ac:dyDescent="0.25">
      <c r="A22" s="38">
        <f>Données!A16</f>
        <v>5411</v>
      </c>
      <c r="B22" s="27" t="str">
        <f>Données!B16</f>
        <v>Ormont-Dessus</v>
      </c>
      <c r="C22" s="26">
        <f>Ecrêtage!C16</f>
        <v>76161.465657894747</v>
      </c>
      <c r="D22" s="12">
        <f>Données!Z16</f>
        <v>1425</v>
      </c>
      <c r="E22" s="8">
        <f>Population!K19</f>
        <v>-282562.87726358144</v>
      </c>
      <c r="F22" s="236">
        <f>Solidarité!I16</f>
        <v>0</v>
      </c>
      <c r="G22" s="8">
        <f>DT!O16</f>
        <v>0</v>
      </c>
      <c r="H22" s="236">
        <f>Effort!K16+Aide!I16+Taux!J16</f>
        <v>0</v>
      </c>
      <c r="I22" s="313">
        <f t="shared" si="1"/>
        <v>-282562.87726358144</v>
      </c>
      <c r="J22" s="387">
        <f t="shared" si="2"/>
        <v>1462845.6198515014</v>
      </c>
      <c r="K22" s="513">
        <f t="shared" si="3"/>
        <v>1180282.74258792</v>
      </c>
    </row>
    <row r="23" spans="1:11" x14ac:dyDescent="0.25">
      <c r="A23" s="38">
        <f>Données!A17</f>
        <v>5412</v>
      </c>
      <c r="B23" s="27" t="str">
        <f>Données!B17</f>
        <v>Rennaz</v>
      </c>
      <c r="C23" s="26">
        <f>Ecrêtage!C17</f>
        <v>32240.440579710143</v>
      </c>
      <c r="D23" s="12">
        <f>Données!Z17</f>
        <v>929</v>
      </c>
      <c r="E23" s="8">
        <f>Population!K20</f>
        <v>-119863.43058350097</v>
      </c>
      <c r="F23" s="236">
        <f>Solidarité!I17</f>
        <v>-242840.85917896227</v>
      </c>
      <c r="G23" s="8">
        <f>DT!O17</f>
        <v>0</v>
      </c>
      <c r="H23" s="236">
        <f>Effort!K17+Aide!I17+Taux!J17</f>
        <v>0</v>
      </c>
      <c r="I23" s="313">
        <f t="shared" si="1"/>
        <v>-362704.28976246325</v>
      </c>
      <c r="J23" s="387">
        <f t="shared" si="2"/>
        <v>619247.36973890918</v>
      </c>
      <c r="K23" s="513">
        <f t="shared" si="3"/>
        <v>256543.07997644594</v>
      </c>
    </row>
    <row r="24" spans="1:11" x14ac:dyDescent="0.25">
      <c r="A24" s="38">
        <f>Données!A18</f>
        <v>5413</v>
      </c>
      <c r="B24" s="27" t="str">
        <f>Données!B18</f>
        <v>Roche</v>
      </c>
      <c r="C24" s="26">
        <f>Ecrêtage!C18</f>
        <v>42596.643504901964</v>
      </c>
      <c r="D24" s="12">
        <f>Données!Z18</f>
        <v>1943</v>
      </c>
      <c r="E24" s="8">
        <f>Population!K21</f>
        <v>-469699.49698189128</v>
      </c>
      <c r="F24" s="236">
        <f>Solidarité!I18</f>
        <v>-952244.52446625975</v>
      </c>
      <c r="G24" s="8">
        <f>DT!O18</f>
        <v>0</v>
      </c>
      <c r="H24" s="236">
        <f>Effort!K18+Aide!I18+Taux!J18</f>
        <v>0</v>
      </c>
      <c r="I24" s="313">
        <f t="shared" si="1"/>
        <v>-1421944.021448151</v>
      </c>
      <c r="J24" s="387">
        <f t="shared" si="2"/>
        <v>818160.63849688496</v>
      </c>
      <c r="K24" s="513">
        <f t="shared" si="3"/>
        <v>-603783.38295126602</v>
      </c>
    </row>
    <row r="25" spans="1:11" x14ac:dyDescent="0.25">
      <c r="A25" s="38">
        <f>Données!A19</f>
        <v>5414</v>
      </c>
      <c r="B25" s="27" t="str">
        <f>Données!B19</f>
        <v>Villeneuve</v>
      </c>
      <c r="C25" s="26">
        <f>Ecrêtage!C19</f>
        <v>165881.46711111109</v>
      </c>
      <c r="D25" s="12">
        <f>Données!Z19</f>
        <v>5980</v>
      </c>
      <c r="E25" s="8">
        <f>Population!K22</f>
        <v>-2490682.0925553315</v>
      </c>
      <c r="F25" s="236">
        <f>Solidarité!I19</f>
        <v>-2254424.8524571825</v>
      </c>
      <c r="G25" s="8">
        <f>DT!O19</f>
        <v>0</v>
      </c>
      <c r="H25" s="236">
        <f>Effort!K19+Aide!I19+Taux!J19</f>
        <v>0</v>
      </c>
      <c r="I25" s="313">
        <f t="shared" si="1"/>
        <v>-4745106.9450125135</v>
      </c>
      <c r="J25" s="387">
        <f t="shared" si="2"/>
        <v>3186112.2351297108</v>
      </c>
      <c r="K25" s="513">
        <f t="shared" si="3"/>
        <v>-1558994.7098828028</v>
      </c>
    </row>
    <row r="26" spans="1:11" x14ac:dyDescent="0.25">
      <c r="A26" s="38">
        <f>Données!A20</f>
        <v>5415</v>
      </c>
      <c r="B26" s="27" t="str">
        <f>Données!B20</f>
        <v>Yvorne</v>
      </c>
      <c r="C26" s="26">
        <f>Ecrêtage!C20</f>
        <v>33675.515990675995</v>
      </c>
      <c r="D26" s="12">
        <f>Données!Z20</f>
        <v>1088</v>
      </c>
      <c r="E26" s="8">
        <f>Population!K23</f>
        <v>-160815.69416498989</v>
      </c>
      <c r="F26" s="236">
        <f>Solidarité!I20</f>
        <v>-388809.91438435472</v>
      </c>
      <c r="G26" s="8">
        <f>DT!O20</f>
        <v>0</v>
      </c>
      <c r="H26" s="236">
        <f>Effort!K20+Aide!I20+Taux!J20</f>
        <v>0</v>
      </c>
      <c r="I26" s="313">
        <f t="shared" si="1"/>
        <v>-549625.60854934459</v>
      </c>
      <c r="J26" s="387">
        <f t="shared" si="2"/>
        <v>646811.09584310057</v>
      </c>
      <c r="K26" s="513">
        <f t="shared" si="3"/>
        <v>97185.487293755985</v>
      </c>
    </row>
    <row r="27" spans="1:11" x14ac:dyDescent="0.25">
      <c r="A27" s="38">
        <f>Données!A21</f>
        <v>5422</v>
      </c>
      <c r="B27" s="27" t="str">
        <f>Données!B21</f>
        <v>Aubonne</v>
      </c>
      <c r="C27" s="26">
        <f>Ecrêtage!C21</f>
        <v>297608.37742857152</v>
      </c>
      <c r="D27" s="12">
        <f>Données!Z21</f>
        <v>3794</v>
      </c>
      <c r="E27" s="8">
        <f>Population!K24</f>
        <v>-1261340.0402414484</v>
      </c>
      <c r="F27" s="236">
        <f>Solidarité!I21</f>
        <v>0</v>
      </c>
      <c r="G27" s="8">
        <f>DT!O21</f>
        <v>0</v>
      </c>
      <c r="H27" s="236">
        <f>Effort!K21+Aide!I21+Taux!J21</f>
        <v>0</v>
      </c>
      <c r="I27" s="313">
        <f t="shared" si="1"/>
        <v>-1261340.0402414484</v>
      </c>
      <c r="J27" s="387">
        <f t="shared" si="2"/>
        <v>5716212.3600410288</v>
      </c>
      <c r="K27" s="513">
        <f t="shared" si="3"/>
        <v>4454872.3197995806</v>
      </c>
    </row>
    <row r="28" spans="1:11" x14ac:dyDescent="0.25">
      <c r="A28" s="38">
        <f>Données!A22</f>
        <v>5423</v>
      </c>
      <c r="B28" s="27" t="str">
        <f>Données!B22</f>
        <v>Ballens</v>
      </c>
      <c r="C28" s="26">
        <f>Ecrêtage!C22</f>
        <v>17345.890547945211</v>
      </c>
      <c r="D28" s="12">
        <f>Données!Z22</f>
        <v>590</v>
      </c>
      <c r="E28" s="8">
        <f>Population!K25</f>
        <v>-76124.245472837007</v>
      </c>
      <c r="F28" s="236">
        <f>Solidarité!I22</f>
        <v>-239285.1079243951</v>
      </c>
      <c r="G28" s="8">
        <f>DT!O22</f>
        <v>0</v>
      </c>
      <c r="H28" s="236">
        <f>Effort!K22+Aide!I22+Taux!J22</f>
        <v>0</v>
      </c>
      <c r="I28" s="313">
        <f t="shared" si="1"/>
        <v>-315409.35339723213</v>
      </c>
      <c r="J28" s="387">
        <f t="shared" si="2"/>
        <v>333165.332249025</v>
      </c>
      <c r="K28" s="513">
        <f t="shared" si="3"/>
        <v>17755.978851792868</v>
      </c>
    </row>
    <row r="29" spans="1:11" x14ac:dyDescent="0.25">
      <c r="A29" s="38">
        <f>Données!A23</f>
        <v>5424</v>
      </c>
      <c r="B29" s="27" t="str">
        <f>Données!B23</f>
        <v>Berolle</v>
      </c>
      <c r="C29" s="26">
        <f>Ecrêtage!C23</f>
        <v>10263.254304635762</v>
      </c>
      <c r="D29" s="12">
        <f>Données!Z23</f>
        <v>305</v>
      </c>
      <c r="E29" s="8">
        <f>Population!K26</f>
        <v>-39352.364185110659</v>
      </c>
      <c r="F29" s="236">
        <f>Solidarité!I23</f>
        <v>-102782.60676117108</v>
      </c>
      <c r="G29" s="8">
        <f>DT!O23</f>
        <v>0</v>
      </c>
      <c r="H29" s="236">
        <f>Effort!K23+Aide!I23+Taux!J23</f>
        <v>0</v>
      </c>
      <c r="I29" s="313">
        <f t="shared" si="1"/>
        <v>-142134.97094628174</v>
      </c>
      <c r="J29" s="387">
        <f t="shared" si="2"/>
        <v>197127.98953209503</v>
      </c>
      <c r="K29" s="513">
        <f t="shared" si="3"/>
        <v>54993.01858581329</v>
      </c>
    </row>
    <row r="30" spans="1:11" x14ac:dyDescent="0.25">
      <c r="A30" s="38">
        <f>Données!A24</f>
        <v>5425</v>
      </c>
      <c r="B30" s="27" t="str">
        <f>Données!B24</f>
        <v>Bière</v>
      </c>
      <c r="C30" s="26">
        <f>Ecrêtage!C24</f>
        <v>42247.955252373817</v>
      </c>
      <c r="D30" s="12">
        <f>Données!Z24</f>
        <v>1688</v>
      </c>
      <c r="E30" s="8">
        <f>Population!K27</f>
        <v>-377576.25754527154</v>
      </c>
      <c r="F30" s="236">
        <f>Solidarité!I24</f>
        <v>-752039.9697427057</v>
      </c>
      <c r="G30" s="8">
        <f>DT!O24</f>
        <v>0</v>
      </c>
      <c r="H30" s="236">
        <f>Effort!K24+Aide!I24+Taux!J24</f>
        <v>0</v>
      </c>
      <c r="I30" s="313">
        <f t="shared" si="1"/>
        <v>-1129616.2272879772</v>
      </c>
      <c r="J30" s="387">
        <f t="shared" si="2"/>
        <v>811463.32669362135</v>
      </c>
      <c r="K30" s="513">
        <f t="shared" si="3"/>
        <v>-318152.90059435589</v>
      </c>
    </row>
    <row r="31" spans="1:11" x14ac:dyDescent="0.25">
      <c r="A31" s="38">
        <f>Données!A25</f>
        <v>5426</v>
      </c>
      <c r="B31" s="27" t="str">
        <f>Données!B25</f>
        <v>Bougy-Villars</v>
      </c>
      <c r="C31" s="26">
        <f>Ecrêtage!C25</f>
        <v>61985.534935400508</v>
      </c>
      <c r="D31" s="12">
        <f>Données!Z25</f>
        <v>506</v>
      </c>
      <c r="E31" s="8">
        <f>Population!K28</f>
        <v>-65286.217303822923</v>
      </c>
      <c r="F31" s="236">
        <f>Solidarité!I25</f>
        <v>0</v>
      </c>
      <c r="G31" s="8">
        <f>DT!O25</f>
        <v>0</v>
      </c>
      <c r="H31" s="236">
        <f>Effort!K25+Aide!I25+Taux!J25</f>
        <v>0</v>
      </c>
      <c r="I31" s="313">
        <f t="shared" si="1"/>
        <v>-65286.217303822923</v>
      </c>
      <c r="J31" s="387">
        <f t="shared" si="2"/>
        <v>1190566.2199530378</v>
      </c>
      <c r="K31" s="513">
        <f t="shared" si="3"/>
        <v>1125280.0026492148</v>
      </c>
    </row>
    <row r="32" spans="1:11" x14ac:dyDescent="0.25">
      <c r="A32" s="38">
        <f>Données!A26</f>
        <v>5427</v>
      </c>
      <c r="B32" s="27" t="str">
        <f>Données!B26</f>
        <v>Féchy</v>
      </c>
      <c r="C32" s="26">
        <f>Ecrêtage!C26</f>
        <v>86972.782199519221</v>
      </c>
      <c r="D32" s="12">
        <f>Données!Z26</f>
        <v>887</v>
      </c>
      <c r="E32" s="8">
        <f>Population!K29</f>
        <v>-114444.41649899395</v>
      </c>
      <c r="F32" s="236">
        <f>Solidarité!I26</f>
        <v>0</v>
      </c>
      <c r="G32" s="8">
        <f>DT!O26</f>
        <v>0</v>
      </c>
      <c r="H32" s="236">
        <f>Effort!K26+Aide!I26+Taux!J26</f>
        <v>0</v>
      </c>
      <c r="I32" s="313">
        <f t="shared" si="1"/>
        <v>-114444.41649899395</v>
      </c>
      <c r="J32" s="387">
        <f t="shared" si="2"/>
        <v>1670500.3296332592</v>
      </c>
      <c r="K32" s="513">
        <f t="shared" si="3"/>
        <v>1556055.9131342652</v>
      </c>
    </row>
    <row r="33" spans="1:11" x14ac:dyDescent="0.25">
      <c r="A33" s="38">
        <f>Données!A27</f>
        <v>5428</v>
      </c>
      <c r="B33" s="27" t="str">
        <f>Données!B27</f>
        <v>Gimel</v>
      </c>
      <c r="C33" s="26">
        <f>Ecrêtage!C27</f>
        <v>71357.587986577171</v>
      </c>
      <c r="D33" s="12">
        <f>Données!Z27</f>
        <v>2414</v>
      </c>
      <c r="E33" s="8">
        <f>Population!K30</f>
        <v>-639856.53923541238</v>
      </c>
      <c r="F33" s="236">
        <f>Solidarité!I27</f>
        <v>-1011116.7417528057</v>
      </c>
      <c r="G33" s="8">
        <f>DT!O27</f>
        <v>0</v>
      </c>
      <c r="H33" s="236">
        <f>Effort!K27+Aide!I27+Taux!J27</f>
        <v>0</v>
      </c>
      <c r="I33" s="313">
        <f t="shared" si="1"/>
        <v>-1650973.280988218</v>
      </c>
      <c r="J33" s="387">
        <f t="shared" si="2"/>
        <v>1370576.7625089313</v>
      </c>
      <c r="K33" s="513">
        <f t="shared" si="3"/>
        <v>-280396.51847928669</v>
      </c>
    </row>
    <row r="34" spans="1:11" x14ac:dyDescent="0.25">
      <c r="A34" s="38">
        <f>Données!A28</f>
        <v>5429</v>
      </c>
      <c r="B34" s="27" t="str">
        <f>Données!B28</f>
        <v>Longirod</v>
      </c>
      <c r="C34" s="26">
        <f>Ecrêtage!C28</f>
        <v>17142.381290322584</v>
      </c>
      <c r="D34" s="12">
        <f>Données!Z28</f>
        <v>542</v>
      </c>
      <c r="E34" s="8">
        <f>Population!K31</f>
        <v>-69931.086519114673</v>
      </c>
      <c r="F34" s="236">
        <f>Solidarité!I28</f>
        <v>-218762.97692401288</v>
      </c>
      <c r="G34" s="8">
        <f>DT!O28</f>
        <v>0</v>
      </c>
      <c r="H34" s="236">
        <f>Effort!K28+Aide!I28+Taux!J28</f>
        <v>0</v>
      </c>
      <c r="I34" s="313">
        <f t="shared" si="1"/>
        <v>-288694.06344312755</v>
      </c>
      <c r="J34" s="387">
        <f t="shared" si="2"/>
        <v>329256.49694050138</v>
      </c>
      <c r="K34" s="513">
        <f t="shared" si="3"/>
        <v>40562.43349737383</v>
      </c>
    </row>
    <row r="35" spans="1:11" x14ac:dyDescent="0.25">
      <c r="A35" s="38">
        <f>Données!A29</f>
        <v>5430</v>
      </c>
      <c r="B35" s="27" t="str">
        <f>Données!B29</f>
        <v>Marchissy</v>
      </c>
      <c r="C35" s="26">
        <f>Ecrêtage!C29</f>
        <v>17121.715483870968</v>
      </c>
      <c r="D35" s="12">
        <f>Données!Z29</f>
        <v>501</v>
      </c>
      <c r="E35" s="8">
        <f>Population!K32</f>
        <v>-64641.096579476849</v>
      </c>
      <c r="F35" s="236">
        <f>Solidarité!I29</f>
        <v>-171581.49445372037</v>
      </c>
      <c r="G35" s="8">
        <f>DT!O29</f>
        <v>0</v>
      </c>
      <c r="H35" s="236">
        <f>Effort!K29+Aide!I29+Taux!J29</f>
        <v>0</v>
      </c>
      <c r="I35" s="313">
        <f t="shared" si="1"/>
        <v>-236222.59103319721</v>
      </c>
      <c r="J35" s="387">
        <f t="shared" si="2"/>
        <v>328859.56544519326</v>
      </c>
      <c r="K35" s="513">
        <f t="shared" si="3"/>
        <v>92636.974411996052</v>
      </c>
    </row>
    <row r="36" spans="1:11" x14ac:dyDescent="0.25">
      <c r="A36" s="38">
        <f>Données!A30</f>
        <v>5431</v>
      </c>
      <c r="B36" s="27" t="str">
        <f>Données!B30</f>
        <v>Mollens</v>
      </c>
      <c r="C36" s="26">
        <f>Ecrêtage!C30</f>
        <v>9475.049594594595</v>
      </c>
      <c r="D36" s="12">
        <f>Données!Z30</f>
        <v>324</v>
      </c>
      <c r="E36" s="8">
        <f>Population!K33</f>
        <v>-41803.822937625744</v>
      </c>
      <c r="F36" s="236">
        <f>Solidarité!I30</f>
        <v>-136133.83549389543</v>
      </c>
      <c r="G36" s="8">
        <f>DT!O30</f>
        <v>0</v>
      </c>
      <c r="H36" s="236">
        <f>Effort!K30+Aide!I30+Taux!J30</f>
        <v>0</v>
      </c>
      <c r="I36" s="313">
        <f t="shared" si="1"/>
        <v>-177937.65843152118</v>
      </c>
      <c r="J36" s="387">
        <f t="shared" si="2"/>
        <v>181988.81386537093</v>
      </c>
      <c r="K36" s="513">
        <f t="shared" si="3"/>
        <v>4051.1554338497517</v>
      </c>
    </row>
    <row r="37" spans="1:11" x14ac:dyDescent="0.25">
      <c r="A37" s="38">
        <f>Données!A31</f>
        <v>5434</v>
      </c>
      <c r="B37" s="27" t="str">
        <f>Données!B31</f>
        <v>Saint-George</v>
      </c>
      <c r="C37" s="26">
        <f>Ecrêtage!C31</f>
        <v>41109.419880095913</v>
      </c>
      <c r="D37" s="12">
        <f>Données!Z31</f>
        <v>1069</v>
      </c>
      <c r="E37" s="8">
        <f>Population!K34</f>
        <v>-153951.60965794764</v>
      </c>
      <c r="F37" s="236">
        <f>Solidarité!I31</f>
        <v>-206080.21983389836</v>
      </c>
      <c r="G37" s="8">
        <f>DT!O31</f>
        <v>0</v>
      </c>
      <c r="H37" s="236">
        <f>Effort!K31+Aide!I31+Taux!J31</f>
        <v>0</v>
      </c>
      <c r="I37" s="313">
        <f t="shared" si="1"/>
        <v>-360031.82949184603</v>
      </c>
      <c r="J37" s="387">
        <f t="shared" si="2"/>
        <v>789595.29319405742</v>
      </c>
      <c r="K37" s="513">
        <f t="shared" si="3"/>
        <v>429563.46370221139</v>
      </c>
    </row>
    <row r="38" spans="1:11" x14ac:dyDescent="0.25">
      <c r="A38" s="38">
        <f>Données!A32</f>
        <v>5435</v>
      </c>
      <c r="B38" s="27" t="str">
        <f>Données!B32</f>
        <v>Saint-Livres</v>
      </c>
      <c r="C38" s="26">
        <f>Ecrêtage!C32</f>
        <v>25462.29188405797</v>
      </c>
      <c r="D38" s="12">
        <f>Données!Z32</f>
        <v>698</v>
      </c>
      <c r="E38" s="8">
        <f>Population!K35</f>
        <v>-90058.853118712257</v>
      </c>
      <c r="F38" s="236">
        <f>Solidarité!I32</f>
        <v>-158889.01242898923</v>
      </c>
      <c r="G38" s="8">
        <f>DT!O32</f>
        <v>0</v>
      </c>
      <c r="H38" s="236">
        <f>Effort!K32+Aide!I32+Taux!J32</f>
        <v>0</v>
      </c>
      <c r="I38" s="313">
        <f t="shared" si="1"/>
        <v>-248947.86554770148</v>
      </c>
      <c r="J38" s="387">
        <f t="shared" si="2"/>
        <v>489058.36872000428</v>
      </c>
      <c r="K38" s="513">
        <f t="shared" si="3"/>
        <v>240110.50317230279</v>
      </c>
    </row>
    <row r="39" spans="1:11" x14ac:dyDescent="0.25">
      <c r="A39" s="38">
        <f>Données!A33</f>
        <v>5436</v>
      </c>
      <c r="B39" s="27" t="str">
        <f>Données!B33</f>
        <v>Saint-Oyens</v>
      </c>
      <c r="C39" s="26">
        <f>Ecrêtage!C33</f>
        <v>16425.371772151899</v>
      </c>
      <c r="D39" s="12">
        <f>Données!Z33</f>
        <v>456</v>
      </c>
      <c r="E39" s="8">
        <f>Population!K36</f>
        <v>-58835.010060362161</v>
      </c>
      <c r="F39" s="236">
        <f>Solidarité!I33</f>
        <v>-141282.7551286768</v>
      </c>
      <c r="G39" s="8">
        <f>DT!O33</f>
        <v>0</v>
      </c>
      <c r="H39" s="236">
        <f>Effort!K33+Aide!I33+Taux!J33</f>
        <v>0</v>
      </c>
      <c r="I39" s="313">
        <f t="shared" si="1"/>
        <v>-200117.76518903897</v>
      </c>
      <c r="J39" s="387">
        <f t="shared" si="2"/>
        <v>315484.77886775311</v>
      </c>
      <c r="K39" s="513">
        <f t="shared" si="3"/>
        <v>115367.01367871414</v>
      </c>
    </row>
    <row r="40" spans="1:11" x14ac:dyDescent="0.25">
      <c r="A40" s="38">
        <f>Données!A34</f>
        <v>5437</v>
      </c>
      <c r="B40" s="27" t="str">
        <f>Données!B34</f>
        <v>Saubraz</v>
      </c>
      <c r="C40" s="26">
        <f>Ecrêtage!C34</f>
        <v>12127.91725</v>
      </c>
      <c r="D40" s="12">
        <f>Données!Z34</f>
        <v>449</v>
      </c>
      <c r="E40" s="8">
        <f>Population!K37</f>
        <v>-57931.841046277652</v>
      </c>
      <c r="F40" s="236">
        <f>Solidarité!I34</f>
        <v>-246133.97030982995</v>
      </c>
      <c r="G40" s="8">
        <f>DT!O34</f>
        <v>0</v>
      </c>
      <c r="H40" s="236">
        <f>Effort!K34+Aide!I34+Taux!J34</f>
        <v>0</v>
      </c>
      <c r="I40" s="313">
        <f t="shared" si="1"/>
        <v>-304065.81135610759</v>
      </c>
      <c r="J40" s="387">
        <f t="shared" si="2"/>
        <v>232942.87306359029</v>
      </c>
      <c r="K40" s="513">
        <f t="shared" si="3"/>
        <v>-71122.938292517298</v>
      </c>
    </row>
    <row r="41" spans="1:11" x14ac:dyDescent="0.25">
      <c r="A41" s="38">
        <f>Données!A35</f>
        <v>5451</v>
      </c>
      <c r="B41" s="27" t="str">
        <f>Données!B35</f>
        <v>Avenches</v>
      </c>
      <c r="C41" s="26">
        <f>Ecrêtage!C35</f>
        <v>142633.11649122802</v>
      </c>
      <c r="D41" s="12">
        <f>Données!Z35</f>
        <v>4699</v>
      </c>
      <c r="E41" s="8">
        <f>Population!K38</f>
        <v>-1728407.4446680075</v>
      </c>
      <c r="F41" s="236">
        <f>Solidarité!I35</f>
        <v>-1502248.5563495015</v>
      </c>
      <c r="G41" s="8">
        <f>DT!O35</f>
        <v>0</v>
      </c>
      <c r="H41" s="236">
        <f>Effort!K35+Aide!I35+Taux!J35</f>
        <v>0</v>
      </c>
      <c r="I41" s="313">
        <f t="shared" si="1"/>
        <v>-3230656.001017509</v>
      </c>
      <c r="J41" s="387">
        <f t="shared" si="2"/>
        <v>2739577.3952432279</v>
      </c>
      <c r="K41" s="513">
        <f t="shared" si="3"/>
        <v>-491078.60577428108</v>
      </c>
    </row>
    <row r="42" spans="1:11" x14ac:dyDescent="0.25">
      <c r="A42" s="38">
        <f>Données!A36</f>
        <v>5456</v>
      </c>
      <c r="B42" s="27" t="str">
        <f>Données!B36</f>
        <v>Cudrefin</v>
      </c>
      <c r="C42" s="26">
        <f>Ecrêtage!C36</f>
        <v>64060.385932203382</v>
      </c>
      <c r="D42" s="12">
        <f>Données!Z36</f>
        <v>1876</v>
      </c>
      <c r="E42" s="8">
        <f>Population!K39</f>
        <v>-445494.56740442646</v>
      </c>
      <c r="F42" s="236">
        <f>Solidarité!I36</f>
        <v>-373087.07524210773</v>
      </c>
      <c r="G42" s="8">
        <f>DT!O36</f>
        <v>0</v>
      </c>
      <c r="H42" s="236">
        <f>Effort!K36+Aide!I36+Taux!J36</f>
        <v>0</v>
      </c>
      <c r="I42" s="313">
        <f t="shared" si="1"/>
        <v>-818581.64264653414</v>
      </c>
      <c r="J42" s="387">
        <f t="shared" si="2"/>
        <v>1230418.2194687927</v>
      </c>
      <c r="K42" s="513">
        <f t="shared" si="3"/>
        <v>411836.57682225853</v>
      </c>
    </row>
    <row r="43" spans="1:11" x14ac:dyDescent="0.25">
      <c r="A43" s="38">
        <f>Données!A37</f>
        <v>5458</v>
      </c>
      <c r="B43" s="27" t="str">
        <f>Données!B37</f>
        <v>Faoug</v>
      </c>
      <c r="C43" s="26">
        <f>Ecrêtage!C37</f>
        <v>32630.920512820507</v>
      </c>
      <c r="D43" s="12">
        <f>Données!Z37</f>
        <v>904</v>
      </c>
      <c r="E43" s="8">
        <f>Population!K40</f>
        <v>-116637.8269617706</v>
      </c>
      <c r="F43" s="236">
        <f>Solidarité!I37</f>
        <v>-188457.73033138888</v>
      </c>
      <c r="G43" s="8">
        <f>DT!O37</f>
        <v>0</v>
      </c>
      <c r="H43" s="236">
        <f>Effort!K37+Aide!I37+Taux!J37</f>
        <v>0</v>
      </c>
      <c r="I43" s="313">
        <f t="shared" si="1"/>
        <v>-305095.55729315948</v>
      </c>
      <c r="J43" s="387">
        <f t="shared" si="2"/>
        <v>626747.38112729543</v>
      </c>
      <c r="K43" s="513">
        <f t="shared" si="3"/>
        <v>321651.82383413595</v>
      </c>
    </row>
    <row r="44" spans="1:11" x14ac:dyDescent="0.25">
      <c r="A44" s="38">
        <f>Données!A38</f>
        <v>5464</v>
      </c>
      <c r="B44" s="27" t="str">
        <f>Données!B38</f>
        <v>Vully-les-Lacs</v>
      </c>
      <c r="C44" s="26">
        <f>Ecrêtage!C38</f>
        <v>117933.44731343284</v>
      </c>
      <c r="D44" s="12">
        <f>Données!Z38</f>
        <v>3543</v>
      </c>
      <c r="E44" s="8">
        <f>Population!K41</f>
        <v>-1131799.7987927562</v>
      </c>
      <c r="F44" s="236">
        <f>Solidarité!I38</f>
        <v>-963375.61261422152</v>
      </c>
      <c r="G44" s="8">
        <f>DT!O38</f>
        <v>0</v>
      </c>
      <c r="H44" s="236">
        <f>Effort!K38+Aide!I38+Taux!J38</f>
        <v>0</v>
      </c>
      <c r="I44" s="313">
        <f t="shared" si="1"/>
        <v>-2095175.4114069776</v>
      </c>
      <c r="J44" s="387">
        <f t="shared" si="2"/>
        <v>2265166.8444954632</v>
      </c>
      <c r="K44" s="513">
        <f t="shared" si="3"/>
        <v>169991.43308848562</v>
      </c>
    </row>
    <row r="45" spans="1:11" x14ac:dyDescent="0.25">
      <c r="A45" s="38">
        <f>Données!A39</f>
        <v>5471</v>
      </c>
      <c r="B45" s="27" t="str">
        <f>Données!B39</f>
        <v>Bettens</v>
      </c>
      <c r="C45" s="26">
        <f>Ecrêtage!C39</f>
        <v>22692.287412698413</v>
      </c>
      <c r="D45" s="12">
        <f>Données!Z39</f>
        <v>650</v>
      </c>
      <c r="E45" s="8">
        <f>Population!K42</f>
        <v>-83865.694164989924</v>
      </c>
      <c r="F45" s="236">
        <f>Solidarité!I39</f>
        <v>-172238.89003202671</v>
      </c>
      <c r="G45" s="8">
        <f>DT!O39</f>
        <v>0</v>
      </c>
      <c r="H45" s="236">
        <f>Effort!K39+Aide!I39+Taux!J39</f>
        <v>0</v>
      </c>
      <c r="I45" s="313">
        <f t="shared" si="1"/>
        <v>-256104.58419701664</v>
      </c>
      <c r="J45" s="387">
        <f t="shared" si="2"/>
        <v>435854.44370497449</v>
      </c>
      <c r="K45" s="513">
        <f t="shared" si="3"/>
        <v>179749.85950795785</v>
      </c>
    </row>
    <row r="46" spans="1:11" x14ac:dyDescent="0.25">
      <c r="A46" s="38">
        <f>Données!A40</f>
        <v>5472</v>
      </c>
      <c r="B46" s="27" t="str">
        <f>Données!B40</f>
        <v>Bournens</v>
      </c>
      <c r="C46" s="26">
        <f>Ecrêtage!C40</f>
        <v>19974.836617647059</v>
      </c>
      <c r="D46" s="12">
        <f>Données!Z40</f>
        <v>514</v>
      </c>
      <c r="E46" s="8">
        <f>Population!K43</f>
        <v>-66318.41046277665</v>
      </c>
      <c r="F46" s="236">
        <f>Solidarité!I40</f>
        <v>-91004.319775748925</v>
      </c>
      <c r="G46" s="8">
        <f>DT!O40</f>
        <v>0</v>
      </c>
      <c r="H46" s="236">
        <f>Effort!K40+Aide!I40+Taux!J40</f>
        <v>0</v>
      </c>
      <c r="I46" s="313">
        <f t="shared" si="1"/>
        <v>-157322.73023852558</v>
      </c>
      <c r="J46" s="387">
        <f t="shared" si="2"/>
        <v>383659.92567194614</v>
      </c>
      <c r="K46" s="513">
        <f t="shared" si="3"/>
        <v>226337.19543342057</v>
      </c>
    </row>
    <row r="47" spans="1:11" x14ac:dyDescent="0.25">
      <c r="A47" s="38">
        <f>Données!A41</f>
        <v>5473</v>
      </c>
      <c r="B47" s="27" t="str">
        <f>Données!B41</f>
        <v>Boussens</v>
      </c>
      <c r="C47" s="26">
        <f>Ecrêtage!C41</f>
        <v>42017.076666666668</v>
      </c>
      <c r="D47" s="12">
        <f>Données!Z41</f>
        <v>1010</v>
      </c>
      <c r="E47" s="8">
        <f>Population!K44</f>
        <v>-132636.8209255533</v>
      </c>
      <c r="F47" s="236">
        <f>Solidarité!I41</f>
        <v>-120285.96507335149</v>
      </c>
      <c r="G47" s="8">
        <f>DT!O41</f>
        <v>0</v>
      </c>
      <c r="H47" s="236">
        <f>Effort!K41+Aide!I41+Taux!J41</f>
        <v>0</v>
      </c>
      <c r="I47" s="313">
        <f t="shared" si="1"/>
        <v>-252922.78599890479</v>
      </c>
      <c r="J47" s="387">
        <f t="shared" si="2"/>
        <v>807028.80426286499</v>
      </c>
      <c r="K47" s="513">
        <f t="shared" si="3"/>
        <v>554106.01826396026</v>
      </c>
    </row>
    <row r="48" spans="1:11" x14ac:dyDescent="0.25">
      <c r="A48" s="38">
        <f>Données!A42</f>
        <v>5474</v>
      </c>
      <c r="B48" s="27" t="str">
        <f>Données!B42</f>
        <v>La Chaux (Cossonay)</v>
      </c>
      <c r="C48" s="26">
        <f>Ecrêtage!C42</f>
        <v>13862.516425438596</v>
      </c>
      <c r="D48" s="12">
        <f>Données!Z42</f>
        <v>412</v>
      </c>
      <c r="E48" s="8">
        <f>Population!K45</f>
        <v>-53157.947686116691</v>
      </c>
      <c r="F48" s="236">
        <f>Solidarité!I42</f>
        <v>-140715.57282807608</v>
      </c>
      <c r="G48" s="8">
        <f>DT!O42</f>
        <v>0</v>
      </c>
      <c r="H48" s="236">
        <f>Effort!K42+Aide!I42+Taux!J42</f>
        <v>0</v>
      </c>
      <c r="I48" s="313">
        <f t="shared" si="1"/>
        <v>-193873.52051419276</v>
      </c>
      <c r="J48" s="387">
        <f t="shared" si="2"/>
        <v>266259.60067734448</v>
      </c>
      <c r="K48" s="513">
        <f t="shared" si="3"/>
        <v>72386.080163151724</v>
      </c>
    </row>
    <row r="49" spans="1:11" x14ac:dyDescent="0.25">
      <c r="A49" s="38">
        <f>Données!A43</f>
        <v>5475</v>
      </c>
      <c r="B49" s="27" t="str">
        <f>Données!B43</f>
        <v>Chavannes-le-Veyron</v>
      </c>
      <c r="C49" s="26">
        <f>Ecrêtage!C43</f>
        <v>4297.2048000000004</v>
      </c>
      <c r="D49" s="12">
        <f>Données!Z43</f>
        <v>163</v>
      </c>
      <c r="E49" s="8">
        <f>Population!K46</f>
        <v>-21030.935613682086</v>
      </c>
      <c r="F49" s="236">
        <f>Solidarité!I43</f>
        <v>-80907.20401740697</v>
      </c>
      <c r="G49" s="8">
        <f>DT!O43</f>
        <v>0</v>
      </c>
      <c r="H49" s="236">
        <f>Effort!K43+Aide!I43+Taux!J43</f>
        <v>0</v>
      </c>
      <c r="I49" s="313">
        <f t="shared" si="1"/>
        <v>-101938.13963108906</v>
      </c>
      <c r="J49" s="387">
        <f t="shared" si="2"/>
        <v>82537.109350300932</v>
      </c>
      <c r="K49" s="513">
        <f t="shared" si="3"/>
        <v>-19401.030280788123</v>
      </c>
    </row>
    <row r="50" spans="1:11" x14ac:dyDescent="0.25">
      <c r="A50" s="38">
        <f>Données!A44</f>
        <v>5476</v>
      </c>
      <c r="B50" s="27" t="str">
        <f>Données!B44</f>
        <v>Chevilly</v>
      </c>
      <c r="C50" s="26">
        <f>Ecrêtage!C44</f>
        <v>13558.452965517243</v>
      </c>
      <c r="D50" s="12">
        <f>Données!Z44</f>
        <v>331</v>
      </c>
      <c r="E50" s="8">
        <f>Population!K47</f>
        <v>-42706.991951710253</v>
      </c>
      <c r="F50" s="236">
        <f>Solidarité!I44</f>
        <v>-52010.607883163706</v>
      </c>
      <c r="G50" s="8">
        <f>DT!O44</f>
        <v>0</v>
      </c>
      <c r="H50" s="236">
        <f>Effort!K44+Aide!I44+Taux!J44</f>
        <v>0</v>
      </c>
      <c r="I50" s="313">
        <f t="shared" si="1"/>
        <v>-94717.599834873952</v>
      </c>
      <c r="J50" s="387">
        <f t="shared" si="2"/>
        <v>260419.40450122565</v>
      </c>
      <c r="K50" s="513">
        <f t="shared" si="3"/>
        <v>165701.8046663517</v>
      </c>
    </row>
    <row r="51" spans="1:11" x14ac:dyDescent="0.25">
      <c r="A51" s="38">
        <f>Données!A45</f>
        <v>5477</v>
      </c>
      <c r="B51" s="27" t="str">
        <f>Données!B45</f>
        <v>Cossonay</v>
      </c>
      <c r="C51" s="26">
        <f>Ecrêtage!C45</f>
        <v>151490.5288235294</v>
      </c>
      <c r="D51" s="12">
        <f>Données!Z45</f>
        <v>4390</v>
      </c>
      <c r="E51" s="8">
        <f>Population!K48</f>
        <v>-1568933.6016096575</v>
      </c>
      <c r="F51" s="236">
        <f>Solidarité!I45</f>
        <v>-1130457.3173157186</v>
      </c>
      <c r="G51" s="8">
        <f>DT!O45</f>
        <v>0</v>
      </c>
      <c r="H51" s="236">
        <f>Effort!K45+Aide!I45+Taux!J45</f>
        <v>0</v>
      </c>
      <c r="I51" s="313">
        <f t="shared" si="1"/>
        <v>-2699390.9189253761</v>
      </c>
      <c r="J51" s="387">
        <f t="shared" si="2"/>
        <v>2909703.1500668898</v>
      </c>
      <c r="K51" s="513">
        <f t="shared" si="3"/>
        <v>210312.23114151368</v>
      </c>
    </row>
    <row r="52" spans="1:11" x14ac:dyDescent="0.25">
      <c r="A52" s="38">
        <f>Données!A46</f>
        <v>5479</v>
      </c>
      <c r="B52" s="27" t="str">
        <f>Données!B46</f>
        <v>Cuarnens</v>
      </c>
      <c r="C52" s="26">
        <f>Ecrêtage!C46</f>
        <v>14331.337792207793</v>
      </c>
      <c r="D52" s="12">
        <f>Données!Z46</f>
        <v>545</v>
      </c>
      <c r="E52" s="8">
        <f>Population!K49</f>
        <v>-70318.158953722319</v>
      </c>
      <c r="F52" s="236">
        <f>Solidarité!I46</f>
        <v>-286005.64598183654</v>
      </c>
      <c r="G52" s="8">
        <f>DT!O46</f>
        <v>0</v>
      </c>
      <c r="H52" s="236">
        <f>Effort!K46+Aide!I46+Taux!J46</f>
        <v>0</v>
      </c>
      <c r="I52" s="313">
        <f t="shared" si="1"/>
        <v>-356323.80493555887</v>
      </c>
      <c r="J52" s="387">
        <f t="shared" si="2"/>
        <v>275264.32868444035</v>
      </c>
      <c r="K52" s="513">
        <f t="shared" si="3"/>
        <v>-81059.476251118525</v>
      </c>
    </row>
    <row r="53" spans="1:11" x14ac:dyDescent="0.25">
      <c r="A53" s="38">
        <f>Données!A47</f>
        <v>5480</v>
      </c>
      <c r="B53" s="27" t="str">
        <f>Données!B47</f>
        <v>Daillens</v>
      </c>
      <c r="C53" s="26">
        <f>Ecrêtage!C47</f>
        <v>42720.265505050505</v>
      </c>
      <c r="D53" s="12">
        <f>Données!Z47</f>
        <v>1057</v>
      </c>
      <c r="E53" s="8">
        <f>Population!K50</f>
        <v>-149616.39839034202</v>
      </c>
      <c r="F53" s="236">
        <f>Solidarité!I47</f>
        <v>-147681.63276969752</v>
      </c>
      <c r="G53" s="8">
        <f>DT!O47</f>
        <v>0</v>
      </c>
      <c r="H53" s="236">
        <f>Effort!K47+Aide!I47+Taux!J47</f>
        <v>0</v>
      </c>
      <c r="I53" s="313">
        <f t="shared" si="1"/>
        <v>-297298.03116003954</v>
      </c>
      <c r="J53" s="387">
        <f t="shared" si="2"/>
        <v>820535.06629803684</v>
      </c>
      <c r="K53" s="513">
        <f t="shared" si="3"/>
        <v>523237.0351379973</v>
      </c>
    </row>
    <row r="54" spans="1:11" x14ac:dyDescent="0.25">
      <c r="A54" s="38">
        <f>Données!A48</f>
        <v>5481</v>
      </c>
      <c r="B54" s="27" t="str">
        <f>Données!B48</f>
        <v>Dizy</v>
      </c>
      <c r="C54" s="26">
        <f>Ecrêtage!C48</f>
        <v>8552.7156000000014</v>
      </c>
      <c r="D54" s="12">
        <f>Données!Z48</f>
        <v>232</v>
      </c>
      <c r="E54" s="8">
        <f>Population!K51</f>
        <v>-29933.601609657941</v>
      </c>
      <c r="F54" s="236">
        <f>Solidarité!I48</f>
        <v>-60380.682583404792</v>
      </c>
      <c r="G54" s="8">
        <f>DT!O48</f>
        <v>0</v>
      </c>
      <c r="H54" s="236">
        <f>Effort!K48+Aide!I48+Taux!J48</f>
        <v>0</v>
      </c>
      <c r="I54" s="313">
        <f t="shared" si="1"/>
        <v>-90314.284193062733</v>
      </c>
      <c r="J54" s="387">
        <f t="shared" si="2"/>
        <v>164273.39528225991</v>
      </c>
      <c r="K54" s="513">
        <f t="shared" si="3"/>
        <v>73959.111089197177</v>
      </c>
    </row>
    <row r="55" spans="1:11" x14ac:dyDescent="0.25">
      <c r="A55" s="38">
        <f>Données!A49</f>
        <v>5482</v>
      </c>
      <c r="B55" s="27" t="str">
        <f>Données!B49</f>
        <v>Eclépens</v>
      </c>
      <c r="C55" s="26">
        <f>Ecrêtage!C49</f>
        <v>48314.544130434791</v>
      </c>
      <c r="D55" s="12">
        <f>Données!Z49</f>
        <v>1199</v>
      </c>
      <c r="E55" s="8">
        <f>Population!K52</f>
        <v>-200916.39839034202</v>
      </c>
      <c r="F55" s="236">
        <f>Solidarité!I49</f>
        <v>-82601.564934841284</v>
      </c>
      <c r="G55" s="8">
        <f>DT!O49</f>
        <v>0</v>
      </c>
      <c r="H55" s="236">
        <f>Effort!K49+Aide!I49+Taux!J49</f>
        <v>0</v>
      </c>
      <c r="I55" s="313">
        <f t="shared" si="1"/>
        <v>-283517.96332518331</v>
      </c>
      <c r="J55" s="387">
        <f t="shared" si="2"/>
        <v>927985.28292243276</v>
      </c>
      <c r="K55" s="513">
        <f t="shared" si="3"/>
        <v>644467.31959724938</v>
      </c>
    </row>
    <row r="56" spans="1:11" x14ac:dyDescent="0.25">
      <c r="A56" s="38">
        <f>Données!A50</f>
        <v>5483</v>
      </c>
      <c r="B56" s="27" t="str">
        <f>Données!B50</f>
        <v>Ferreyres</v>
      </c>
      <c r="C56" s="26">
        <f>Ecrêtage!C50</f>
        <v>10284.283289473684</v>
      </c>
      <c r="D56" s="12">
        <f>Données!Z50</f>
        <v>308</v>
      </c>
      <c r="E56" s="8">
        <f>Population!K53</f>
        <v>-39739.436619718304</v>
      </c>
      <c r="F56" s="236">
        <f>Solidarité!I50</f>
        <v>-107017.88166528734</v>
      </c>
      <c r="G56" s="8">
        <f>DT!O50</f>
        <v>0</v>
      </c>
      <c r="H56" s="236">
        <f>Effort!K50+Aide!I50+Taux!J50</f>
        <v>0</v>
      </c>
      <c r="I56" s="313">
        <f t="shared" si="1"/>
        <v>-146757.31828500563</v>
      </c>
      <c r="J56" s="387">
        <f t="shared" si="2"/>
        <v>197531.89665355533</v>
      </c>
      <c r="K56" s="513">
        <f t="shared" si="3"/>
        <v>50774.578368549701</v>
      </c>
    </row>
    <row r="57" spans="1:11" x14ac:dyDescent="0.25">
      <c r="A57" s="38">
        <f>Données!A51</f>
        <v>5484</v>
      </c>
      <c r="B57" s="27" t="str">
        <f>Données!B51</f>
        <v>Gollion</v>
      </c>
      <c r="C57" s="26">
        <f>Ecrêtage!C51</f>
        <v>32601.670945945945</v>
      </c>
      <c r="D57" s="12">
        <f>Données!Z51</f>
        <v>1037</v>
      </c>
      <c r="E57" s="8">
        <f>Population!K54</f>
        <v>-142391.04627766597</v>
      </c>
      <c r="F57" s="236">
        <f>Solidarité!I51</f>
        <v>-385906.64731222444</v>
      </c>
      <c r="G57" s="8">
        <f>DT!O51</f>
        <v>0</v>
      </c>
      <c r="H57" s="236">
        <f>Effort!K51+Aide!I51+Taux!J51</f>
        <v>0</v>
      </c>
      <c r="I57" s="313">
        <f t="shared" si="1"/>
        <v>-528297.69358989038</v>
      </c>
      <c r="J57" s="387">
        <f t="shared" si="2"/>
        <v>626185.57995375711</v>
      </c>
      <c r="K57" s="513">
        <f t="shared" si="3"/>
        <v>97887.886363866739</v>
      </c>
    </row>
    <row r="58" spans="1:11" x14ac:dyDescent="0.25">
      <c r="A58" s="38">
        <f>Données!A52</f>
        <v>5485</v>
      </c>
      <c r="B58" s="27" t="str">
        <f>Données!B52</f>
        <v>Grancy</v>
      </c>
      <c r="C58" s="26">
        <f>Ecrêtage!C52</f>
        <v>18961.380428571429</v>
      </c>
      <c r="D58" s="12">
        <f>Données!Z52</f>
        <v>490</v>
      </c>
      <c r="E58" s="8">
        <f>Population!K55</f>
        <v>-63221.830985915476</v>
      </c>
      <c r="F58" s="236">
        <f>Solidarité!I52</f>
        <v>-93515.361854727511</v>
      </c>
      <c r="G58" s="8">
        <f>DT!O52</f>
        <v>0</v>
      </c>
      <c r="H58" s="236">
        <f>Effort!K52+Aide!I52+Taux!J52</f>
        <v>0</v>
      </c>
      <c r="I58" s="313">
        <f t="shared" si="1"/>
        <v>-156737.19284064299</v>
      </c>
      <c r="J58" s="387">
        <f t="shared" si="2"/>
        <v>364194.30832471745</v>
      </c>
      <c r="K58" s="513">
        <f t="shared" si="3"/>
        <v>207457.11548407446</v>
      </c>
    </row>
    <row r="59" spans="1:11" x14ac:dyDescent="0.25">
      <c r="A59" s="38">
        <f>Données!A53</f>
        <v>5486</v>
      </c>
      <c r="B59" s="27" t="str">
        <f>Données!B53</f>
        <v>L'Isle</v>
      </c>
      <c r="C59" s="26">
        <f>Ecrêtage!C53</f>
        <v>34756.215466666676</v>
      </c>
      <c r="D59" s="12">
        <f>Données!Z53</f>
        <v>1095</v>
      </c>
      <c r="E59" s="8">
        <f>Population!K56</f>
        <v>-163344.56740442652</v>
      </c>
      <c r="F59" s="236">
        <f>Solidarité!I53</f>
        <v>-411134.27222147089</v>
      </c>
      <c r="G59" s="8">
        <f>DT!O53</f>
        <v>0</v>
      </c>
      <c r="H59" s="236">
        <f>Effort!K53+Aide!I53+Taux!J53</f>
        <v>0</v>
      </c>
      <c r="I59" s="313">
        <f t="shared" si="1"/>
        <v>-574478.83962589735</v>
      </c>
      <c r="J59" s="387">
        <f t="shared" si="2"/>
        <v>667568.26590505708</v>
      </c>
      <c r="K59" s="513">
        <f t="shared" si="3"/>
        <v>93089.426279159728</v>
      </c>
    </row>
    <row r="60" spans="1:11" x14ac:dyDescent="0.25">
      <c r="A60" s="38">
        <f>Données!A54</f>
        <v>5487</v>
      </c>
      <c r="B60" s="27" t="str">
        <f>Données!B54</f>
        <v>Lussery-Villars</v>
      </c>
      <c r="C60" s="26">
        <f>Ecrêtage!C54</f>
        <v>12042.619866666666</v>
      </c>
      <c r="D60" s="12">
        <f>Données!Z54</f>
        <v>482</v>
      </c>
      <c r="E60" s="8">
        <f>Population!K57</f>
        <v>-62189.637826961756</v>
      </c>
      <c r="F60" s="236">
        <f>Solidarité!I54</f>
        <v>-254185.10064181566</v>
      </c>
      <c r="G60" s="8">
        <f>DT!O54</f>
        <v>0</v>
      </c>
      <c r="H60" s="236">
        <f>Effort!K54+Aide!I54+Taux!J54</f>
        <v>0</v>
      </c>
      <c r="I60" s="313">
        <f t="shared" si="1"/>
        <v>-316374.73846877739</v>
      </c>
      <c r="J60" s="387">
        <f t="shared" si="2"/>
        <v>231304.55239163208</v>
      </c>
      <c r="K60" s="513">
        <f t="shared" si="3"/>
        <v>-85070.186077145307</v>
      </c>
    </row>
    <row r="61" spans="1:11" x14ac:dyDescent="0.25">
      <c r="A61" s="38">
        <f>Données!A55</f>
        <v>5488</v>
      </c>
      <c r="B61" s="27" t="str">
        <f>Données!B55</f>
        <v>Mauraz</v>
      </c>
      <c r="C61" s="26">
        <f>Ecrêtage!C55</f>
        <v>2131.6062337662343</v>
      </c>
      <c r="D61" s="12">
        <f>Données!Z55</f>
        <v>65</v>
      </c>
      <c r="E61" s="8">
        <f>Population!K58</f>
        <v>-8386.5694164989927</v>
      </c>
      <c r="F61" s="236">
        <f>Solidarité!I55</f>
        <v>-24102.110989185148</v>
      </c>
      <c r="G61" s="8">
        <f>DT!O55</f>
        <v>0</v>
      </c>
      <c r="H61" s="236">
        <f>Effort!K55+Aide!I55+Taux!J55</f>
        <v>0</v>
      </c>
      <c r="I61" s="313">
        <f t="shared" si="1"/>
        <v>-32488.680405684143</v>
      </c>
      <c r="J61" s="387">
        <f t="shared" si="2"/>
        <v>40942.106554508828</v>
      </c>
      <c r="K61" s="513">
        <f t="shared" si="3"/>
        <v>8453.4261488246848</v>
      </c>
    </row>
    <row r="62" spans="1:11" x14ac:dyDescent="0.25">
      <c r="A62" s="38">
        <f>Données!A56</f>
        <v>5489</v>
      </c>
      <c r="B62" s="27" t="str">
        <f>Données!B56</f>
        <v>Mex</v>
      </c>
      <c r="C62" s="26">
        <f>Ecrêtage!C56</f>
        <v>60740.368067226897</v>
      </c>
      <c r="D62" s="12">
        <f>Données!Z56</f>
        <v>817</v>
      </c>
      <c r="E62" s="8">
        <f>Population!K59</f>
        <v>-105412.72635814887</v>
      </c>
      <c r="F62" s="236">
        <f>Solidarité!I56</f>
        <v>0</v>
      </c>
      <c r="G62" s="8">
        <f>DT!O56</f>
        <v>0</v>
      </c>
      <c r="H62" s="236">
        <f>Effort!K56+Aide!I56+Taux!J56</f>
        <v>0</v>
      </c>
      <c r="I62" s="313">
        <f t="shared" si="1"/>
        <v>-105412.72635814887</v>
      </c>
      <c r="J62" s="387">
        <f t="shared" si="2"/>
        <v>1166650.0980223778</v>
      </c>
      <c r="K62" s="513">
        <f t="shared" si="3"/>
        <v>1061237.3716642288</v>
      </c>
    </row>
    <row r="63" spans="1:11" x14ac:dyDescent="0.25">
      <c r="A63" s="38">
        <f>Données!A57</f>
        <v>5490</v>
      </c>
      <c r="B63" s="27" t="str">
        <f>Données!B57</f>
        <v>Moiry</v>
      </c>
      <c r="C63" s="26">
        <f>Ecrêtage!C57</f>
        <v>8460.9523376623383</v>
      </c>
      <c r="D63" s="12">
        <f>Données!Z57</f>
        <v>296</v>
      </c>
      <c r="E63" s="8">
        <f>Population!K60</f>
        <v>-38191.146881287721</v>
      </c>
      <c r="F63" s="236">
        <f>Solidarité!I57</f>
        <v>-139284.73989187062</v>
      </c>
      <c r="G63" s="8">
        <f>DT!O57</f>
        <v>0</v>
      </c>
      <c r="H63" s="236">
        <f>Effort!K57+Aide!I57+Taux!J57</f>
        <v>0</v>
      </c>
      <c r="I63" s="313">
        <f t="shared" si="1"/>
        <v>-177475.88677315833</v>
      </c>
      <c r="J63" s="387">
        <f t="shared" si="2"/>
        <v>162510.88342387605</v>
      </c>
      <c r="K63" s="513">
        <f t="shared" si="3"/>
        <v>-14965.003349282284</v>
      </c>
    </row>
    <row r="64" spans="1:11" x14ac:dyDescent="0.25">
      <c r="A64" s="38">
        <f>Données!A58</f>
        <v>5491</v>
      </c>
      <c r="B64" s="27" t="str">
        <f>Données!B58</f>
        <v>Mont-la-Ville</v>
      </c>
      <c r="C64" s="26">
        <f>Ecrêtage!C58</f>
        <v>13842.217236842105</v>
      </c>
      <c r="D64" s="12">
        <f>Données!Z58</f>
        <v>502</v>
      </c>
      <c r="E64" s="8">
        <f>Population!K61</f>
        <v>-64770.120724346059</v>
      </c>
      <c r="F64" s="236">
        <f>Solidarité!I58</f>
        <v>-241830.20164735569</v>
      </c>
      <c r="G64" s="8">
        <f>DT!O58</f>
        <v>0</v>
      </c>
      <c r="H64" s="236">
        <f>Effort!K58+Aide!I58+Taux!J58</f>
        <v>0</v>
      </c>
      <c r="I64" s="313">
        <f t="shared" si="1"/>
        <v>-306600.32237170177</v>
      </c>
      <c r="J64" s="387">
        <f t="shared" si="2"/>
        <v>265869.71087062388</v>
      </c>
      <c r="K64" s="513">
        <f t="shared" si="3"/>
        <v>-40730.611501077889</v>
      </c>
    </row>
    <row r="65" spans="1:11" x14ac:dyDescent="0.25">
      <c r="A65" s="38">
        <f>Données!A59</f>
        <v>5492</v>
      </c>
      <c r="B65" s="27" t="str">
        <f>Données!B59</f>
        <v>Montricher</v>
      </c>
      <c r="C65" s="26">
        <f>Ecrêtage!C59</f>
        <v>149907.58062499994</v>
      </c>
      <c r="D65" s="12">
        <f>Données!Z59</f>
        <v>979</v>
      </c>
      <c r="E65" s="8">
        <f>Population!K62</f>
        <v>-126314.63782696174</v>
      </c>
      <c r="F65" s="236">
        <f>Solidarité!I59</f>
        <v>0</v>
      </c>
      <c r="G65" s="8">
        <f>DT!O59</f>
        <v>0</v>
      </c>
      <c r="H65" s="236">
        <f>Effort!K59+Aide!I59+Taux!J59</f>
        <v>-116036.58167655875</v>
      </c>
      <c r="I65" s="313">
        <f t="shared" si="1"/>
        <v>-242351.21950352049</v>
      </c>
      <c r="J65" s="387">
        <f t="shared" si="2"/>
        <v>2879299.2073555985</v>
      </c>
      <c r="K65" s="513">
        <f t="shared" si="3"/>
        <v>2636947.9878520779</v>
      </c>
    </row>
    <row r="66" spans="1:11" x14ac:dyDescent="0.25">
      <c r="A66" s="38">
        <f>Données!A60</f>
        <v>5493</v>
      </c>
      <c r="B66" s="27" t="str">
        <f>Données!B60</f>
        <v>Orny</v>
      </c>
      <c r="C66" s="26">
        <f>Ecrêtage!C60</f>
        <v>14635.830579557431</v>
      </c>
      <c r="D66" s="12">
        <f>Données!Z60</f>
        <v>484</v>
      </c>
      <c r="E66" s="8">
        <f>Population!K63</f>
        <v>-62447.686116700184</v>
      </c>
      <c r="F66" s="236">
        <f>Solidarité!I60</f>
        <v>-187640.8095579604</v>
      </c>
      <c r="G66" s="8">
        <f>DT!O60</f>
        <v>0</v>
      </c>
      <c r="H66" s="236">
        <f>Effort!K60+Aide!I60+Taux!J60</f>
        <v>0</v>
      </c>
      <c r="I66" s="313">
        <f t="shared" si="1"/>
        <v>-250088.49567466057</v>
      </c>
      <c r="J66" s="387">
        <f t="shared" si="2"/>
        <v>281112.77102208621</v>
      </c>
      <c r="K66" s="513">
        <f t="shared" si="3"/>
        <v>31024.275347425631</v>
      </c>
    </row>
    <row r="67" spans="1:11" x14ac:dyDescent="0.25">
      <c r="A67" s="38">
        <f>Données!A61</f>
        <v>5495</v>
      </c>
      <c r="B67" s="27" t="str">
        <f>Données!B61</f>
        <v>Penthalaz</v>
      </c>
      <c r="C67" s="26">
        <f>Ecrêtage!C61</f>
        <v>103056.57202702702</v>
      </c>
      <c r="D67" s="12">
        <f>Données!Z61</f>
        <v>3216</v>
      </c>
      <c r="E67" s="8">
        <f>Population!K64</f>
        <v>-963036.21730382275</v>
      </c>
      <c r="F67" s="236">
        <f>Solidarité!I61</f>
        <v>-1154104.8391701155</v>
      </c>
      <c r="G67" s="8">
        <f>DT!O61</f>
        <v>0</v>
      </c>
      <c r="H67" s="236">
        <f>Effort!K61+Aide!I61+Taux!J61</f>
        <v>0</v>
      </c>
      <c r="I67" s="313">
        <f t="shared" si="1"/>
        <v>-2117141.0564739383</v>
      </c>
      <c r="J67" s="387">
        <f t="shared" si="2"/>
        <v>1979424.2887055075</v>
      </c>
      <c r="K67" s="513">
        <f t="shared" si="3"/>
        <v>-137716.76776843076</v>
      </c>
    </row>
    <row r="68" spans="1:11" x14ac:dyDescent="0.25">
      <c r="A68" s="38">
        <f>Données!A62</f>
        <v>5496</v>
      </c>
      <c r="B68" s="27" t="str">
        <f>Données!B62</f>
        <v>Penthaz</v>
      </c>
      <c r="C68" s="26">
        <f>Ecrêtage!C62</f>
        <v>61651.518705035967</v>
      </c>
      <c r="D68" s="12">
        <f>Données!Z62</f>
        <v>1923</v>
      </c>
      <c r="E68" s="8">
        <f>Population!K65</f>
        <v>-462474.1448692152</v>
      </c>
      <c r="F68" s="236">
        <f>Solidarité!I62</f>
        <v>-608154.69442795357</v>
      </c>
      <c r="G68" s="8">
        <f>DT!O62</f>
        <v>0</v>
      </c>
      <c r="H68" s="236">
        <f>Effort!K62+Aide!I62+Taux!J62</f>
        <v>0</v>
      </c>
      <c r="I68" s="313">
        <f t="shared" si="1"/>
        <v>-1070628.8392971689</v>
      </c>
      <c r="J68" s="387">
        <f t="shared" si="2"/>
        <v>1184150.7160584193</v>
      </c>
      <c r="K68" s="513">
        <f t="shared" si="3"/>
        <v>113521.87676125043</v>
      </c>
    </row>
    <row r="69" spans="1:11" x14ac:dyDescent="0.25">
      <c r="A69" s="38">
        <f>Données!A63</f>
        <v>5497</v>
      </c>
      <c r="B69" s="27" t="str">
        <f>Données!B63</f>
        <v>Pompaples</v>
      </c>
      <c r="C69" s="26">
        <f>Ecrêtage!C63</f>
        <v>22949.830606060608</v>
      </c>
      <c r="D69" s="12">
        <f>Données!Z63</f>
        <v>860</v>
      </c>
      <c r="E69" s="8">
        <f>Population!K66</f>
        <v>-110960.76458752513</v>
      </c>
      <c r="F69" s="236">
        <f>Solidarité!I63</f>
        <v>-325739.39158523449</v>
      </c>
      <c r="G69" s="8">
        <f>DT!O63</f>
        <v>0</v>
      </c>
      <c r="H69" s="236">
        <f>Effort!K63+Aide!I63+Taux!J63</f>
        <v>0</v>
      </c>
      <c r="I69" s="313">
        <f t="shared" si="1"/>
        <v>-436700.1561727596</v>
      </c>
      <c r="J69" s="387">
        <f t="shared" si="2"/>
        <v>440801.11757840985</v>
      </c>
      <c r="K69" s="513">
        <f t="shared" si="3"/>
        <v>4100.9614056502469</v>
      </c>
    </row>
    <row r="70" spans="1:11" x14ac:dyDescent="0.25">
      <c r="A70" s="38">
        <f>Données!A64</f>
        <v>5498</v>
      </c>
      <c r="B70" s="27" t="str">
        <f>Données!B64</f>
        <v>La Sarraz</v>
      </c>
      <c r="C70" s="26">
        <f>Ecrêtage!C64</f>
        <v>73743.655606060609</v>
      </c>
      <c r="D70" s="12">
        <f>Données!Z64</f>
        <v>2609</v>
      </c>
      <c r="E70" s="8">
        <f>Population!K67</f>
        <v>-710303.72233400401</v>
      </c>
      <c r="F70" s="236">
        <f>Solidarité!I64</f>
        <v>-916469.04459500406</v>
      </c>
      <c r="G70" s="8">
        <f>DT!O64</f>
        <v>0</v>
      </c>
      <c r="H70" s="236">
        <f>Effort!K64+Aide!I64+Taux!J64</f>
        <v>0</v>
      </c>
      <c r="I70" s="313">
        <f t="shared" si="1"/>
        <v>-1626772.7669290081</v>
      </c>
      <c r="J70" s="387">
        <f t="shared" si="2"/>
        <v>1416406.3501577482</v>
      </c>
      <c r="K70" s="513">
        <f t="shared" si="3"/>
        <v>-210366.41677125986</v>
      </c>
    </row>
    <row r="71" spans="1:11" x14ac:dyDescent="0.25">
      <c r="A71" s="38">
        <f>Données!A65</f>
        <v>5499</v>
      </c>
      <c r="B71" s="27" t="str">
        <f>Données!B65</f>
        <v>Senarclens</v>
      </c>
      <c r="C71" s="26">
        <f>Ecrêtage!C65</f>
        <v>20491.103065693427</v>
      </c>
      <c r="D71" s="12">
        <f>Données!Z65</f>
        <v>496</v>
      </c>
      <c r="E71" s="8">
        <f>Population!K68</f>
        <v>-63995.975855130768</v>
      </c>
      <c r="F71" s="236">
        <f>Solidarité!I65</f>
        <v>-66313.237441952442</v>
      </c>
      <c r="G71" s="8">
        <f>DT!O65</f>
        <v>0</v>
      </c>
      <c r="H71" s="236">
        <f>Effort!K65+Aide!I65+Taux!J65</f>
        <v>0</v>
      </c>
      <c r="I71" s="313">
        <f t="shared" si="1"/>
        <v>-130309.21329708322</v>
      </c>
      <c r="J71" s="387">
        <f t="shared" si="2"/>
        <v>393575.93904796551</v>
      </c>
      <c r="K71" s="513">
        <f t="shared" si="3"/>
        <v>263266.72575088229</v>
      </c>
    </row>
    <row r="72" spans="1:11" x14ac:dyDescent="0.25">
      <c r="A72" s="38">
        <f>Données!A66</f>
        <v>5501</v>
      </c>
      <c r="B72" s="27" t="str">
        <f>Données!B66</f>
        <v>Sullens</v>
      </c>
      <c r="C72" s="26">
        <f>Ecrêtage!C66</f>
        <v>53840.673124999994</v>
      </c>
      <c r="D72" s="12">
        <f>Données!Z66</f>
        <v>1170</v>
      </c>
      <c r="E72" s="8">
        <f>Population!K69</f>
        <v>-190439.63782696173</v>
      </c>
      <c r="F72" s="236">
        <f>Solidarité!I66</f>
        <v>-46429.837987330946</v>
      </c>
      <c r="G72" s="8">
        <f>DT!O66</f>
        <v>0</v>
      </c>
      <c r="H72" s="236">
        <f>Effort!K66+Aide!I66+Taux!J66</f>
        <v>0</v>
      </c>
      <c r="I72" s="313">
        <f t="shared" si="1"/>
        <v>-236869.47581429267</v>
      </c>
      <c r="J72" s="387">
        <f t="shared" si="2"/>
        <v>1034126.5385377798</v>
      </c>
      <c r="K72" s="513">
        <f t="shared" si="3"/>
        <v>797257.06272348715</v>
      </c>
    </row>
    <row r="73" spans="1:11" x14ac:dyDescent="0.25">
      <c r="A73" s="38">
        <f>Données!A67</f>
        <v>5503</v>
      </c>
      <c r="B73" s="27" t="str">
        <f>Données!B67</f>
        <v>Vufflens-la-Ville</v>
      </c>
      <c r="C73" s="26">
        <f>Ecrêtage!C67</f>
        <v>75222.663980099518</v>
      </c>
      <c r="D73" s="12">
        <f>Données!Z67</f>
        <v>1334</v>
      </c>
      <c r="E73" s="8">
        <f>Population!K70</f>
        <v>-249687.52515090536</v>
      </c>
      <c r="F73" s="236">
        <f>Solidarité!I67</f>
        <v>0</v>
      </c>
      <c r="G73" s="8">
        <f>DT!O67</f>
        <v>0</v>
      </c>
      <c r="H73" s="236">
        <f>Effort!K67+Aide!I67+Taux!J67</f>
        <v>0</v>
      </c>
      <c r="I73" s="313">
        <f t="shared" si="1"/>
        <v>-249687.52515090536</v>
      </c>
      <c r="J73" s="387">
        <f t="shared" si="2"/>
        <v>1444813.9038070552</v>
      </c>
      <c r="K73" s="513">
        <f t="shared" si="3"/>
        <v>1195126.3786561498</v>
      </c>
    </row>
    <row r="74" spans="1:11" x14ac:dyDescent="0.25">
      <c r="A74" s="38">
        <f>Données!A68</f>
        <v>5511</v>
      </c>
      <c r="B74" s="27" t="str">
        <f>Données!B68</f>
        <v>Assens</v>
      </c>
      <c r="C74" s="26">
        <f>Ecrêtage!C68</f>
        <v>72835.778857142868</v>
      </c>
      <c r="D74" s="12">
        <f>Données!Z68</f>
        <v>1669</v>
      </c>
      <c r="E74" s="8">
        <f>Population!K71</f>
        <v>-370712.17303822935</v>
      </c>
      <c r="F74" s="236">
        <f>Solidarité!I68</f>
        <v>-156936.57356473149</v>
      </c>
      <c r="G74" s="8">
        <f>DT!O68</f>
        <v>0</v>
      </c>
      <c r="H74" s="236">
        <f>Effort!K68+Aide!I68+Taux!J68</f>
        <v>0</v>
      </c>
      <c r="I74" s="313">
        <f t="shared" si="1"/>
        <v>-527648.74660296086</v>
      </c>
      <c r="J74" s="387">
        <f t="shared" si="2"/>
        <v>1398968.6142364768</v>
      </c>
      <c r="K74" s="513">
        <f t="shared" si="3"/>
        <v>871319.86763351597</v>
      </c>
    </row>
    <row r="75" spans="1:11" x14ac:dyDescent="0.25">
      <c r="A75" s="38">
        <f>Données!A69</f>
        <v>5512</v>
      </c>
      <c r="B75" s="27" t="str">
        <f>Données!B69</f>
        <v>Bercher</v>
      </c>
      <c r="C75" s="26">
        <f>Ecrêtage!C69</f>
        <v>41198.7282278481</v>
      </c>
      <c r="D75" s="12">
        <f>Données!Z69</f>
        <v>1359</v>
      </c>
      <c r="E75" s="8">
        <f>Population!K72</f>
        <v>-258719.21529175044</v>
      </c>
      <c r="F75" s="236">
        <f>Solidarité!I69</f>
        <v>-614453.57366907259</v>
      </c>
      <c r="G75" s="8">
        <f>DT!O69</f>
        <v>0</v>
      </c>
      <c r="H75" s="236">
        <f>Effort!K69+Aide!I69+Taux!J69</f>
        <v>0</v>
      </c>
      <c r="I75" s="313">
        <f t="shared" si="1"/>
        <v>-873172.78896082309</v>
      </c>
      <c r="J75" s="387">
        <f t="shared" si="2"/>
        <v>791310.65310995362</v>
      </c>
      <c r="K75" s="513">
        <f t="shared" si="3"/>
        <v>-81862.135850869468</v>
      </c>
    </row>
    <row r="76" spans="1:11" x14ac:dyDescent="0.25">
      <c r="A76" s="38">
        <f>Données!A70</f>
        <v>5514</v>
      </c>
      <c r="B76" s="27" t="str">
        <f>Données!B70</f>
        <v>Bottens</v>
      </c>
      <c r="C76" s="26">
        <f>Ecrêtage!C70</f>
        <v>45712.235586206894</v>
      </c>
      <c r="D76" s="12">
        <f>Données!Z70</f>
        <v>1356</v>
      </c>
      <c r="E76" s="8">
        <f>Population!K73</f>
        <v>-257635.41247484903</v>
      </c>
      <c r="F76" s="236">
        <f>Solidarité!I70</f>
        <v>-419628.23408935982</v>
      </c>
      <c r="G76" s="8">
        <f>DT!O70</f>
        <v>0</v>
      </c>
      <c r="H76" s="236">
        <f>Effort!K70+Aide!I70+Taux!J70</f>
        <v>0</v>
      </c>
      <c r="I76" s="313">
        <f t="shared" si="1"/>
        <v>-677263.6465642089</v>
      </c>
      <c r="J76" s="387">
        <f t="shared" si="2"/>
        <v>878002.32077034714</v>
      </c>
      <c r="K76" s="513">
        <f t="shared" si="3"/>
        <v>200738.67420613824</v>
      </c>
    </row>
    <row r="77" spans="1:11" x14ac:dyDescent="0.25">
      <c r="A77" s="38">
        <f>Données!A71</f>
        <v>5515</v>
      </c>
      <c r="B77" s="27" t="str">
        <f>Données!B71</f>
        <v>Bretigny-sur-Morrens</v>
      </c>
      <c r="C77" s="26">
        <f>Ecrêtage!C71</f>
        <v>29285.295897435899</v>
      </c>
      <c r="D77" s="12">
        <f>Données!Z71</f>
        <v>878</v>
      </c>
      <c r="E77" s="8">
        <f>Population!K74</f>
        <v>-113283.19919517101</v>
      </c>
      <c r="F77" s="236">
        <f>Solidarité!I71</f>
        <v>-322106.20214256301</v>
      </c>
      <c r="G77" s="8">
        <f>DT!O71</f>
        <v>0</v>
      </c>
      <c r="H77" s="236">
        <f>Effort!K71+Aide!I71+Taux!J71</f>
        <v>0</v>
      </c>
      <c r="I77" s="313">
        <f t="shared" ref="I77:I140" si="4">SUM(E77:H77)</f>
        <v>-435389.40133773402</v>
      </c>
      <c r="J77" s="387">
        <f t="shared" ref="J77:J140" si="5">C77*$J$11</f>
        <v>562487.42667386611</v>
      </c>
      <c r="K77" s="513">
        <f t="shared" ref="K77:K140" si="6">I77+J77</f>
        <v>127098.02533613209</v>
      </c>
    </row>
    <row r="78" spans="1:11" x14ac:dyDescent="0.25">
      <c r="A78" s="38">
        <f>Données!A72</f>
        <v>5516</v>
      </c>
      <c r="B78" s="27" t="str">
        <f>Données!B72</f>
        <v>Cugy</v>
      </c>
      <c r="C78" s="26">
        <f>Ecrêtage!C72</f>
        <v>110290.24758771928</v>
      </c>
      <c r="D78" s="12">
        <f>Données!Z72</f>
        <v>2699</v>
      </c>
      <c r="E78" s="8">
        <f>Population!K75</f>
        <v>-742817.80684104608</v>
      </c>
      <c r="F78" s="236">
        <f>Solidarité!I72</f>
        <v>-472185.31676414877</v>
      </c>
      <c r="G78" s="8">
        <f>DT!O72</f>
        <v>0</v>
      </c>
      <c r="H78" s="236">
        <f>Effort!K72+Aide!I72+Taux!J72</f>
        <v>0</v>
      </c>
      <c r="I78" s="313">
        <f t="shared" si="4"/>
        <v>-1215003.123605195</v>
      </c>
      <c r="J78" s="387">
        <f t="shared" si="5"/>
        <v>2118362.6680812021</v>
      </c>
      <c r="K78" s="513">
        <f t="shared" si="6"/>
        <v>903359.54447600711</v>
      </c>
    </row>
    <row r="79" spans="1:11" x14ac:dyDescent="0.25">
      <c r="A79" s="38">
        <f>Données!A73</f>
        <v>5518</v>
      </c>
      <c r="B79" s="27" t="str">
        <f>Données!B73</f>
        <v>Echallens</v>
      </c>
      <c r="C79" s="26">
        <f>Ecrêtage!C73</f>
        <v>193282.28662068967</v>
      </c>
      <c r="D79" s="12">
        <f>Données!Z73</f>
        <v>5817</v>
      </c>
      <c r="E79" s="8">
        <f>Population!K76</f>
        <v>-2389733.6016096575</v>
      </c>
      <c r="F79" s="236">
        <f>Solidarité!I73</f>
        <v>-1859270.5550401667</v>
      </c>
      <c r="G79" s="8">
        <f>DT!O73</f>
        <v>0</v>
      </c>
      <c r="H79" s="236">
        <f>Effort!K73+Aide!I73+Taux!J73</f>
        <v>0</v>
      </c>
      <c r="I79" s="313">
        <f t="shared" si="4"/>
        <v>-4249004.1566498242</v>
      </c>
      <c r="J79" s="387">
        <f t="shared" si="5"/>
        <v>3712404.2182695293</v>
      </c>
      <c r="K79" s="513">
        <f t="shared" si="6"/>
        <v>-536599.93838029495</v>
      </c>
    </row>
    <row r="80" spans="1:11" x14ac:dyDescent="0.25">
      <c r="A80" s="38">
        <f>Données!A74</f>
        <v>5520</v>
      </c>
      <c r="B80" s="27" t="str">
        <f>Données!B74</f>
        <v>Essertines-sur-Yverdon</v>
      </c>
      <c r="C80" s="26">
        <f>Ecrêtage!C74</f>
        <v>31422.035945945943</v>
      </c>
      <c r="D80" s="12">
        <f>Données!Z74</f>
        <v>1081</v>
      </c>
      <c r="E80" s="8">
        <f>Population!K77</f>
        <v>-158286.82092555327</v>
      </c>
      <c r="F80" s="236">
        <f>Solidarité!I74</f>
        <v>-458373.46527212212</v>
      </c>
      <c r="G80" s="8">
        <f>DT!O74</f>
        <v>0</v>
      </c>
      <c r="H80" s="236">
        <f>Effort!K74+Aide!I74+Taux!J74</f>
        <v>0</v>
      </c>
      <c r="I80" s="313">
        <f t="shared" si="4"/>
        <v>-616660.28619767539</v>
      </c>
      <c r="J80" s="387">
        <f t="shared" si="5"/>
        <v>603528.13924056548</v>
      </c>
      <c r="K80" s="513">
        <f t="shared" si="6"/>
        <v>-13132.146957109915</v>
      </c>
    </row>
    <row r="81" spans="1:11" x14ac:dyDescent="0.25">
      <c r="A81" s="38">
        <f>Données!A75</f>
        <v>5521</v>
      </c>
      <c r="B81" s="27" t="str">
        <f>Données!B75</f>
        <v>Etagnières</v>
      </c>
      <c r="C81" s="26">
        <f>Ecrêtage!C75</f>
        <v>47189.665890410972</v>
      </c>
      <c r="D81" s="12">
        <f>Données!Z75</f>
        <v>1151</v>
      </c>
      <c r="E81" s="8">
        <f>Population!K78</f>
        <v>-183575.55331991948</v>
      </c>
      <c r="F81" s="236">
        <f>Solidarité!I75</f>
        <v>-182460.98947032023</v>
      </c>
      <c r="G81" s="8">
        <f>DT!O75</f>
        <v>0</v>
      </c>
      <c r="H81" s="236">
        <f>Effort!K75+Aide!I75+Taux!J75</f>
        <v>0</v>
      </c>
      <c r="I81" s="313">
        <f t="shared" si="4"/>
        <v>-366036.54279023968</v>
      </c>
      <c r="J81" s="387">
        <f t="shared" si="5"/>
        <v>906379.5641764655</v>
      </c>
      <c r="K81" s="513">
        <f t="shared" si="6"/>
        <v>540343.02138622582</v>
      </c>
    </row>
    <row r="82" spans="1:11" x14ac:dyDescent="0.25">
      <c r="A82" s="38">
        <f>Données!A76</f>
        <v>5522</v>
      </c>
      <c r="B82" s="27" t="str">
        <f>Données!B76</f>
        <v>Fey</v>
      </c>
      <c r="C82" s="26">
        <f>Ecrêtage!C76</f>
        <v>24172.463733333334</v>
      </c>
      <c r="D82" s="12">
        <f>Données!Z76</f>
        <v>736</v>
      </c>
      <c r="E82" s="8">
        <f>Population!K79</f>
        <v>-94961.770623742428</v>
      </c>
      <c r="F82" s="236">
        <f>Solidarité!I76</f>
        <v>-258104.93610718928</v>
      </c>
      <c r="G82" s="8">
        <f>DT!O76</f>
        <v>0</v>
      </c>
      <c r="H82" s="236">
        <f>Effort!K76+Aide!I76+Taux!J76</f>
        <v>0</v>
      </c>
      <c r="I82" s="313">
        <f t="shared" si="4"/>
        <v>-353066.70673093171</v>
      </c>
      <c r="J82" s="387">
        <f t="shared" si="5"/>
        <v>464284.43029392423</v>
      </c>
      <c r="K82" s="513">
        <f t="shared" si="6"/>
        <v>111217.72356299253</v>
      </c>
    </row>
    <row r="83" spans="1:11" x14ac:dyDescent="0.25">
      <c r="A83" s="38">
        <f>Données!A77</f>
        <v>5523</v>
      </c>
      <c r="B83" s="27" t="str">
        <f>Données!B77</f>
        <v>Froideville</v>
      </c>
      <c r="C83" s="26">
        <f>Ecrêtage!C77</f>
        <v>92231.307222222211</v>
      </c>
      <c r="D83" s="12">
        <f>Données!Z77</f>
        <v>2720</v>
      </c>
      <c r="E83" s="8">
        <f>Population!K80</f>
        <v>-750404.42655935604</v>
      </c>
      <c r="F83" s="236">
        <f>Solidarité!I77</f>
        <v>-819032.8435837006</v>
      </c>
      <c r="G83" s="8">
        <f>DT!O77</f>
        <v>0</v>
      </c>
      <c r="H83" s="236">
        <f>Effort!K77+Aide!I77+Taux!J77</f>
        <v>0</v>
      </c>
      <c r="I83" s="313">
        <f t="shared" si="4"/>
        <v>-1569437.2701430568</v>
      </c>
      <c r="J83" s="387">
        <f t="shared" si="5"/>
        <v>1771501.6723712478</v>
      </c>
      <c r="K83" s="513">
        <f t="shared" si="6"/>
        <v>202064.40222819103</v>
      </c>
    </row>
    <row r="84" spans="1:11" x14ac:dyDescent="0.25">
      <c r="A84" s="38">
        <f>Données!A78</f>
        <v>5527</v>
      </c>
      <c r="B84" s="27" t="str">
        <f>Données!B78</f>
        <v>Morrens</v>
      </c>
      <c r="C84" s="26">
        <f>Ecrêtage!C78</f>
        <v>40722.505675675682</v>
      </c>
      <c r="D84" s="12">
        <f>Données!Z78</f>
        <v>1172</v>
      </c>
      <c r="E84" s="8">
        <f>Population!K81</f>
        <v>-191162.17303822935</v>
      </c>
      <c r="F84" s="236">
        <f>Solidarité!I78</f>
        <v>-351300.14907868684</v>
      </c>
      <c r="G84" s="8">
        <f>DT!O78</f>
        <v>0</v>
      </c>
      <c r="H84" s="236">
        <f>Effort!K78+Aide!I78+Taux!J78</f>
        <v>0</v>
      </c>
      <c r="I84" s="313">
        <f t="shared" si="4"/>
        <v>-542462.32211691618</v>
      </c>
      <c r="J84" s="387">
        <f t="shared" si="5"/>
        <v>782163.76933477633</v>
      </c>
      <c r="K84" s="513">
        <f t="shared" si="6"/>
        <v>239701.44721786014</v>
      </c>
    </row>
    <row r="85" spans="1:11" x14ac:dyDescent="0.25">
      <c r="A85" s="38">
        <f>Données!A79</f>
        <v>5529</v>
      </c>
      <c r="B85" s="27" t="str">
        <f>Données!B79</f>
        <v>Oulens-sous-Echallens</v>
      </c>
      <c r="C85" s="26">
        <f>Ecrêtage!C79</f>
        <v>22677.013380281693</v>
      </c>
      <c r="D85" s="12">
        <f>Données!Z79</f>
        <v>606</v>
      </c>
      <c r="E85" s="8">
        <f>Population!K82</f>
        <v>-78188.631790744446</v>
      </c>
      <c r="F85" s="236">
        <f>Solidarité!I79</f>
        <v>-134559.50261902835</v>
      </c>
      <c r="G85" s="8">
        <f>DT!O79</f>
        <v>0</v>
      </c>
      <c r="H85" s="236">
        <f>Effort!K79+Aide!I79+Taux!J79</f>
        <v>0</v>
      </c>
      <c r="I85" s="313">
        <f t="shared" si="4"/>
        <v>-212748.13440977281</v>
      </c>
      <c r="J85" s="387">
        <f t="shared" si="5"/>
        <v>435561.07288778678</v>
      </c>
      <c r="K85" s="513">
        <f t="shared" si="6"/>
        <v>222812.93847801397</v>
      </c>
    </row>
    <row r="86" spans="1:11" x14ac:dyDescent="0.25">
      <c r="A86" s="38">
        <f>Données!A80</f>
        <v>5530</v>
      </c>
      <c r="B86" s="27" t="str">
        <f>Données!B80</f>
        <v>Pailly</v>
      </c>
      <c r="C86" s="26">
        <f>Ecrêtage!C80</f>
        <v>20112.17390350877</v>
      </c>
      <c r="D86" s="12">
        <f>Données!Z80</f>
        <v>566</v>
      </c>
      <c r="E86" s="8">
        <f>Population!K83</f>
        <v>-73027.66599597584</v>
      </c>
      <c r="F86" s="236">
        <f>Solidarité!I80</f>
        <v>-168657.24410244843</v>
      </c>
      <c r="G86" s="8">
        <f>DT!O80</f>
        <v>0</v>
      </c>
      <c r="H86" s="236">
        <f>Effort!K80+Aide!I80+Taux!J80</f>
        <v>0</v>
      </c>
      <c r="I86" s="313">
        <f t="shared" si="4"/>
        <v>-241684.91009842427</v>
      </c>
      <c r="J86" s="387">
        <f t="shared" si="5"/>
        <v>386297.78518961254</v>
      </c>
      <c r="K86" s="513">
        <f t="shared" si="6"/>
        <v>144612.87509118827</v>
      </c>
    </row>
    <row r="87" spans="1:11" x14ac:dyDescent="0.25">
      <c r="A87" s="38">
        <f>Données!A81</f>
        <v>5531</v>
      </c>
      <c r="B87" s="27" t="str">
        <f>Données!B81</f>
        <v>Penthéréaz</v>
      </c>
      <c r="C87" s="26">
        <f>Ecrêtage!C81</f>
        <v>17299.306216216217</v>
      </c>
      <c r="D87" s="12">
        <f>Données!Z81</f>
        <v>433</v>
      </c>
      <c r="E87" s="8">
        <f>Population!K84</f>
        <v>-55867.454728370212</v>
      </c>
      <c r="F87" s="236">
        <f>Solidarité!I81</f>
        <v>-80452.948352832129</v>
      </c>
      <c r="G87" s="8">
        <f>DT!O81</f>
        <v>0</v>
      </c>
      <c r="H87" s="236">
        <f>Effort!K81+Aide!I81+Taux!J81</f>
        <v>0</v>
      </c>
      <c r="I87" s="313">
        <f t="shared" si="4"/>
        <v>-136320.40308120236</v>
      </c>
      <c r="J87" s="387">
        <f t="shared" si="5"/>
        <v>332270.57943623688</v>
      </c>
      <c r="K87" s="513">
        <f t="shared" si="6"/>
        <v>195950.17635503452</v>
      </c>
    </row>
    <row r="88" spans="1:11" x14ac:dyDescent="0.25">
      <c r="A88" s="38">
        <f>Données!A82</f>
        <v>5533</v>
      </c>
      <c r="B88" s="27" t="str">
        <f>Données!B82</f>
        <v>Poliez-Pittet</v>
      </c>
      <c r="C88" s="26">
        <f>Ecrêtage!C82</f>
        <v>28012.381095890411</v>
      </c>
      <c r="D88" s="12">
        <f>Données!Z82</f>
        <v>847</v>
      </c>
      <c r="E88" s="8">
        <f>Population!K85</f>
        <v>-109283.45070422532</v>
      </c>
      <c r="F88" s="236">
        <f>Solidarité!I82</f>
        <v>-277261.42196076585</v>
      </c>
      <c r="G88" s="8">
        <f>DT!O82</f>
        <v>0</v>
      </c>
      <c r="H88" s="236">
        <f>Effort!K82+Aide!I82+Taux!J82</f>
        <v>0</v>
      </c>
      <c r="I88" s="313">
        <f t="shared" si="4"/>
        <v>-386544.87266499118</v>
      </c>
      <c r="J88" s="387">
        <f t="shared" si="5"/>
        <v>538038.34568783152</v>
      </c>
      <c r="K88" s="513">
        <f t="shared" si="6"/>
        <v>151493.47302284034</v>
      </c>
    </row>
    <row r="89" spans="1:11" x14ac:dyDescent="0.25">
      <c r="A89" s="38">
        <f>Données!A83</f>
        <v>5534</v>
      </c>
      <c r="B89" s="27" t="str">
        <f>Données!B83</f>
        <v>Rueyres</v>
      </c>
      <c r="C89" s="26">
        <f>Ecrêtage!C83</f>
        <v>15042.055228310503</v>
      </c>
      <c r="D89" s="12">
        <f>Données!Z83</f>
        <v>303</v>
      </c>
      <c r="E89" s="8">
        <f>Population!K86</f>
        <v>-39094.315895372223</v>
      </c>
      <c r="F89" s="236">
        <f>Solidarité!I83</f>
        <v>0</v>
      </c>
      <c r="G89" s="8">
        <f>DT!O83</f>
        <v>0</v>
      </c>
      <c r="H89" s="236">
        <f>Effort!K83+Aide!I83+Taux!J83</f>
        <v>0</v>
      </c>
      <c r="I89" s="313">
        <f t="shared" si="4"/>
        <v>-39094.315895372223</v>
      </c>
      <c r="J89" s="387">
        <f t="shared" si="5"/>
        <v>288915.1937166992</v>
      </c>
      <c r="K89" s="513">
        <f t="shared" si="6"/>
        <v>249820.87782132698</v>
      </c>
    </row>
    <row r="90" spans="1:11" x14ac:dyDescent="0.25">
      <c r="A90" s="38">
        <f>Données!A84</f>
        <v>5535</v>
      </c>
      <c r="B90" s="27" t="str">
        <f>Données!B84</f>
        <v>Saint-Barthélemy</v>
      </c>
      <c r="C90" s="26">
        <f>Ecrêtage!C84</f>
        <v>25488.94373333333</v>
      </c>
      <c r="D90" s="12">
        <f>Données!Z84</f>
        <v>814</v>
      </c>
      <c r="E90" s="8">
        <f>Population!K87</f>
        <v>-105025.65392354122</v>
      </c>
      <c r="F90" s="236">
        <f>Solidarité!I84</f>
        <v>-313454.40104329219</v>
      </c>
      <c r="G90" s="8">
        <f>DT!O84</f>
        <v>0</v>
      </c>
      <c r="H90" s="236">
        <f>Effort!K84+Aide!I84+Taux!J84</f>
        <v>0</v>
      </c>
      <c r="I90" s="313">
        <f t="shared" si="4"/>
        <v>-418480.05496683344</v>
      </c>
      <c r="J90" s="387">
        <f t="shared" si="5"/>
        <v>489570.27511041606</v>
      </c>
      <c r="K90" s="513">
        <f t="shared" si="6"/>
        <v>71090.220143582614</v>
      </c>
    </row>
    <row r="91" spans="1:11" x14ac:dyDescent="0.25">
      <c r="A91" s="38">
        <f>Données!A85</f>
        <v>5537</v>
      </c>
      <c r="B91" s="27" t="str">
        <f>Données!B85</f>
        <v>Villars-le-Terroir</v>
      </c>
      <c r="C91" s="26">
        <f>Ecrêtage!C85</f>
        <v>39164.122763157902</v>
      </c>
      <c r="D91" s="12">
        <f>Données!Z85</f>
        <v>1310</v>
      </c>
      <c r="E91" s="8">
        <f>Population!K88</f>
        <v>-241017.10261569411</v>
      </c>
      <c r="F91" s="236">
        <f>Solidarité!I85</f>
        <v>-560845.49467772141</v>
      </c>
      <c r="G91" s="8">
        <f>DT!O85</f>
        <v>0</v>
      </c>
      <c r="H91" s="236">
        <f>Effort!K85+Aide!I85+Taux!J85</f>
        <v>0</v>
      </c>
      <c r="I91" s="313">
        <f t="shared" si="4"/>
        <v>-801862.59729341557</v>
      </c>
      <c r="J91" s="387">
        <f t="shared" si="5"/>
        <v>752231.65605497162</v>
      </c>
      <c r="K91" s="513">
        <f t="shared" si="6"/>
        <v>-49630.941238443949</v>
      </c>
    </row>
    <row r="92" spans="1:11" x14ac:dyDescent="0.25">
      <c r="A92" s="38">
        <f>Données!A86</f>
        <v>5539</v>
      </c>
      <c r="B92" s="27" t="str">
        <f>Données!B86</f>
        <v>Vuarrens</v>
      </c>
      <c r="C92" s="26">
        <f>Ecrêtage!C86</f>
        <v>34442.458945578233</v>
      </c>
      <c r="D92" s="12">
        <f>Données!Z86</f>
        <v>1106</v>
      </c>
      <c r="E92" s="8">
        <f>Population!K89</f>
        <v>-167318.51106639835</v>
      </c>
      <c r="F92" s="236">
        <f>Solidarité!I86</f>
        <v>-413133.01708883327</v>
      </c>
      <c r="G92" s="8">
        <f>DT!O86</f>
        <v>0</v>
      </c>
      <c r="H92" s="236">
        <f>Effort!K86+Aide!I86+Taux!J86</f>
        <v>0</v>
      </c>
      <c r="I92" s="313">
        <f t="shared" si="4"/>
        <v>-580451.52815523162</v>
      </c>
      <c r="J92" s="387">
        <f t="shared" si="5"/>
        <v>661541.89353145112</v>
      </c>
      <c r="K92" s="513">
        <f t="shared" si="6"/>
        <v>81090.365376219503</v>
      </c>
    </row>
    <row r="93" spans="1:11" x14ac:dyDescent="0.25">
      <c r="A93" s="38">
        <f>Données!A87</f>
        <v>5540</v>
      </c>
      <c r="B93" s="27" t="str">
        <f>Données!B87</f>
        <v>Montilliez</v>
      </c>
      <c r="C93" s="26">
        <f>Ecrêtage!C87</f>
        <v>67464.467689655183</v>
      </c>
      <c r="D93" s="12">
        <f>Données!Z87</f>
        <v>1895</v>
      </c>
      <c r="E93" s="8">
        <f>Population!K90</f>
        <v>-452358.65191146871</v>
      </c>
      <c r="F93" s="236">
        <f>Solidarité!I87</f>
        <v>-511177.89527806581</v>
      </c>
      <c r="G93" s="8">
        <f>DT!O87</f>
        <v>0</v>
      </c>
      <c r="H93" s="236">
        <f>Effort!K87+Aide!I87+Taux!J87</f>
        <v>0</v>
      </c>
      <c r="I93" s="313">
        <f t="shared" si="4"/>
        <v>-963536.54718953453</v>
      </c>
      <c r="J93" s="387">
        <f t="shared" si="5"/>
        <v>1295800.9697282552</v>
      </c>
      <c r="K93" s="513">
        <f t="shared" si="6"/>
        <v>332264.42253872065</v>
      </c>
    </row>
    <row r="94" spans="1:11" x14ac:dyDescent="0.25">
      <c r="A94" s="38">
        <f>Données!A88</f>
        <v>5541</v>
      </c>
      <c r="B94" s="27" t="str">
        <f>Données!B88</f>
        <v>Goumoëns</v>
      </c>
      <c r="C94" s="26">
        <f>Ecrêtage!C88</f>
        <v>41726.211258278148</v>
      </c>
      <c r="D94" s="12">
        <f>Données!Z88</f>
        <v>1175</v>
      </c>
      <c r="E94" s="8">
        <f>Population!K91</f>
        <v>-192245.97585513076</v>
      </c>
      <c r="F94" s="236">
        <f>Solidarité!I88</f>
        <v>-346130.35095291957</v>
      </c>
      <c r="G94" s="8">
        <f>DT!O88</f>
        <v>0</v>
      </c>
      <c r="H94" s="236">
        <f>Effort!K88+Aide!I88+Taux!J88</f>
        <v>0</v>
      </c>
      <c r="I94" s="313">
        <f t="shared" si="4"/>
        <v>-538376.32680805027</v>
      </c>
      <c r="J94" s="387">
        <f t="shared" si="5"/>
        <v>801442.10520249372</v>
      </c>
      <c r="K94" s="513">
        <f t="shared" si="6"/>
        <v>263065.77839444345</v>
      </c>
    </row>
    <row r="95" spans="1:11" x14ac:dyDescent="0.25">
      <c r="A95" s="38">
        <f>Données!A89</f>
        <v>5551</v>
      </c>
      <c r="B95" s="27" t="str">
        <f>Données!B89</f>
        <v>Bonvillars</v>
      </c>
      <c r="C95" s="26">
        <f>Ecrêtage!C89</f>
        <v>18575.023035714283</v>
      </c>
      <c r="D95" s="12">
        <f>Données!Z89</f>
        <v>501</v>
      </c>
      <c r="E95" s="8">
        <f>Population!K92</f>
        <v>-64641.096579476849</v>
      </c>
      <c r="F95" s="236">
        <f>Solidarité!I89</f>
        <v>-71371.120567062666</v>
      </c>
      <c r="G95" s="8">
        <f>DT!O89</f>
        <v>0</v>
      </c>
      <c r="H95" s="236">
        <f>Effort!K89+Aide!I89+Taux!J89</f>
        <v>0</v>
      </c>
      <c r="I95" s="313">
        <f t="shared" si="4"/>
        <v>-136012.21714653951</v>
      </c>
      <c r="J95" s="387">
        <f t="shared" si="5"/>
        <v>356773.47923541098</v>
      </c>
      <c r="K95" s="513">
        <f t="shared" si="6"/>
        <v>220761.26208887147</v>
      </c>
    </row>
    <row r="96" spans="1:11" x14ac:dyDescent="0.25">
      <c r="A96" s="38">
        <f>Données!A90</f>
        <v>5552</v>
      </c>
      <c r="B96" s="27" t="str">
        <f>Données!B90</f>
        <v>Bullet</v>
      </c>
      <c r="C96" s="26">
        <f>Ecrêtage!C90</f>
        <v>19038.952167832165</v>
      </c>
      <c r="D96" s="12">
        <f>Données!Z90</f>
        <v>651</v>
      </c>
      <c r="E96" s="8">
        <f>Population!K93</f>
        <v>-83994.718309859134</v>
      </c>
      <c r="F96" s="236">
        <f>Solidarité!I90</f>
        <v>-255335.82064866921</v>
      </c>
      <c r="G96" s="8">
        <f>DT!O90</f>
        <v>0</v>
      </c>
      <c r="H96" s="236">
        <f>Effort!K90+Aide!I90+Taux!J90</f>
        <v>0</v>
      </c>
      <c r="I96" s="313">
        <f t="shared" si="4"/>
        <v>-339330.53895852831</v>
      </c>
      <c r="J96" s="387">
        <f t="shared" si="5"/>
        <v>365684.24129832309</v>
      </c>
      <c r="K96" s="513">
        <f t="shared" si="6"/>
        <v>26353.702339794778</v>
      </c>
    </row>
    <row r="97" spans="1:11" x14ac:dyDescent="0.25">
      <c r="A97" s="38">
        <f>Données!A91</f>
        <v>5553</v>
      </c>
      <c r="B97" s="27" t="str">
        <f>Données!B91</f>
        <v>Champagne</v>
      </c>
      <c r="C97" s="26">
        <f>Ecrêtage!C91</f>
        <v>38263.796923076923</v>
      </c>
      <c r="D97" s="12">
        <f>Données!Z91</f>
        <v>1077</v>
      </c>
      <c r="E97" s="8">
        <f>Population!K94</f>
        <v>-156841.75050301809</v>
      </c>
      <c r="F97" s="236">
        <f>Solidarité!I91</f>
        <v>-234853.51390612946</v>
      </c>
      <c r="G97" s="8">
        <f>DT!O91</f>
        <v>0</v>
      </c>
      <c r="H97" s="236">
        <f>Effort!K91+Aide!I91+Taux!J91</f>
        <v>0</v>
      </c>
      <c r="I97" s="313">
        <f t="shared" si="4"/>
        <v>-391695.26440914755</v>
      </c>
      <c r="J97" s="387">
        <f t="shared" si="5"/>
        <v>734938.95166404638</v>
      </c>
      <c r="K97" s="513">
        <f t="shared" si="6"/>
        <v>343243.68725489883</v>
      </c>
    </row>
    <row r="98" spans="1:11" x14ac:dyDescent="0.25">
      <c r="A98" s="38">
        <f>Données!A92</f>
        <v>5554</v>
      </c>
      <c r="B98" s="27" t="str">
        <f>Données!B92</f>
        <v>Concise</v>
      </c>
      <c r="C98" s="26">
        <f>Ecrêtage!C92</f>
        <v>33907.166000000005</v>
      </c>
      <c r="D98" s="12">
        <f>Données!Z92</f>
        <v>1002</v>
      </c>
      <c r="E98" s="8">
        <f>Population!K95</f>
        <v>-129746.68008048287</v>
      </c>
      <c r="F98" s="236">
        <f>Solidarité!I92</f>
        <v>-328940.34929389454</v>
      </c>
      <c r="G98" s="8">
        <f>DT!O92</f>
        <v>0</v>
      </c>
      <c r="H98" s="236">
        <f>Effort!K92+Aide!I92+Taux!J92</f>
        <v>0</v>
      </c>
      <c r="I98" s="313">
        <f t="shared" si="4"/>
        <v>-458687.02937437739</v>
      </c>
      <c r="J98" s="387">
        <f t="shared" si="5"/>
        <v>651260.435132346</v>
      </c>
      <c r="K98" s="513">
        <f t="shared" si="6"/>
        <v>192573.40575796861</v>
      </c>
    </row>
    <row r="99" spans="1:11" x14ac:dyDescent="0.25">
      <c r="A99" s="38">
        <f>Données!A93</f>
        <v>5555</v>
      </c>
      <c r="B99" s="27" t="str">
        <f>Données!B93</f>
        <v>Corcelles-près-Concise</v>
      </c>
      <c r="C99" s="26">
        <f>Ecrêtage!C93</f>
        <v>13425.201594202899</v>
      </c>
      <c r="D99" s="12">
        <f>Données!Z93</f>
        <v>412</v>
      </c>
      <c r="E99" s="8">
        <f>Population!K96</f>
        <v>-53157.947686116691</v>
      </c>
      <c r="F99" s="236">
        <f>Solidarité!I93</f>
        <v>-124309.48823407669</v>
      </c>
      <c r="G99" s="8">
        <f>DT!O93</f>
        <v>0</v>
      </c>
      <c r="H99" s="236">
        <f>Effort!K93+Aide!I93+Taux!J93</f>
        <v>0</v>
      </c>
      <c r="I99" s="313">
        <f t="shared" si="4"/>
        <v>-177467.43592019338</v>
      </c>
      <c r="J99" s="387">
        <f t="shared" si="5"/>
        <v>257860.02380676829</v>
      </c>
      <c r="K99" s="513">
        <f t="shared" si="6"/>
        <v>80392.587886574911</v>
      </c>
    </row>
    <row r="100" spans="1:11" x14ac:dyDescent="0.25">
      <c r="A100" s="38">
        <f>Données!A94</f>
        <v>5556</v>
      </c>
      <c r="B100" s="27" t="str">
        <f>Données!B94</f>
        <v>Fiez</v>
      </c>
      <c r="C100" s="26">
        <f>Ecrêtage!C94</f>
        <v>13304.241787439612</v>
      </c>
      <c r="D100" s="12">
        <f>Données!Z94</f>
        <v>436</v>
      </c>
      <c r="E100" s="8">
        <f>Population!K97</f>
        <v>-56254.527162977858</v>
      </c>
      <c r="F100" s="236">
        <f>Solidarité!I94</f>
        <v>-148733.78434411288</v>
      </c>
      <c r="G100" s="8">
        <f>DT!O94</f>
        <v>0</v>
      </c>
      <c r="H100" s="236">
        <f>Effort!K94+Aide!I94+Taux!J94</f>
        <v>0</v>
      </c>
      <c r="I100" s="313">
        <f t="shared" si="4"/>
        <v>-204988.31150709075</v>
      </c>
      <c r="J100" s="387">
        <f t="shared" si="5"/>
        <v>255536.72918561997</v>
      </c>
      <c r="K100" s="513">
        <f t="shared" si="6"/>
        <v>50548.417678529222</v>
      </c>
    </row>
    <row r="101" spans="1:11" x14ac:dyDescent="0.25">
      <c r="A101" s="38">
        <f>Données!A95</f>
        <v>5557</v>
      </c>
      <c r="B101" s="27" t="str">
        <f>Données!B95</f>
        <v>Fontaines-sur-Grandson</v>
      </c>
      <c r="C101" s="26">
        <f>Ecrêtage!C95</f>
        <v>5098.7534782608691</v>
      </c>
      <c r="D101" s="12">
        <f>Données!Z95</f>
        <v>214</v>
      </c>
      <c r="E101" s="8">
        <f>Population!K98</f>
        <v>-27611.167002012065</v>
      </c>
      <c r="F101" s="236">
        <f>Solidarité!I95</f>
        <v>-100238.10049091715</v>
      </c>
      <c r="G101" s="8">
        <f>DT!O95</f>
        <v>0</v>
      </c>
      <c r="H101" s="236">
        <f>Effort!K95+Aide!I95+Taux!J95</f>
        <v>0</v>
      </c>
      <c r="I101" s="313">
        <f t="shared" si="4"/>
        <v>-127849.26749292921</v>
      </c>
      <c r="J101" s="387">
        <f t="shared" si="5"/>
        <v>97932.584778236429</v>
      </c>
      <c r="K101" s="513">
        <f t="shared" si="6"/>
        <v>-29916.682714692783</v>
      </c>
    </row>
    <row r="102" spans="1:11" x14ac:dyDescent="0.25">
      <c r="A102" s="38">
        <f>Données!A96</f>
        <v>5559</v>
      </c>
      <c r="B102" s="27" t="str">
        <f>Données!B96</f>
        <v>Giez</v>
      </c>
      <c r="C102" s="26">
        <f>Ecrêtage!C96</f>
        <v>21011.030606060605</v>
      </c>
      <c r="D102" s="12">
        <f>Données!Z96</f>
        <v>450</v>
      </c>
      <c r="E102" s="8">
        <f>Population!K99</f>
        <v>-58060.86519114687</v>
      </c>
      <c r="F102" s="236">
        <f>Solidarité!I96</f>
        <v>-13714.603223092379</v>
      </c>
      <c r="G102" s="8">
        <f>DT!O96</f>
        <v>0</v>
      </c>
      <c r="H102" s="236">
        <f>Effort!K96+Aide!I96+Taux!J96</f>
        <v>0</v>
      </c>
      <c r="I102" s="313">
        <f t="shared" si="4"/>
        <v>-71775.468414239251</v>
      </c>
      <c r="J102" s="387">
        <f t="shared" si="5"/>
        <v>403562.27161780692</v>
      </c>
      <c r="K102" s="513">
        <f t="shared" si="6"/>
        <v>331786.80320356769</v>
      </c>
    </row>
    <row r="103" spans="1:11" x14ac:dyDescent="0.25">
      <c r="A103" s="38">
        <f>Données!A97</f>
        <v>5560</v>
      </c>
      <c r="B103" s="27" t="str">
        <f>Données!B97</f>
        <v>Grandevent</v>
      </c>
      <c r="C103" s="26">
        <f>Ecrêtage!C97</f>
        <v>8996.1449295774655</v>
      </c>
      <c r="D103" s="12">
        <f>Données!Z97</f>
        <v>237</v>
      </c>
      <c r="E103" s="8">
        <f>Population!K100</f>
        <v>-30578.722334004018</v>
      </c>
      <c r="F103" s="236">
        <f>Solidarité!I97</f>
        <v>-50057.706945930826</v>
      </c>
      <c r="G103" s="8">
        <f>DT!O97</f>
        <v>0</v>
      </c>
      <c r="H103" s="236">
        <f>Effort!K97+Aide!I97+Taux!J97</f>
        <v>0</v>
      </c>
      <c r="I103" s="313">
        <f t="shared" si="4"/>
        <v>-80636.429279934848</v>
      </c>
      <c r="J103" s="387">
        <f t="shared" si="5"/>
        <v>172790.41431390247</v>
      </c>
      <c r="K103" s="513">
        <f t="shared" si="6"/>
        <v>92153.98503396762</v>
      </c>
    </row>
    <row r="104" spans="1:11" x14ac:dyDescent="0.25">
      <c r="A104" s="38">
        <f>Données!A98</f>
        <v>5561</v>
      </c>
      <c r="B104" s="27" t="str">
        <f>Données!B98</f>
        <v>Grandson</v>
      </c>
      <c r="C104" s="26">
        <f>Ecrêtage!C98</f>
        <v>132376.08594202899</v>
      </c>
      <c r="D104" s="12">
        <f>Données!Z98</f>
        <v>3359</v>
      </c>
      <c r="E104" s="8">
        <f>Population!K101</f>
        <v>-1036838.0281690138</v>
      </c>
      <c r="F104" s="236">
        <f>Solidarité!I98</f>
        <v>-577320.05973055819</v>
      </c>
      <c r="G104" s="8">
        <f>DT!O98</f>
        <v>0</v>
      </c>
      <c r="H104" s="236">
        <f>Effort!K98+Aide!I98+Taux!J98</f>
        <v>0</v>
      </c>
      <c r="I104" s="313">
        <f t="shared" si="4"/>
        <v>-1614158.087899572</v>
      </c>
      <c r="J104" s="387">
        <f t="shared" si="5"/>
        <v>2542568.9463909375</v>
      </c>
      <c r="K104" s="513">
        <f t="shared" si="6"/>
        <v>928410.85849136556</v>
      </c>
    </row>
    <row r="105" spans="1:11" x14ac:dyDescent="0.25">
      <c r="A105" s="38">
        <f>Données!A99</f>
        <v>5562</v>
      </c>
      <c r="B105" s="27" t="str">
        <f>Données!B99</f>
        <v>Mauborget</v>
      </c>
      <c r="C105" s="26">
        <f>Ecrêtage!C99</f>
        <v>4559.8505476190467</v>
      </c>
      <c r="D105" s="12">
        <f>Données!Z99</f>
        <v>138</v>
      </c>
      <c r="E105" s="8">
        <f>Population!K102</f>
        <v>-17805.331991951705</v>
      </c>
      <c r="F105" s="236">
        <f>Solidarité!I99</f>
        <v>-41618.310909156062</v>
      </c>
      <c r="G105" s="8">
        <f>DT!O99</f>
        <v>0</v>
      </c>
      <c r="H105" s="236">
        <f>Effort!K99+Aide!I99+Taux!J99</f>
        <v>0</v>
      </c>
      <c r="I105" s="313">
        <f t="shared" si="4"/>
        <v>-59423.642901107771</v>
      </c>
      <c r="J105" s="387">
        <f t="shared" si="5"/>
        <v>87581.788810685219</v>
      </c>
      <c r="K105" s="513">
        <f t="shared" si="6"/>
        <v>28158.145909577448</v>
      </c>
    </row>
    <row r="106" spans="1:11" x14ac:dyDescent="0.25">
      <c r="A106" s="38">
        <f>Données!A100</f>
        <v>5563</v>
      </c>
      <c r="B106" s="27" t="str">
        <f>Données!B100</f>
        <v>Mutrux</v>
      </c>
      <c r="C106" s="26">
        <f>Ecrêtage!C100</f>
        <v>2282.3142499999999</v>
      </c>
      <c r="D106" s="12">
        <f>Données!Z100</f>
        <v>151</v>
      </c>
      <c r="E106" s="8">
        <f>Population!K103</f>
        <v>-19482.645875251506</v>
      </c>
      <c r="F106" s="236">
        <f>Solidarité!I100</f>
        <v>-128724.51775711846</v>
      </c>
      <c r="G106" s="8">
        <f>DT!O100</f>
        <v>0</v>
      </c>
      <c r="H106" s="236">
        <f>Effort!K100+Aide!I100+Taux!J100</f>
        <v>28677.790426881202</v>
      </c>
      <c r="I106" s="313">
        <f t="shared" si="4"/>
        <v>-119529.37320548878</v>
      </c>
      <c r="J106" s="387">
        <f t="shared" si="5"/>
        <v>43836.779858386093</v>
      </c>
      <c r="K106" s="513">
        <f t="shared" si="6"/>
        <v>-75692.593347102695</v>
      </c>
    </row>
    <row r="107" spans="1:11" x14ac:dyDescent="0.25">
      <c r="A107" s="38">
        <f>Données!A101</f>
        <v>5564</v>
      </c>
      <c r="B107" s="27" t="str">
        <f>Données!B101</f>
        <v>Novalles</v>
      </c>
      <c r="C107" s="26">
        <f>Ecrêtage!C101</f>
        <v>2548.8725328947371</v>
      </c>
      <c r="D107" s="12">
        <f>Données!Z101</f>
        <v>99</v>
      </c>
      <c r="E107" s="8">
        <f>Population!K104</f>
        <v>-12773.390342052311</v>
      </c>
      <c r="F107" s="236">
        <f>Solidarité!I101</f>
        <v>-51869.283022757889</v>
      </c>
      <c r="G107" s="8">
        <f>DT!O101</f>
        <v>0</v>
      </c>
      <c r="H107" s="236">
        <f>Effort!K101+Aide!I101+Taux!J101</f>
        <v>0</v>
      </c>
      <c r="I107" s="313">
        <f t="shared" si="4"/>
        <v>-64642.673364810202</v>
      </c>
      <c r="J107" s="387">
        <f t="shared" si="5"/>
        <v>48956.608018196246</v>
      </c>
      <c r="K107" s="513">
        <f t="shared" si="6"/>
        <v>-15686.065346613956</v>
      </c>
    </row>
    <row r="108" spans="1:11" x14ac:dyDescent="0.25">
      <c r="A108" s="38">
        <f>Données!A102</f>
        <v>5565</v>
      </c>
      <c r="B108" s="27" t="str">
        <f>Données!B102</f>
        <v>Onnens</v>
      </c>
      <c r="C108" s="26">
        <f>Ecrêtage!C102</f>
        <v>11658.700944881888</v>
      </c>
      <c r="D108" s="12">
        <f>Données!Z102</f>
        <v>496</v>
      </c>
      <c r="E108" s="8">
        <f>Population!K105</f>
        <v>-63995.975855130768</v>
      </c>
      <c r="F108" s="236">
        <f>Solidarité!I102</f>
        <v>-199327.93038308487</v>
      </c>
      <c r="G108" s="8">
        <f>DT!O102</f>
        <v>0</v>
      </c>
      <c r="H108" s="236">
        <f>Effort!K102+Aide!I102+Taux!J102</f>
        <v>0</v>
      </c>
      <c r="I108" s="313">
        <f t="shared" si="4"/>
        <v>-263323.90623821563</v>
      </c>
      <c r="J108" s="387">
        <f t="shared" si="5"/>
        <v>223930.55941159077</v>
      </c>
      <c r="K108" s="513">
        <f t="shared" si="6"/>
        <v>-39393.346826624853</v>
      </c>
    </row>
    <row r="109" spans="1:11" x14ac:dyDescent="0.25">
      <c r="A109" s="38">
        <f>Données!A103</f>
        <v>5566</v>
      </c>
      <c r="B109" s="27" t="str">
        <f>Données!B103</f>
        <v>Provence</v>
      </c>
      <c r="C109" s="26">
        <f>Ecrêtage!C103</f>
        <v>8528.9197942386818</v>
      </c>
      <c r="D109" s="12">
        <f>Données!Z103</f>
        <v>403</v>
      </c>
      <c r="E109" s="8">
        <f>Population!K106</f>
        <v>-51996.730382293754</v>
      </c>
      <c r="F109" s="236">
        <f>Solidarité!I103</f>
        <v>-288268.63619746664</v>
      </c>
      <c r="G109" s="8">
        <f>DT!O103</f>
        <v>0</v>
      </c>
      <c r="H109" s="236">
        <f>Effort!K103+Aide!I103+Taux!J103</f>
        <v>0</v>
      </c>
      <c r="I109" s="313">
        <f t="shared" si="4"/>
        <v>-340265.36657976039</v>
      </c>
      <c r="J109" s="387">
        <f t="shared" si="5"/>
        <v>163816.34538270647</v>
      </c>
      <c r="K109" s="513">
        <f t="shared" si="6"/>
        <v>-176449.02119705392</v>
      </c>
    </row>
    <row r="110" spans="1:11" x14ac:dyDescent="0.25">
      <c r="A110" s="38">
        <f>Données!A104</f>
        <v>5568</v>
      </c>
      <c r="B110" s="27" t="str">
        <f>Données!B104</f>
        <v>Sainte-Croix</v>
      </c>
      <c r="C110" s="26">
        <f>Ecrêtage!C104</f>
        <v>106004.96942857141</v>
      </c>
      <c r="D110" s="12">
        <f>Données!Z104</f>
        <v>4869</v>
      </c>
      <c r="E110" s="8">
        <f>Population!K107</f>
        <v>-1816143.8631790741</v>
      </c>
      <c r="F110" s="236">
        <f>Solidarité!I104</f>
        <v>-2543146.9106834773</v>
      </c>
      <c r="G110" s="8">
        <f>DT!O104</f>
        <v>0</v>
      </c>
      <c r="H110" s="236">
        <f>Effort!K104+Aide!I104+Taux!J104</f>
        <v>0</v>
      </c>
      <c r="I110" s="313">
        <f t="shared" si="4"/>
        <v>-4359290.7738625519</v>
      </c>
      <c r="J110" s="387">
        <f t="shared" si="5"/>
        <v>2036054.6356555554</v>
      </c>
      <c r="K110" s="513">
        <f t="shared" si="6"/>
        <v>-2323236.1382069965</v>
      </c>
    </row>
    <row r="111" spans="1:11" x14ac:dyDescent="0.25">
      <c r="A111" s="38">
        <f>Données!A105</f>
        <v>5571</v>
      </c>
      <c r="B111" s="27" t="str">
        <f>Données!B105</f>
        <v>Tévenon</v>
      </c>
      <c r="C111" s="26">
        <f>Ecrêtage!C105</f>
        <v>25907.008578088578</v>
      </c>
      <c r="D111" s="12">
        <f>Données!Z105</f>
        <v>867</v>
      </c>
      <c r="E111" s="8">
        <f>Population!K108</f>
        <v>-111863.93360160963</v>
      </c>
      <c r="F111" s="236">
        <f>Solidarité!I105</f>
        <v>-328797.60166596854</v>
      </c>
      <c r="G111" s="8">
        <f>DT!O105</f>
        <v>0</v>
      </c>
      <c r="H111" s="236">
        <f>Effort!K105+Aide!I105+Taux!J105</f>
        <v>0</v>
      </c>
      <c r="I111" s="313">
        <f t="shared" si="4"/>
        <v>-440661.53526757821</v>
      </c>
      <c r="J111" s="387">
        <f t="shared" si="5"/>
        <v>497600.11436943407</v>
      </c>
      <c r="K111" s="513">
        <f t="shared" si="6"/>
        <v>56938.579101855867</v>
      </c>
    </row>
    <row r="112" spans="1:11" x14ac:dyDescent="0.25">
      <c r="A112" s="38">
        <f>Données!A106</f>
        <v>5581</v>
      </c>
      <c r="B112" s="27" t="str">
        <f>Données!B106</f>
        <v>Belmont-sur-Lausanne</v>
      </c>
      <c r="C112" s="26">
        <f>Ecrêtage!C106</f>
        <v>233711.86319444442</v>
      </c>
      <c r="D112" s="12">
        <f>Données!Z106</f>
        <v>3838</v>
      </c>
      <c r="E112" s="8">
        <f>Population!K109</f>
        <v>-1284048.2897384302</v>
      </c>
      <c r="F112" s="236">
        <f>Solidarité!I106</f>
        <v>0</v>
      </c>
      <c r="G112" s="8">
        <f>DT!O106</f>
        <v>0</v>
      </c>
      <c r="H112" s="236">
        <f>Effort!K106+Aide!I106+Taux!J106</f>
        <v>0</v>
      </c>
      <c r="I112" s="313">
        <f t="shared" si="4"/>
        <v>-1284048.2897384302</v>
      </c>
      <c r="J112" s="387">
        <f t="shared" si="5"/>
        <v>4488941.6508476455</v>
      </c>
      <c r="K112" s="513">
        <f t="shared" si="6"/>
        <v>3204893.3611092153</v>
      </c>
    </row>
    <row r="113" spans="1:11" x14ac:dyDescent="0.25">
      <c r="A113" s="38">
        <f>Données!A107</f>
        <v>5582</v>
      </c>
      <c r="B113" s="27" t="str">
        <f>Données!B107</f>
        <v>Cheseaux-sur-Lausanne</v>
      </c>
      <c r="C113" s="26">
        <f>Ecrêtage!C107</f>
        <v>170428.79082191776</v>
      </c>
      <c r="D113" s="12">
        <f>Données!Z107</f>
        <v>4527</v>
      </c>
      <c r="E113" s="8">
        <f>Population!K110</f>
        <v>-1639638.8329979875</v>
      </c>
      <c r="F113" s="236">
        <f>Solidarité!I107</f>
        <v>-1040801.8696895958</v>
      </c>
      <c r="G113" s="8">
        <f>DT!O107</f>
        <v>0</v>
      </c>
      <c r="H113" s="236">
        <f>Effort!K107+Aide!I107+Taux!J107</f>
        <v>0</v>
      </c>
      <c r="I113" s="313">
        <f t="shared" si="4"/>
        <v>-2680440.7026875834</v>
      </c>
      <c r="J113" s="387">
        <f t="shared" si="5"/>
        <v>3273453.4189546164</v>
      </c>
      <c r="K113" s="513">
        <f t="shared" si="6"/>
        <v>593012.71626703301</v>
      </c>
    </row>
    <row r="114" spans="1:11" x14ac:dyDescent="0.25">
      <c r="A114" s="38">
        <f>Données!A108</f>
        <v>5583</v>
      </c>
      <c r="B114" s="27" t="str">
        <f>Données!B108</f>
        <v>Crissier</v>
      </c>
      <c r="C114" s="26">
        <f>Ecrêtage!C108</f>
        <v>340496.54456692917</v>
      </c>
      <c r="D114" s="12">
        <f>Données!Z108</f>
        <v>9165</v>
      </c>
      <c r="E114" s="8">
        <f>Population!K111</f>
        <v>-4505781.1871227352</v>
      </c>
      <c r="F114" s="236">
        <f>Solidarité!I108</f>
        <v>-1667543.9238896638</v>
      </c>
      <c r="G114" s="8">
        <f>DT!O108</f>
        <v>0</v>
      </c>
      <c r="H114" s="236">
        <f>Effort!K108+Aide!I108+Taux!J108</f>
        <v>0</v>
      </c>
      <c r="I114" s="313">
        <f t="shared" si="4"/>
        <v>-6173325.1110123992</v>
      </c>
      <c r="J114" s="387">
        <f t="shared" si="5"/>
        <v>6539972.3402338754</v>
      </c>
      <c r="K114" s="513">
        <f t="shared" si="6"/>
        <v>366647.22922147624</v>
      </c>
    </row>
    <row r="115" spans="1:11" x14ac:dyDescent="0.25">
      <c r="A115" s="38">
        <f>Données!A109</f>
        <v>5584</v>
      </c>
      <c r="B115" s="27" t="str">
        <f>Données!B109</f>
        <v>Epalinges</v>
      </c>
      <c r="C115" s="26">
        <f>Ecrêtage!C109</f>
        <v>489766.22341085278</v>
      </c>
      <c r="D115" s="12">
        <f>Données!Z109</f>
        <v>9828</v>
      </c>
      <c r="E115" s="8">
        <f>Population!K112</f>
        <v>-5087473.6418511048</v>
      </c>
      <c r="F115" s="236">
        <f>Solidarité!I109</f>
        <v>0</v>
      </c>
      <c r="G115" s="8">
        <f>DT!O109</f>
        <v>0</v>
      </c>
      <c r="H115" s="236">
        <f>Effort!K109+Aide!I109+Taux!J109</f>
        <v>0</v>
      </c>
      <c r="I115" s="313">
        <f t="shared" si="4"/>
        <v>-5087473.6418511048</v>
      </c>
      <c r="J115" s="387">
        <f t="shared" si="5"/>
        <v>9407019.2646497712</v>
      </c>
      <c r="K115" s="513">
        <f t="shared" si="6"/>
        <v>4319545.6227986664</v>
      </c>
    </row>
    <row r="116" spans="1:11" x14ac:dyDescent="0.25">
      <c r="A116" s="38">
        <f>Données!A110</f>
        <v>5585</v>
      </c>
      <c r="B116" s="27" t="str">
        <f>Données!B110</f>
        <v>Jouxtens-Mézery</v>
      </c>
      <c r="C116" s="26">
        <f>Ecrêtage!C110</f>
        <v>252946.52254237281</v>
      </c>
      <c r="D116" s="12">
        <f>Données!Z110</f>
        <v>1469</v>
      </c>
      <c r="E116" s="8">
        <f>Population!K113</f>
        <v>-298458.65191146877</v>
      </c>
      <c r="F116" s="236">
        <f>Solidarité!I110</f>
        <v>0</v>
      </c>
      <c r="G116" s="8">
        <f>DT!O110</f>
        <v>0</v>
      </c>
      <c r="H116" s="236">
        <f>Effort!K110+Aide!I110+Taux!J110</f>
        <v>-246838.22781720792</v>
      </c>
      <c r="I116" s="313">
        <f t="shared" si="4"/>
        <v>-545296.87972867675</v>
      </c>
      <c r="J116" s="387">
        <f t="shared" si="5"/>
        <v>4858384.8716863999</v>
      </c>
      <c r="K116" s="513">
        <f t="shared" si="6"/>
        <v>4313087.9919577232</v>
      </c>
    </row>
    <row r="117" spans="1:11" x14ac:dyDescent="0.25">
      <c r="A117" s="38">
        <f>Données!A111</f>
        <v>5586</v>
      </c>
      <c r="B117" s="27" t="str">
        <f>Données!B111</f>
        <v>Lausanne</v>
      </c>
      <c r="C117" s="26">
        <f>Ecrêtage!C111</f>
        <v>6671451.3923142245</v>
      </c>
      <c r="D117" s="12">
        <f>Données!Z111</f>
        <v>141616</v>
      </c>
      <c r="E117" s="8">
        <f>Population!K114</f>
        <v>-147316465.59356135</v>
      </c>
      <c r="F117" s="236">
        <f>Solidarité!I111</f>
        <v>-4646828.6361156227</v>
      </c>
      <c r="G117" s="8">
        <f>DT!O111</f>
        <v>0</v>
      </c>
      <c r="H117" s="236">
        <f>Effort!K111+Aide!I111+Taux!J111</f>
        <v>0</v>
      </c>
      <c r="I117" s="313">
        <f t="shared" si="4"/>
        <v>-151963294.22967696</v>
      </c>
      <c r="J117" s="387">
        <f t="shared" si="5"/>
        <v>128139648.61359563</v>
      </c>
      <c r="K117" s="513">
        <f t="shared" si="6"/>
        <v>-23823645.616081327</v>
      </c>
    </row>
    <row r="118" spans="1:11" x14ac:dyDescent="0.25">
      <c r="A118" s="38">
        <f>Données!A112</f>
        <v>5587</v>
      </c>
      <c r="B118" s="27" t="str">
        <f>Données!B112</f>
        <v>Le Mont-sur-Lausanne</v>
      </c>
      <c r="C118" s="26">
        <f>Ecrêtage!C112</f>
        <v>484050.33068027202</v>
      </c>
      <c r="D118" s="12">
        <f>Données!Z112</f>
        <v>9301</v>
      </c>
      <c r="E118" s="8">
        <f>Population!K115</f>
        <v>-4625102.7162977848</v>
      </c>
      <c r="F118" s="236">
        <f>Solidarité!I112</f>
        <v>0</v>
      </c>
      <c r="G118" s="8">
        <f>DT!O112</f>
        <v>0</v>
      </c>
      <c r="H118" s="236">
        <f>Effort!K112+Aide!I112+Taux!J112</f>
        <v>0</v>
      </c>
      <c r="I118" s="313">
        <f t="shared" si="4"/>
        <v>-4625102.7162977848</v>
      </c>
      <c r="J118" s="387">
        <f t="shared" si="5"/>
        <v>9297233.1861881316</v>
      </c>
      <c r="K118" s="513">
        <f t="shared" si="6"/>
        <v>4672130.4698903468</v>
      </c>
    </row>
    <row r="119" spans="1:11" x14ac:dyDescent="0.25">
      <c r="A119" s="38">
        <f>Données!A113</f>
        <v>5588</v>
      </c>
      <c r="B119" s="27" t="str">
        <f>Données!B113</f>
        <v>Paudex</v>
      </c>
      <c r="C119" s="26">
        <f>Ecrêtage!C113</f>
        <v>137556.51114930178</v>
      </c>
      <c r="D119" s="12">
        <f>Données!Z113</f>
        <v>1549</v>
      </c>
      <c r="E119" s="8">
        <f>Population!K116</f>
        <v>-327360.06036217301</v>
      </c>
      <c r="F119" s="236">
        <f>Solidarité!I113</f>
        <v>0</v>
      </c>
      <c r="G119" s="8">
        <f>DT!O113</f>
        <v>0</v>
      </c>
      <c r="H119" s="236">
        <f>Effort!K113+Aide!I113+Taux!J113</f>
        <v>0</v>
      </c>
      <c r="I119" s="313">
        <f t="shared" si="4"/>
        <v>-327360.06036217301</v>
      </c>
      <c r="J119" s="387">
        <f t="shared" si="5"/>
        <v>2642070.2133107102</v>
      </c>
      <c r="K119" s="513">
        <f t="shared" si="6"/>
        <v>2314710.1529485369</v>
      </c>
    </row>
    <row r="120" spans="1:11" x14ac:dyDescent="0.25">
      <c r="A120" s="38">
        <f>Données!A114</f>
        <v>5589</v>
      </c>
      <c r="B120" s="27" t="str">
        <f>Données!B114</f>
        <v>Prilly</v>
      </c>
      <c r="C120" s="26">
        <f>Ecrêtage!C114</f>
        <v>404219.10002122016</v>
      </c>
      <c r="D120" s="12">
        <f>Données!Z114</f>
        <v>12323</v>
      </c>
      <c r="E120" s="8">
        <f>Population!K117</f>
        <v>-7326507.0422535194</v>
      </c>
      <c r="F120" s="236">
        <f>Solidarité!I114</f>
        <v>-4048824.145708845</v>
      </c>
      <c r="G120" s="8">
        <f>DT!O114</f>
        <v>0</v>
      </c>
      <c r="H120" s="236">
        <f>Effort!K114+Aide!I114+Taux!J114</f>
        <v>0</v>
      </c>
      <c r="I120" s="313">
        <f t="shared" si="4"/>
        <v>-11375331.187962364</v>
      </c>
      <c r="J120" s="387">
        <f t="shared" si="5"/>
        <v>7763901.7949369494</v>
      </c>
      <c r="K120" s="513">
        <f t="shared" si="6"/>
        <v>-3611429.393025415</v>
      </c>
    </row>
    <row r="121" spans="1:11" x14ac:dyDescent="0.25">
      <c r="A121" s="38">
        <f>Données!A115</f>
        <v>5590</v>
      </c>
      <c r="B121" s="27" t="str">
        <f>Données!B115</f>
        <v>Pully</v>
      </c>
      <c r="C121" s="26">
        <f>Ecrêtage!C115</f>
        <v>1396472.1616393442</v>
      </c>
      <c r="D121" s="12">
        <f>Données!Z115</f>
        <v>19014</v>
      </c>
      <c r="E121" s="8">
        <f>Population!K118</f>
        <v>-14440072.635814887</v>
      </c>
      <c r="F121" s="236">
        <f>Solidarité!I115</f>
        <v>0</v>
      </c>
      <c r="G121" s="8">
        <f>DT!O115</f>
        <v>0</v>
      </c>
      <c r="H121" s="236">
        <f>Effort!K115+Aide!I115+Taux!J115</f>
        <v>0</v>
      </c>
      <c r="I121" s="313">
        <f t="shared" si="4"/>
        <v>-14440072.635814887</v>
      </c>
      <c r="J121" s="387">
        <f t="shared" si="5"/>
        <v>26822267.235175211</v>
      </c>
      <c r="K121" s="513">
        <f t="shared" si="6"/>
        <v>12382194.599360324</v>
      </c>
    </row>
    <row r="122" spans="1:11" x14ac:dyDescent="0.25">
      <c r="A122" s="38">
        <f>Données!A116</f>
        <v>5591</v>
      </c>
      <c r="B122" s="27" t="str">
        <f>Données!B116</f>
        <v>Renens</v>
      </c>
      <c r="C122" s="26">
        <f>Ecrêtage!C116</f>
        <v>592907.73419294995</v>
      </c>
      <c r="D122" s="12">
        <f>Données!Z116</f>
        <v>21128</v>
      </c>
      <c r="E122" s="8">
        <f>Population!K119</f>
        <v>-16731231.790744463</v>
      </c>
      <c r="F122" s="236">
        <f>Solidarité!I116</f>
        <v>-10203088.338198945</v>
      </c>
      <c r="G122" s="8">
        <f>DT!O116</f>
        <v>0</v>
      </c>
      <c r="H122" s="236">
        <f>Effort!K116+Aide!I116+Taux!J116</f>
        <v>948106.08583969402</v>
      </c>
      <c r="I122" s="313">
        <f t="shared" si="4"/>
        <v>-25986214.043103714</v>
      </c>
      <c r="J122" s="387">
        <f t="shared" si="5"/>
        <v>11388074.985796036</v>
      </c>
      <c r="K122" s="513">
        <f t="shared" si="6"/>
        <v>-14598139.057307677</v>
      </c>
    </row>
    <row r="123" spans="1:11" x14ac:dyDescent="0.25">
      <c r="A123" s="38">
        <f>Données!A117</f>
        <v>5592</v>
      </c>
      <c r="B123" s="27" t="str">
        <f>Données!B117</f>
        <v>Romanel-sur-Lausanne</v>
      </c>
      <c r="C123" s="26">
        <f>Ecrêtage!C117</f>
        <v>113604.64354609928</v>
      </c>
      <c r="D123" s="12">
        <f>Données!Z117</f>
        <v>3796</v>
      </c>
      <c r="E123" s="8">
        <f>Population!K120</f>
        <v>-1262372.2334004021</v>
      </c>
      <c r="F123" s="236">
        <f>Solidarité!I117</f>
        <v>-1396105.714692232</v>
      </c>
      <c r="G123" s="8">
        <f>DT!O117</f>
        <v>0</v>
      </c>
      <c r="H123" s="236">
        <f>Effort!K117+Aide!I117+Taux!J117</f>
        <v>0</v>
      </c>
      <c r="I123" s="313">
        <f t="shared" si="4"/>
        <v>-2658477.9480926339</v>
      </c>
      <c r="J123" s="387">
        <f t="shared" si="5"/>
        <v>2182022.8086560718</v>
      </c>
      <c r="K123" s="513">
        <f t="shared" si="6"/>
        <v>-476455.13943656208</v>
      </c>
    </row>
    <row r="124" spans="1:11" x14ac:dyDescent="0.25">
      <c r="A124" s="38">
        <f>Données!A118</f>
        <v>5601</v>
      </c>
      <c r="B124" s="27" t="str">
        <f>Données!B118</f>
        <v>Chexbres</v>
      </c>
      <c r="C124" s="26">
        <f>Ecrêtage!C118</f>
        <v>106015.29511111112</v>
      </c>
      <c r="D124" s="12">
        <f>Données!Z118</f>
        <v>2207</v>
      </c>
      <c r="E124" s="8">
        <f>Population!K121</f>
        <v>-565074.1448692152</v>
      </c>
      <c r="F124" s="236">
        <f>Solidarité!I118</f>
        <v>-16309.258086943355</v>
      </c>
      <c r="G124" s="8">
        <f>DT!O118</f>
        <v>0</v>
      </c>
      <c r="H124" s="236">
        <f>Effort!K118+Aide!I118+Taux!J118</f>
        <v>0</v>
      </c>
      <c r="I124" s="313">
        <f t="shared" si="4"/>
        <v>-581383.4029561585</v>
      </c>
      <c r="J124" s="387">
        <f t="shared" si="5"/>
        <v>2036252.962714321</v>
      </c>
      <c r="K124" s="513">
        <f t="shared" si="6"/>
        <v>1454869.5597581626</v>
      </c>
    </row>
    <row r="125" spans="1:11" x14ac:dyDescent="0.25">
      <c r="A125" s="38">
        <f>Données!A119</f>
        <v>5604</v>
      </c>
      <c r="B125" s="27" t="str">
        <f>Données!B119</f>
        <v>Forel (Lavaux)</v>
      </c>
      <c r="C125" s="26">
        <f>Ecrêtage!C119</f>
        <v>70961.315942029003</v>
      </c>
      <c r="D125" s="12">
        <f>Données!Z119</f>
        <v>2071</v>
      </c>
      <c r="E125" s="8">
        <f>Population!K122</f>
        <v>-515941.75050301803</v>
      </c>
      <c r="F125" s="236">
        <f>Solidarité!I119</f>
        <v>-558706.66942917136</v>
      </c>
      <c r="G125" s="8">
        <f>DT!O119</f>
        <v>0</v>
      </c>
      <c r="H125" s="236">
        <f>Effort!K119+Aide!I119+Taux!J119</f>
        <v>0</v>
      </c>
      <c r="I125" s="313">
        <f t="shared" si="4"/>
        <v>-1074648.4199321894</v>
      </c>
      <c r="J125" s="387">
        <f t="shared" si="5"/>
        <v>1362965.5010970153</v>
      </c>
      <c r="K125" s="513">
        <f t="shared" si="6"/>
        <v>288317.08116482594</v>
      </c>
    </row>
    <row r="126" spans="1:11" x14ac:dyDescent="0.25">
      <c r="A126" s="38">
        <f>Données!A120</f>
        <v>5606</v>
      </c>
      <c r="B126" s="27" t="str">
        <f>Données!B120</f>
        <v>Lutry</v>
      </c>
      <c r="C126" s="26">
        <f>Ecrêtage!C120</f>
        <v>1212171.2253174603</v>
      </c>
      <c r="D126" s="12">
        <f>Données!Z120</f>
        <v>10718</v>
      </c>
      <c r="E126" s="8">
        <f>Population!K123</f>
        <v>-5868327.7665995955</v>
      </c>
      <c r="F126" s="236">
        <f>Solidarité!I120</f>
        <v>0</v>
      </c>
      <c r="G126" s="8">
        <f>DT!O120</f>
        <v>0</v>
      </c>
      <c r="H126" s="236">
        <f>Effort!K120+Aide!I120+Taux!J120</f>
        <v>0</v>
      </c>
      <c r="I126" s="313">
        <f t="shared" si="4"/>
        <v>-5868327.7665995955</v>
      </c>
      <c r="J126" s="387">
        <f t="shared" si="5"/>
        <v>23282369.268347524</v>
      </c>
      <c r="K126" s="513">
        <f t="shared" si="6"/>
        <v>17414041.501747929</v>
      </c>
    </row>
    <row r="127" spans="1:11" x14ac:dyDescent="0.25">
      <c r="A127" s="38">
        <f>Données!A121</f>
        <v>5607</v>
      </c>
      <c r="B127" s="27" t="str">
        <f>Données!B121</f>
        <v>Puidoux</v>
      </c>
      <c r="C127" s="26">
        <f>Ecrêtage!C121</f>
        <v>117496.04099650904</v>
      </c>
      <c r="D127" s="12">
        <f>Données!Z121</f>
        <v>2994</v>
      </c>
      <c r="E127" s="8">
        <f>Population!K124</f>
        <v>-849391.75050301803</v>
      </c>
      <c r="F127" s="236">
        <f>Solidarité!I121</f>
        <v>-516450.61170563189</v>
      </c>
      <c r="G127" s="8">
        <f>DT!O121</f>
        <v>0</v>
      </c>
      <c r="H127" s="236">
        <f>Effort!K121+Aide!I121+Taux!J121</f>
        <v>0</v>
      </c>
      <c r="I127" s="313">
        <f t="shared" si="4"/>
        <v>-1365842.36220865</v>
      </c>
      <c r="J127" s="387">
        <f t="shared" si="5"/>
        <v>2256765.5104444418</v>
      </c>
      <c r="K127" s="513">
        <f t="shared" si="6"/>
        <v>890923.14823579183</v>
      </c>
    </row>
    <row r="128" spans="1:11" x14ac:dyDescent="0.25">
      <c r="A128" s="38">
        <f>Données!A122</f>
        <v>5609</v>
      </c>
      <c r="B128" s="27" t="str">
        <f>Données!B122</f>
        <v>Rivaz</v>
      </c>
      <c r="C128" s="26">
        <f>Ecrêtage!C122</f>
        <v>14930.201612903227</v>
      </c>
      <c r="D128" s="12">
        <f>Données!Z122</f>
        <v>332</v>
      </c>
      <c r="E128" s="8">
        <f>Population!K125</f>
        <v>-42836.016096579464</v>
      </c>
      <c r="F128" s="236">
        <f>Solidarité!I122</f>
        <v>-17705.744145291301</v>
      </c>
      <c r="G128" s="8">
        <f>DT!O122</f>
        <v>0</v>
      </c>
      <c r="H128" s="236">
        <f>Effort!K122+Aide!I122+Taux!J122</f>
        <v>0</v>
      </c>
      <c r="I128" s="313">
        <f t="shared" si="4"/>
        <v>-60541.760241870768</v>
      </c>
      <c r="J128" s="387">
        <f t="shared" si="5"/>
        <v>286766.80318942043</v>
      </c>
      <c r="K128" s="513">
        <f t="shared" si="6"/>
        <v>226225.04294754966</v>
      </c>
    </row>
    <row r="129" spans="1:11" x14ac:dyDescent="0.25">
      <c r="A129" s="38">
        <f>Données!A123</f>
        <v>5610</v>
      </c>
      <c r="B129" s="27" t="str">
        <f>Données!B123</f>
        <v>St-Saphorin (Lavaux)</v>
      </c>
      <c r="C129" s="26">
        <f>Ecrêtage!C123</f>
        <v>21326.679629629627</v>
      </c>
      <c r="D129" s="12">
        <f>Données!Z123</f>
        <v>402</v>
      </c>
      <c r="E129" s="8">
        <f>Population!K126</f>
        <v>-51867.706237424536</v>
      </c>
      <c r="F129" s="236">
        <f>Solidarité!I123</f>
        <v>0</v>
      </c>
      <c r="G129" s="8">
        <f>DT!O123</f>
        <v>0</v>
      </c>
      <c r="H129" s="236">
        <f>Effort!K123+Aide!I123+Taux!J123</f>
        <v>0</v>
      </c>
      <c r="I129" s="313">
        <f t="shared" si="4"/>
        <v>-51867.706237424536</v>
      </c>
      <c r="J129" s="387">
        <f t="shared" si="5"/>
        <v>409624.99359341117</v>
      </c>
      <c r="K129" s="513">
        <f t="shared" si="6"/>
        <v>357757.28735598666</v>
      </c>
    </row>
    <row r="130" spans="1:11" x14ac:dyDescent="0.25">
      <c r="A130" s="38">
        <f>Données!A124</f>
        <v>5611</v>
      </c>
      <c r="B130" s="27" t="str">
        <f>Données!B124</f>
        <v>Savigny</v>
      </c>
      <c r="C130" s="26">
        <f>Ecrêtage!C124</f>
        <v>139629.67036231884</v>
      </c>
      <c r="D130" s="12">
        <f>Données!Z124</f>
        <v>3421</v>
      </c>
      <c r="E130" s="8">
        <f>Population!K127</f>
        <v>-1068836.0160965794</v>
      </c>
      <c r="F130" s="236">
        <f>Solidarité!I124</f>
        <v>-496445.0292839451</v>
      </c>
      <c r="G130" s="8">
        <f>DT!O124</f>
        <v>0</v>
      </c>
      <c r="H130" s="236">
        <f>Effort!K124+Aide!I124+Taux!J124</f>
        <v>0</v>
      </c>
      <c r="I130" s="313">
        <f t="shared" si="4"/>
        <v>-1565281.0453805244</v>
      </c>
      <c r="J130" s="387">
        <f t="shared" si="5"/>
        <v>2681889.7184609822</v>
      </c>
      <c r="K130" s="513">
        <f t="shared" si="6"/>
        <v>1116608.6730804578</v>
      </c>
    </row>
    <row r="131" spans="1:11" x14ac:dyDescent="0.25">
      <c r="A131" s="38">
        <f>Données!A125</f>
        <v>5613</v>
      </c>
      <c r="B131" s="27" t="str">
        <f>Données!B125</f>
        <v>Bourg-en-Lavaux</v>
      </c>
      <c r="C131" s="26">
        <f>Ecrêtage!C125</f>
        <v>367206.35685333336</v>
      </c>
      <c r="D131" s="12">
        <f>Données!Z125</f>
        <v>5394</v>
      </c>
      <c r="E131" s="8">
        <f>Population!K128</f>
        <v>-2127762.9778672028</v>
      </c>
      <c r="F131" s="236">
        <f>Solidarité!I125</f>
        <v>0</v>
      </c>
      <c r="G131" s="8">
        <f>DT!O125</f>
        <v>0</v>
      </c>
      <c r="H131" s="236">
        <f>Effort!K125+Aide!I125+Taux!J125</f>
        <v>0</v>
      </c>
      <c r="I131" s="313">
        <f t="shared" si="4"/>
        <v>-2127762.9778672028</v>
      </c>
      <c r="J131" s="387">
        <f t="shared" si="5"/>
        <v>7052992.0355969993</v>
      </c>
      <c r="K131" s="513">
        <f t="shared" si="6"/>
        <v>4925229.0577297965</v>
      </c>
    </row>
    <row r="132" spans="1:11" x14ac:dyDescent="0.25">
      <c r="A132" s="38">
        <f>Données!A126</f>
        <v>5621</v>
      </c>
      <c r="B132" s="27" t="str">
        <f>Données!B126</f>
        <v>Aclens</v>
      </c>
      <c r="C132" s="26">
        <f>Ecrêtage!C126</f>
        <v>39203.094076246336</v>
      </c>
      <c r="D132" s="12">
        <f>Données!Z126</f>
        <v>557</v>
      </c>
      <c r="E132" s="8">
        <f>Population!K129</f>
        <v>-71866.448692152902</v>
      </c>
      <c r="F132" s="236">
        <f>Solidarité!I126</f>
        <v>0</v>
      </c>
      <c r="G132" s="8">
        <f>DT!O126</f>
        <v>0</v>
      </c>
      <c r="H132" s="236">
        <f>Effort!K126+Aide!I126+Taux!J126</f>
        <v>0</v>
      </c>
      <c r="I132" s="313">
        <f t="shared" si="4"/>
        <v>-71866.448692152902</v>
      </c>
      <c r="J132" s="387">
        <f t="shared" si="5"/>
        <v>752980.1843843417</v>
      </c>
      <c r="K132" s="513">
        <f t="shared" si="6"/>
        <v>681113.73569218884</v>
      </c>
    </row>
    <row r="133" spans="1:11" x14ac:dyDescent="0.25">
      <c r="A133" s="38">
        <f>Données!A127</f>
        <v>5622</v>
      </c>
      <c r="B133" s="27" t="str">
        <f>Données!B127</f>
        <v>Bremblens</v>
      </c>
      <c r="C133" s="26">
        <f>Ecrêtage!C127</f>
        <v>30852.761617647058</v>
      </c>
      <c r="D133" s="12">
        <f>Données!Z127</f>
        <v>604</v>
      </c>
      <c r="E133" s="8">
        <f>Population!K130</f>
        <v>-77930.583501006025</v>
      </c>
      <c r="F133" s="236">
        <f>Solidarité!I127</f>
        <v>0</v>
      </c>
      <c r="G133" s="8">
        <f>DT!O127</f>
        <v>0</v>
      </c>
      <c r="H133" s="236">
        <f>Effort!K127+Aide!I127+Taux!J127</f>
        <v>0</v>
      </c>
      <c r="I133" s="313">
        <f t="shared" si="4"/>
        <v>-77930.583501006025</v>
      </c>
      <c r="J133" s="387">
        <f t="shared" si="5"/>
        <v>592593.99491374078</v>
      </c>
      <c r="K133" s="513">
        <f t="shared" si="6"/>
        <v>514663.41141273477</v>
      </c>
    </row>
    <row r="134" spans="1:11" x14ac:dyDescent="0.25">
      <c r="A134" s="38">
        <f>Données!A128</f>
        <v>5623</v>
      </c>
      <c r="B134" s="27" t="str">
        <f>Données!B128</f>
        <v>Buchillon</v>
      </c>
      <c r="C134" s="26">
        <f>Ecrêtage!C128</f>
        <v>88403.083461538452</v>
      </c>
      <c r="D134" s="12">
        <f>Données!Z128</f>
        <v>670</v>
      </c>
      <c r="E134" s="8">
        <f>Population!K131</f>
        <v>-86446.17706237422</v>
      </c>
      <c r="F134" s="236">
        <f>Solidarité!I128</f>
        <v>0</v>
      </c>
      <c r="G134" s="8">
        <f>DT!O128</f>
        <v>0</v>
      </c>
      <c r="H134" s="236">
        <f>Effort!K128+Aide!I128+Taux!J128</f>
        <v>0</v>
      </c>
      <c r="I134" s="313">
        <f t="shared" si="4"/>
        <v>-86446.17706237422</v>
      </c>
      <c r="J134" s="387">
        <f t="shared" si="5"/>
        <v>1697972.3578845435</v>
      </c>
      <c r="K134" s="513">
        <f t="shared" si="6"/>
        <v>1611526.1808221692</v>
      </c>
    </row>
    <row r="135" spans="1:11" x14ac:dyDescent="0.25">
      <c r="A135" s="38">
        <f>Données!A129</f>
        <v>5624</v>
      </c>
      <c r="B135" s="27" t="str">
        <f>Données!B129</f>
        <v>Bussigny</v>
      </c>
      <c r="C135" s="26">
        <f>Ecrêtage!C129</f>
        <v>522747.79375999991</v>
      </c>
      <c r="D135" s="12">
        <f>Données!Z129</f>
        <v>10397</v>
      </c>
      <c r="E135" s="8">
        <f>Population!K132</f>
        <v>-5586693.8631790727</v>
      </c>
      <c r="F135" s="236">
        <f>Solidarité!I129</f>
        <v>0</v>
      </c>
      <c r="G135" s="8">
        <f>DT!O129</f>
        <v>0</v>
      </c>
      <c r="H135" s="236">
        <f>Effort!K129+Aide!I129+Taux!J129</f>
        <v>0</v>
      </c>
      <c r="I135" s="313">
        <f t="shared" si="4"/>
        <v>-5586693.8631790727</v>
      </c>
      <c r="J135" s="387">
        <f t="shared" si="5"/>
        <v>10040501.634038402</v>
      </c>
      <c r="K135" s="513">
        <f t="shared" si="6"/>
        <v>4453807.770859329</v>
      </c>
    </row>
    <row r="136" spans="1:11" x14ac:dyDescent="0.25">
      <c r="A136" s="38">
        <f>Données!A130</f>
        <v>5627</v>
      </c>
      <c r="B136" s="27" t="str">
        <f>Données!B130</f>
        <v>Chavannes-près-Renens</v>
      </c>
      <c r="C136" s="26">
        <f>Ecrêtage!C130</f>
        <v>188690.75535483871</v>
      </c>
      <c r="D136" s="12">
        <f>Données!Z130</f>
        <v>8734</v>
      </c>
      <c r="E136" s="8">
        <f>Population!K133</f>
        <v>-4196278.0684104618</v>
      </c>
      <c r="F136" s="236">
        <f>Solidarité!I130</f>
        <v>-5626871.8341269018</v>
      </c>
      <c r="G136" s="8">
        <f>DT!O130</f>
        <v>0</v>
      </c>
      <c r="H136" s="236">
        <f>Effort!K130+Aide!I130+Taux!J130</f>
        <v>1498923.3372794762</v>
      </c>
      <c r="I136" s="313">
        <f t="shared" si="4"/>
        <v>-8324226.5652578883</v>
      </c>
      <c r="J136" s="387">
        <f t="shared" si="5"/>
        <v>3624213.9327669935</v>
      </c>
      <c r="K136" s="513">
        <f t="shared" si="6"/>
        <v>-4700012.6324908948</v>
      </c>
    </row>
    <row r="137" spans="1:11" x14ac:dyDescent="0.25">
      <c r="A137" s="38">
        <f>Données!A131</f>
        <v>5628</v>
      </c>
      <c r="B137" s="27" t="str">
        <f>Données!B131</f>
        <v>Chigny</v>
      </c>
      <c r="C137" s="26">
        <f>Ecrêtage!C131</f>
        <v>27627.379193548386</v>
      </c>
      <c r="D137" s="12">
        <f>Données!Z131</f>
        <v>419</v>
      </c>
      <c r="E137" s="8">
        <f>Population!K134</f>
        <v>-54061.116700201193</v>
      </c>
      <c r="F137" s="236">
        <f>Solidarité!I131</f>
        <v>0</v>
      </c>
      <c r="G137" s="8">
        <f>DT!O131</f>
        <v>0</v>
      </c>
      <c r="H137" s="236">
        <f>Effort!K131+Aide!I131+Taux!J131</f>
        <v>0</v>
      </c>
      <c r="I137" s="313">
        <f t="shared" si="4"/>
        <v>-54061.116700201193</v>
      </c>
      <c r="J137" s="387">
        <f t="shared" si="5"/>
        <v>530643.55172463076</v>
      </c>
      <c r="K137" s="513">
        <f t="shared" si="6"/>
        <v>476582.43502442958</v>
      </c>
    </row>
    <row r="138" spans="1:11" x14ac:dyDescent="0.25">
      <c r="A138" s="38">
        <f>Données!A132</f>
        <v>5629</v>
      </c>
      <c r="B138" s="27" t="str">
        <f>Données!B132</f>
        <v>Clarmont</v>
      </c>
      <c r="C138" s="26">
        <f>Ecrêtage!C132</f>
        <v>9964.7430555555547</v>
      </c>
      <c r="D138" s="12">
        <f>Données!Z132</f>
        <v>218</v>
      </c>
      <c r="E138" s="8">
        <f>Population!K135</f>
        <v>-28127.263581488929</v>
      </c>
      <c r="F138" s="236">
        <f>Solidarité!I132</f>
        <v>-12339.39882565363</v>
      </c>
      <c r="G138" s="8">
        <f>DT!O132</f>
        <v>0</v>
      </c>
      <c r="H138" s="236">
        <f>Effort!K132+Aide!I132+Taux!J132</f>
        <v>0</v>
      </c>
      <c r="I138" s="313">
        <f t="shared" si="4"/>
        <v>-40466.662407142561</v>
      </c>
      <c r="J138" s="387">
        <f t="shared" si="5"/>
        <v>191394.43556984776</v>
      </c>
      <c r="K138" s="513">
        <f t="shared" si="6"/>
        <v>150927.77316270518</v>
      </c>
    </row>
    <row r="139" spans="1:11" x14ac:dyDescent="0.25">
      <c r="A139" s="38">
        <f>Données!A133</f>
        <v>5631</v>
      </c>
      <c r="B139" s="27" t="str">
        <f>Données!B133</f>
        <v>Denens</v>
      </c>
      <c r="C139" s="26">
        <f>Ecrêtage!C133</f>
        <v>41694.310588235297</v>
      </c>
      <c r="D139" s="12">
        <f>Données!Z133</f>
        <v>716</v>
      </c>
      <c r="E139" s="8">
        <f>Population!K136</f>
        <v>-92381.287726358132</v>
      </c>
      <c r="F139" s="236">
        <f>Solidarité!I133</f>
        <v>0</v>
      </c>
      <c r="G139" s="8">
        <f>DT!O133</f>
        <v>0</v>
      </c>
      <c r="H139" s="236">
        <f>Effort!K133+Aide!I133+Taux!J133</f>
        <v>0</v>
      </c>
      <c r="I139" s="313">
        <f t="shared" si="4"/>
        <v>-92381.287726358132</v>
      </c>
      <c r="J139" s="387">
        <f t="shared" si="5"/>
        <v>800829.38386054721</v>
      </c>
      <c r="K139" s="513">
        <f t="shared" si="6"/>
        <v>708448.09613418905</v>
      </c>
    </row>
    <row r="140" spans="1:11" x14ac:dyDescent="0.25">
      <c r="A140" s="38">
        <f>Données!A134</f>
        <v>5632</v>
      </c>
      <c r="B140" s="27" t="str">
        <f>Données!B134</f>
        <v>Denges</v>
      </c>
      <c r="C140" s="26">
        <f>Ecrêtage!C134</f>
        <v>81642.531612903229</v>
      </c>
      <c r="D140" s="12">
        <f>Données!Z134</f>
        <v>1777</v>
      </c>
      <c r="E140" s="8">
        <f>Population!K137</f>
        <v>-409729.07444668002</v>
      </c>
      <c r="F140" s="236">
        <f>Solidarité!I134</f>
        <v>-68189.873515311818</v>
      </c>
      <c r="G140" s="8">
        <f>DT!O134</f>
        <v>0</v>
      </c>
      <c r="H140" s="236">
        <f>Effort!K134+Aide!I134+Taux!J134</f>
        <v>0</v>
      </c>
      <c r="I140" s="313">
        <f t="shared" si="4"/>
        <v>-477918.94796199183</v>
      </c>
      <c r="J140" s="387">
        <f t="shared" si="5"/>
        <v>1568121.3423594784</v>
      </c>
      <c r="K140" s="513">
        <f t="shared" si="6"/>
        <v>1090202.3943974865</v>
      </c>
    </row>
    <row r="141" spans="1:11" x14ac:dyDescent="0.25">
      <c r="A141" s="38">
        <f>Données!A135</f>
        <v>5633</v>
      </c>
      <c r="B141" s="27" t="str">
        <f>Données!B135</f>
        <v>Echandens</v>
      </c>
      <c r="C141" s="26">
        <f>Ecrêtage!C135</f>
        <v>149835.3479338843</v>
      </c>
      <c r="D141" s="12">
        <f>Données!Z135</f>
        <v>2891</v>
      </c>
      <c r="E141" s="8">
        <f>Population!K138</f>
        <v>-812181.18712273636</v>
      </c>
      <c r="F141" s="236">
        <f>Solidarité!I135</f>
        <v>0</v>
      </c>
      <c r="G141" s="8">
        <f>DT!O135</f>
        <v>0</v>
      </c>
      <c r="H141" s="236">
        <f>Effort!K135+Aide!I135+Taux!J135</f>
        <v>0</v>
      </c>
      <c r="I141" s="313">
        <f t="shared" ref="I141:I204" si="7">SUM(E141:H141)</f>
        <v>-812181.18712273636</v>
      </c>
      <c r="J141" s="387">
        <f t="shared" ref="J141:J204" si="8">C141*$J$11</f>
        <v>2877911.8223453984</v>
      </c>
      <c r="K141" s="513">
        <f t="shared" ref="K141:K204" si="9">I141+J141</f>
        <v>2065730.635222662</v>
      </c>
    </row>
    <row r="142" spans="1:11" x14ac:dyDescent="0.25">
      <c r="A142" s="38">
        <f>Données!A136</f>
        <v>5634</v>
      </c>
      <c r="B142" s="27" t="str">
        <f>Données!B136</f>
        <v>Echichens</v>
      </c>
      <c r="C142" s="26">
        <f>Ecrêtage!C136</f>
        <v>183137.63424242428</v>
      </c>
      <c r="D142" s="12">
        <f>Données!Z136</f>
        <v>3214</v>
      </c>
      <c r="E142" s="8">
        <f>Population!K139</f>
        <v>-962004.02414486906</v>
      </c>
      <c r="F142" s="236">
        <f>Solidarité!I136</f>
        <v>0</v>
      </c>
      <c r="G142" s="8">
        <f>DT!O136</f>
        <v>0</v>
      </c>
      <c r="H142" s="236">
        <f>Effort!K136+Aide!I136+Taux!J136</f>
        <v>0</v>
      </c>
      <c r="I142" s="313">
        <f t="shared" si="7"/>
        <v>-962004.02414486906</v>
      </c>
      <c r="J142" s="387">
        <f t="shared" si="8"/>
        <v>3517554.2351675644</v>
      </c>
      <c r="K142" s="513">
        <f t="shared" si="9"/>
        <v>2555550.2110226955</v>
      </c>
    </row>
    <row r="143" spans="1:11" x14ac:dyDescent="0.25">
      <c r="A143" s="38">
        <f>Données!A137</f>
        <v>5635</v>
      </c>
      <c r="B143" s="27" t="str">
        <f>Données!B137</f>
        <v>Ecublens</v>
      </c>
      <c r="C143" s="26">
        <f>Ecrêtage!C137</f>
        <v>516165.47293333331</v>
      </c>
      <c r="D143" s="12">
        <f>Données!Z137</f>
        <v>13142</v>
      </c>
      <c r="E143" s="8">
        <f>Population!K140</f>
        <v>-8171873.2394366181</v>
      </c>
      <c r="F143" s="236">
        <f>Solidarité!I137</f>
        <v>-1880593.5363512854</v>
      </c>
      <c r="G143" s="8">
        <f>DT!O137</f>
        <v>0</v>
      </c>
      <c r="H143" s="236">
        <f>Effort!K137+Aide!I137+Taux!J137</f>
        <v>0</v>
      </c>
      <c r="I143" s="313">
        <f t="shared" si="7"/>
        <v>-10052466.775787903</v>
      </c>
      <c r="J143" s="387">
        <f t="shared" si="8"/>
        <v>9914073.9306509942</v>
      </c>
      <c r="K143" s="513">
        <f t="shared" si="9"/>
        <v>-138392.84513690881</v>
      </c>
    </row>
    <row r="144" spans="1:11" x14ac:dyDescent="0.25">
      <c r="A144" s="38">
        <f>Données!A138</f>
        <v>5636</v>
      </c>
      <c r="B144" s="27" t="str">
        <f>Données!B138</f>
        <v>Etoy</v>
      </c>
      <c r="C144" s="26">
        <f>Ecrêtage!C138</f>
        <v>189458.35050000003</v>
      </c>
      <c r="D144" s="12">
        <f>Données!Z138</f>
        <v>2941</v>
      </c>
      <c r="E144" s="8">
        <f>Population!K141</f>
        <v>-830244.5674044264</v>
      </c>
      <c r="F144" s="236">
        <f>Solidarité!I138</f>
        <v>0</v>
      </c>
      <c r="G144" s="8">
        <f>DT!O138</f>
        <v>0</v>
      </c>
      <c r="H144" s="236">
        <f>Effort!K138+Aide!I138+Taux!J138</f>
        <v>0</v>
      </c>
      <c r="I144" s="313">
        <f t="shared" si="7"/>
        <v>-830244.5674044264</v>
      </c>
      <c r="J144" s="387">
        <f t="shared" si="8"/>
        <v>3638957.2571793976</v>
      </c>
      <c r="K144" s="513">
        <f t="shared" si="9"/>
        <v>2808712.6897749715</v>
      </c>
    </row>
    <row r="145" spans="1:11" x14ac:dyDescent="0.25">
      <c r="A145" s="38">
        <f>Données!A139</f>
        <v>5637</v>
      </c>
      <c r="B145" s="27" t="str">
        <f>Données!B139</f>
        <v>Lavigny</v>
      </c>
      <c r="C145" s="26">
        <f>Ecrêtage!C139</f>
        <v>36293.809863013703</v>
      </c>
      <c r="D145" s="12">
        <f>Données!Z139</f>
        <v>1038</v>
      </c>
      <c r="E145" s="8">
        <f>Population!K142</f>
        <v>-142752.31388329976</v>
      </c>
      <c r="F145" s="236">
        <f>Solidarité!I139</f>
        <v>-297941.22463395988</v>
      </c>
      <c r="G145" s="8">
        <f>DT!O139</f>
        <v>0</v>
      </c>
      <c r="H145" s="236">
        <f>Effort!K139+Aide!I139+Taux!J139</f>
        <v>0</v>
      </c>
      <c r="I145" s="313">
        <f t="shared" si="7"/>
        <v>-440693.53851725964</v>
      </c>
      <c r="J145" s="387">
        <f t="shared" si="8"/>
        <v>697101.09078408184</v>
      </c>
      <c r="K145" s="513">
        <f t="shared" si="9"/>
        <v>256407.5522668222</v>
      </c>
    </row>
    <row r="146" spans="1:11" x14ac:dyDescent="0.25">
      <c r="A146" s="38">
        <f>Données!A140</f>
        <v>5638</v>
      </c>
      <c r="B146" s="27" t="str">
        <f>Données!B140</f>
        <v>Lonay</v>
      </c>
      <c r="C146" s="26">
        <f>Ecrêtage!C140</f>
        <v>153893.84090909091</v>
      </c>
      <c r="D146" s="12">
        <f>Données!Z140</f>
        <v>2677</v>
      </c>
      <c r="E146" s="8">
        <f>Population!K143</f>
        <v>-734869.91951710242</v>
      </c>
      <c r="F146" s="236">
        <f>Solidarité!I140</f>
        <v>0</v>
      </c>
      <c r="G146" s="8">
        <f>DT!O140</f>
        <v>0</v>
      </c>
      <c r="H146" s="236">
        <f>Effort!K140+Aide!I140+Taux!J140</f>
        <v>0</v>
      </c>
      <c r="I146" s="313">
        <f t="shared" si="7"/>
        <v>-734869.91951710242</v>
      </c>
      <c r="J146" s="387">
        <f t="shared" si="8"/>
        <v>2955863.9549717177</v>
      </c>
      <c r="K146" s="513">
        <f t="shared" si="9"/>
        <v>2220994.035454615</v>
      </c>
    </row>
    <row r="147" spans="1:11" x14ac:dyDescent="0.25">
      <c r="A147" s="38">
        <f>Données!A141</f>
        <v>5639</v>
      </c>
      <c r="B147" s="27" t="str">
        <f>Données!B141</f>
        <v>Lully</v>
      </c>
      <c r="C147" s="26">
        <f>Ecrêtage!C141</f>
        <v>52242.173114754092</v>
      </c>
      <c r="D147" s="12">
        <f>Données!Z141</f>
        <v>827</v>
      </c>
      <c r="E147" s="8">
        <f>Population!K144</f>
        <v>-106702.96780684103</v>
      </c>
      <c r="F147" s="236">
        <f>Solidarité!I141</f>
        <v>0</v>
      </c>
      <c r="G147" s="8">
        <f>DT!O141</f>
        <v>0</v>
      </c>
      <c r="H147" s="236">
        <f>Effort!K141+Aide!I141+Taux!J141</f>
        <v>0</v>
      </c>
      <c r="I147" s="313">
        <f t="shared" si="7"/>
        <v>-106702.96780684103</v>
      </c>
      <c r="J147" s="387">
        <f t="shared" si="8"/>
        <v>1003423.889657251</v>
      </c>
      <c r="K147" s="513">
        <f t="shared" si="9"/>
        <v>896720.92185040994</v>
      </c>
    </row>
    <row r="148" spans="1:11" x14ac:dyDescent="0.25">
      <c r="A148" s="38">
        <f>Données!A142</f>
        <v>5640</v>
      </c>
      <c r="B148" s="27" t="str">
        <f>Données!B142</f>
        <v>Lussy-sur-Morges</v>
      </c>
      <c r="C148" s="26">
        <f>Ecrêtage!C142</f>
        <v>57771.49271317829</v>
      </c>
      <c r="D148" s="12">
        <f>Données!Z142</f>
        <v>730</v>
      </c>
      <c r="E148" s="8">
        <f>Population!K145</f>
        <v>-94187.625754527136</v>
      </c>
      <c r="F148" s="236">
        <f>Solidarité!I142</f>
        <v>0</v>
      </c>
      <c r="G148" s="8">
        <f>DT!O142</f>
        <v>0</v>
      </c>
      <c r="H148" s="236">
        <f>Effort!K142+Aide!I142+Taux!J142</f>
        <v>0</v>
      </c>
      <c r="I148" s="313">
        <f t="shared" si="7"/>
        <v>-94187.625754527136</v>
      </c>
      <c r="J148" s="387">
        <f t="shared" si="8"/>
        <v>1109626.4277182482</v>
      </c>
      <c r="K148" s="513">
        <f t="shared" si="9"/>
        <v>1015438.8019637211</v>
      </c>
    </row>
    <row r="149" spans="1:11" x14ac:dyDescent="0.25">
      <c r="A149" s="38">
        <f>Données!A143</f>
        <v>5642</v>
      </c>
      <c r="B149" s="27" t="str">
        <f>Données!B143</f>
        <v>Morges</v>
      </c>
      <c r="C149" s="26">
        <f>Ecrêtage!C143</f>
        <v>980547.23447761196</v>
      </c>
      <c r="D149" s="12">
        <f>Données!Z143</f>
        <v>17535</v>
      </c>
      <c r="E149" s="8">
        <f>Population!K146</f>
        <v>-12837128.269617703</v>
      </c>
      <c r="F149" s="236">
        <f>Solidarité!I143</f>
        <v>0</v>
      </c>
      <c r="G149" s="8">
        <f>DT!O143</f>
        <v>0</v>
      </c>
      <c r="H149" s="236">
        <f>Effort!K143+Aide!I143+Taux!J143</f>
        <v>0</v>
      </c>
      <c r="I149" s="313">
        <f t="shared" si="7"/>
        <v>-12837128.269617703</v>
      </c>
      <c r="J149" s="387">
        <f t="shared" si="8"/>
        <v>18833529.720346075</v>
      </c>
      <c r="K149" s="513">
        <f t="shared" si="9"/>
        <v>5996401.4507283717</v>
      </c>
    </row>
    <row r="150" spans="1:11" x14ac:dyDescent="0.25">
      <c r="A150" s="38">
        <f>Données!A144</f>
        <v>5643</v>
      </c>
      <c r="B150" s="27" t="str">
        <f>Données!B144</f>
        <v>Préverenges</v>
      </c>
      <c r="C150" s="26">
        <f>Ecrêtage!C144</f>
        <v>252724.38943999997</v>
      </c>
      <c r="D150" s="12">
        <f>Données!Z144</f>
        <v>5218</v>
      </c>
      <c r="E150" s="8">
        <f>Population!K147</f>
        <v>-2018763.3802816896</v>
      </c>
      <c r="F150" s="236">
        <f>Solidarité!I144</f>
        <v>-695.94552855978975</v>
      </c>
      <c r="G150" s="8">
        <f>DT!O144</f>
        <v>0</v>
      </c>
      <c r="H150" s="236">
        <f>Effort!K144+Aide!I144+Taux!J144</f>
        <v>0</v>
      </c>
      <c r="I150" s="313">
        <f t="shared" si="7"/>
        <v>-2019459.3258102494</v>
      </c>
      <c r="J150" s="387">
        <f t="shared" si="8"/>
        <v>4854118.3251720546</v>
      </c>
      <c r="K150" s="513">
        <f t="shared" si="9"/>
        <v>2834658.9993618052</v>
      </c>
    </row>
    <row r="151" spans="1:11" x14ac:dyDescent="0.25">
      <c r="A151" s="38">
        <f>Données!A145</f>
        <v>5645</v>
      </c>
      <c r="B151" s="27" t="str">
        <f>Données!B145</f>
        <v>Romanel-sur-Morges</v>
      </c>
      <c r="C151" s="26">
        <f>Ecrêtage!C145</f>
        <v>23768.997321428575</v>
      </c>
      <c r="D151" s="12">
        <f>Données!Z145</f>
        <v>458</v>
      </c>
      <c r="E151" s="8">
        <f>Population!K148</f>
        <v>-59093.058350100589</v>
      </c>
      <c r="F151" s="236">
        <f>Solidarité!I145</f>
        <v>0</v>
      </c>
      <c r="G151" s="8">
        <f>DT!O145</f>
        <v>0</v>
      </c>
      <c r="H151" s="236">
        <f>Effort!K145+Aide!I145+Taux!J145</f>
        <v>0</v>
      </c>
      <c r="I151" s="313">
        <f t="shared" si="7"/>
        <v>-59093.058350100589</v>
      </c>
      <c r="J151" s="387">
        <f t="shared" si="8"/>
        <v>456534.98550168239</v>
      </c>
      <c r="K151" s="513">
        <f t="shared" si="9"/>
        <v>397441.9271515818</v>
      </c>
    </row>
    <row r="152" spans="1:11" x14ac:dyDescent="0.25">
      <c r="A152" s="38">
        <f>Données!A146</f>
        <v>5646</v>
      </c>
      <c r="B152" s="27" t="str">
        <f>Données!B146</f>
        <v>Saint-Prex</v>
      </c>
      <c r="C152" s="26">
        <f>Ecrêtage!C146</f>
        <v>515578.26330508466</v>
      </c>
      <c r="D152" s="12">
        <f>Données!Z146</f>
        <v>5877</v>
      </c>
      <c r="E152" s="8">
        <f>Population!K149</f>
        <v>-2426892.5553319915</v>
      </c>
      <c r="F152" s="236">
        <f>Solidarité!I146</f>
        <v>0</v>
      </c>
      <c r="G152" s="8">
        <f>DT!O146</f>
        <v>0</v>
      </c>
      <c r="H152" s="236">
        <f>Effort!K146+Aide!I146+Taux!J146</f>
        <v>0</v>
      </c>
      <c r="I152" s="313">
        <f t="shared" si="7"/>
        <v>-2426892.5553319915</v>
      </c>
      <c r="J152" s="387">
        <f t="shared" si="8"/>
        <v>9902795.3001099732</v>
      </c>
      <c r="K152" s="513">
        <f t="shared" si="9"/>
        <v>7475902.7447779812</v>
      </c>
    </row>
    <row r="153" spans="1:11" x14ac:dyDescent="0.25">
      <c r="A153" s="38">
        <f>Données!A147</f>
        <v>5648</v>
      </c>
      <c r="B153" s="27" t="str">
        <f>Données!B147</f>
        <v>Saint-Sulpice</v>
      </c>
      <c r="C153" s="26">
        <f>Ecrêtage!C147</f>
        <v>417040.44568181824</v>
      </c>
      <c r="D153" s="12">
        <f>Données!Z147</f>
        <v>5043</v>
      </c>
      <c r="E153" s="8">
        <f>Population!K150</f>
        <v>-1910383.0985915489</v>
      </c>
      <c r="F153" s="236">
        <f>Solidarité!I147</f>
        <v>0</v>
      </c>
      <c r="G153" s="8">
        <f>DT!O147</f>
        <v>0</v>
      </c>
      <c r="H153" s="236">
        <f>Effort!K147+Aide!I147+Taux!J147</f>
        <v>0</v>
      </c>
      <c r="I153" s="313">
        <f t="shared" si="7"/>
        <v>-1910383.0985915489</v>
      </c>
      <c r="J153" s="387">
        <f t="shared" si="8"/>
        <v>8010163.4599166559</v>
      </c>
      <c r="K153" s="513">
        <f t="shared" si="9"/>
        <v>6099780.3613251075</v>
      </c>
    </row>
    <row r="154" spans="1:11" x14ac:dyDescent="0.25">
      <c r="A154" s="38">
        <f>Données!A148</f>
        <v>5649</v>
      </c>
      <c r="B154" s="27" t="str">
        <f>Données!B148</f>
        <v>Tolochenaz</v>
      </c>
      <c r="C154" s="26">
        <f>Ecrêtage!C148</f>
        <v>173464.05234375002</v>
      </c>
      <c r="D154" s="12">
        <f>Données!Z148</f>
        <v>1890</v>
      </c>
      <c r="E154" s="8">
        <f>Population!K151</f>
        <v>-450552.31388329971</v>
      </c>
      <c r="F154" s="236">
        <f>Solidarité!I148</f>
        <v>0</v>
      </c>
      <c r="G154" s="8">
        <f>DT!O148</f>
        <v>0</v>
      </c>
      <c r="H154" s="236">
        <f>Effort!K148+Aide!I148+Taux!J148</f>
        <v>0</v>
      </c>
      <c r="I154" s="313">
        <f t="shared" si="7"/>
        <v>-450552.31388329971</v>
      </c>
      <c r="J154" s="387">
        <f t="shared" si="8"/>
        <v>3331752.1791473422</v>
      </c>
      <c r="K154" s="513">
        <f t="shared" si="9"/>
        <v>2881199.8652640423</v>
      </c>
    </row>
    <row r="155" spans="1:11" x14ac:dyDescent="0.25">
      <c r="A155" s="38">
        <f>Données!A149</f>
        <v>5650</v>
      </c>
      <c r="B155" s="27" t="str">
        <f>Données!B149</f>
        <v>Vaux-sur-Morges</v>
      </c>
      <c r="C155" s="26">
        <f>Ecrêtage!C149</f>
        <v>90407.863928571445</v>
      </c>
      <c r="D155" s="12">
        <f>Données!Z149</f>
        <v>187</v>
      </c>
      <c r="E155" s="8">
        <f>Population!K152</f>
        <v>-24127.515090543253</v>
      </c>
      <c r="F155" s="236">
        <f>Solidarité!I149</f>
        <v>0</v>
      </c>
      <c r="G155" s="8">
        <f>DT!O149</f>
        <v>0</v>
      </c>
      <c r="H155" s="236">
        <f>Effort!K149+Aide!I149+Taux!J149</f>
        <v>-971576.58896145714</v>
      </c>
      <c r="I155" s="313">
        <f t="shared" si="7"/>
        <v>-995704.10405200045</v>
      </c>
      <c r="J155" s="387">
        <f t="shared" si="8"/>
        <v>1736478.5013736435</v>
      </c>
      <c r="K155" s="513">
        <f t="shared" si="9"/>
        <v>740774.39732164307</v>
      </c>
    </row>
    <row r="156" spans="1:11" x14ac:dyDescent="0.25">
      <c r="A156" s="38">
        <f>Données!A150</f>
        <v>5651</v>
      </c>
      <c r="B156" s="27" t="str">
        <f>Données!B150</f>
        <v>Villars-Sainte-Croix</v>
      </c>
      <c r="C156" s="26">
        <f>Ecrêtage!C150</f>
        <v>56008.147272727285</v>
      </c>
      <c r="D156" s="12">
        <f>Données!Z150</f>
        <v>978</v>
      </c>
      <c r="E156" s="8">
        <f>Population!K153</f>
        <v>-126185.61368209253</v>
      </c>
      <c r="F156" s="236">
        <f>Solidarité!I150</f>
        <v>0</v>
      </c>
      <c r="G156" s="8">
        <f>DT!O150</f>
        <v>0</v>
      </c>
      <c r="H156" s="236">
        <f>Effort!K150+Aide!I150+Taux!J150</f>
        <v>0</v>
      </c>
      <c r="I156" s="313">
        <f t="shared" si="7"/>
        <v>-126185.61368209253</v>
      </c>
      <c r="J156" s="387">
        <f t="shared" si="8"/>
        <v>1075757.5659314282</v>
      </c>
      <c r="K156" s="513">
        <f t="shared" si="9"/>
        <v>949571.95224933571</v>
      </c>
    </row>
    <row r="157" spans="1:11" x14ac:dyDescent="0.25">
      <c r="A157" s="38">
        <f>Données!A151</f>
        <v>5652</v>
      </c>
      <c r="B157" s="27" t="str">
        <f>Données!B151</f>
        <v>Villars-sous-Yens</v>
      </c>
      <c r="C157" s="26">
        <f>Ecrêtage!C151</f>
        <v>25957.212521929825</v>
      </c>
      <c r="D157" s="12">
        <f>Données!Z151</f>
        <v>615</v>
      </c>
      <c r="E157" s="8">
        <f>Population!K154</f>
        <v>-79349.849094567384</v>
      </c>
      <c r="F157" s="236">
        <f>Solidarité!I151</f>
        <v>-88519.285772105548</v>
      </c>
      <c r="G157" s="8">
        <f>DT!O151</f>
        <v>0</v>
      </c>
      <c r="H157" s="236">
        <f>Effort!K151+Aide!I151+Taux!J151</f>
        <v>0</v>
      </c>
      <c r="I157" s="313">
        <f t="shared" si="7"/>
        <v>-167869.13486667292</v>
      </c>
      <c r="J157" s="387">
        <f t="shared" si="8"/>
        <v>498564.38965895277</v>
      </c>
      <c r="K157" s="513">
        <f t="shared" si="9"/>
        <v>330695.25479227985</v>
      </c>
    </row>
    <row r="158" spans="1:11" x14ac:dyDescent="0.25">
      <c r="A158" s="38">
        <f>Données!A152</f>
        <v>5653</v>
      </c>
      <c r="B158" s="27" t="str">
        <f>Données!B152</f>
        <v>Vufflens-le-Château</v>
      </c>
      <c r="C158" s="26">
        <f>Ecrêtage!C152</f>
        <v>71315.778290598289</v>
      </c>
      <c r="D158" s="12">
        <f>Données!Z152</f>
        <v>886</v>
      </c>
      <c r="E158" s="8">
        <f>Population!K155</f>
        <v>-114315.39235412472</v>
      </c>
      <c r="F158" s="236">
        <f>Solidarité!I152</f>
        <v>0</v>
      </c>
      <c r="G158" s="8">
        <f>DT!O152</f>
        <v>0</v>
      </c>
      <c r="H158" s="236">
        <f>Effort!K152+Aide!I152+Taux!J152</f>
        <v>0</v>
      </c>
      <c r="I158" s="313">
        <f t="shared" si="7"/>
        <v>-114315.39235412472</v>
      </c>
      <c r="J158" s="387">
        <f t="shared" si="8"/>
        <v>1369773.7168991638</v>
      </c>
      <c r="K158" s="513">
        <f t="shared" si="9"/>
        <v>1255458.3245450391</v>
      </c>
    </row>
    <row r="159" spans="1:11" x14ac:dyDescent="0.25">
      <c r="A159" s="38">
        <f>Données!A153</f>
        <v>5654</v>
      </c>
      <c r="B159" s="27" t="str">
        <f>Données!B153</f>
        <v>Vullierens</v>
      </c>
      <c r="C159" s="26">
        <f>Ecrêtage!C153</f>
        <v>20741.31131578947</v>
      </c>
      <c r="D159" s="12">
        <f>Données!Z153</f>
        <v>563</v>
      </c>
      <c r="E159" s="8">
        <f>Population!K156</f>
        <v>-72640.593561368194</v>
      </c>
      <c r="F159" s="236">
        <f>Solidarité!I153</f>
        <v>-150778.58828664635</v>
      </c>
      <c r="G159" s="8">
        <f>DT!O153</f>
        <v>0</v>
      </c>
      <c r="H159" s="236">
        <f>Effort!K153+Aide!I153+Taux!J153</f>
        <v>0</v>
      </c>
      <c r="I159" s="313">
        <f t="shared" si="7"/>
        <v>-223419.18184801453</v>
      </c>
      <c r="J159" s="387">
        <f t="shared" si="8"/>
        <v>398381.72947678668</v>
      </c>
      <c r="K159" s="513">
        <f t="shared" si="9"/>
        <v>174962.54762877215</v>
      </c>
    </row>
    <row r="160" spans="1:11" x14ac:dyDescent="0.25">
      <c r="A160" s="38">
        <f>Données!A154</f>
        <v>5655</v>
      </c>
      <c r="B160" s="27" t="str">
        <f>Données!B154</f>
        <v>Yens</v>
      </c>
      <c r="C160" s="26">
        <f>Ecrêtage!C154</f>
        <v>81488.710349650341</v>
      </c>
      <c r="D160" s="12">
        <f>Données!Z154</f>
        <v>1517</v>
      </c>
      <c r="E160" s="8">
        <f>Population!K157</f>
        <v>-315799.49698189128</v>
      </c>
      <c r="F160" s="236">
        <f>Solidarité!I154</f>
        <v>0</v>
      </c>
      <c r="G160" s="8">
        <f>DT!O154</f>
        <v>0</v>
      </c>
      <c r="H160" s="236">
        <f>Effort!K154+Aide!I154+Taux!J154</f>
        <v>0</v>
      </c>
      <c r="I160" s="313">
        <f t="shared" si="7"/>
        <v>-315799.49698189128</v>
      </c>
      <c r="J160" s="387">
        <f t="shared" si="8"/>
        <v>1565166.8724153172</v>
      </c>
      <c r="K160" s="513">
        <f t="shared" si="9"/>
        <v>1249367.3754334259</v>
      </c>
    </row>
    <row r="161" spans="1:11" x14ac:dyDescent="0.25">
      <c r="A161" s="38">
        <f>Données!A155</f>
        <v>5656</v>
      </c>
      <c r="B161" s="27" t="str">
        <f>Données!B155</f>
        <v>Hautemorges</v>
      </c>
      <c r="C161" s="26">
        <f>Ecrêtage!C155</f>
        <v>168934.99020689653</v>
      </c>
      <c r="D161" s="12">
        <f>Données!Z155</f>
        <v>4263</v>
      </c>
      <c r="E161" s="8">
        <f>Population!K158</f>
        <v>-1503389.3360160962</v>
      </c>
      <c r="F161" s="236">
        <f>Solidarité!I155</f>
        <v>-789312.42527858936</v>
      </c>
      <c r="G161" s="8">
        <f>DT!O155</f>
        <v>0</v>
      </c>
      <c r="H161" s="236">
        <f>Effort!K155+Aide!I155+Taux!J155</f>
        <v>0</v>
      </c>
      <c r="I161" s="313">
        <f t="shared" si="7"/>
        <v>-2292701.7612946853</v>
      </c>
      <c r="J161" s="387">
        <f t="shared" si="8"/>
        <v>3244761.7483343207</v>
      </c>
      <c r="K161" s="513">
        <f t="shared" si="9"/>
        <v>952059.98703963542</v>
      </c>
    </row>
    <row r="162" spans="1:11" x14ac:dyDescent="0.25">
      <c r="A162" s="38">
        <f>Données!A156</f>
        <v>5661</v>
      </c>
      <c r="B162" s="27" t="str">
        <f>Données!B156</f>
        <v>Boulens</v>
      </c>
      <c r="C162" s="26">
        <f>Ecrêtage!C156</f>
        <v>11008.776923076925</v>
      </c>
      <c r="D162" s="12">
        <f>Données!Z156</f>
        <v>383</v>
      </c>
      <c r="E162" s="8">
        <f>Population!K159</f>
        <v>-49416.247484909443</v>
      </c>
      <c r="F162" s="236">
        <f>Solidarité!I156</f>
        <v>-154150.31570696065</v>
      </c>
      <c r="G162" s="8">
        <f>DT!O156</f>
        <v>0</v>
      </c>
      <c r="H162" s="236">
        <f>Effort!K156+Aide!I156+Taux!J156</f>
        <v>0</v>
      </c>
      <c r="I162" s="313">
        <f t="shared" si="7"/>
        <v>-203566.56319187011</v>
      </c>
      <c r="J162" s="387">
        <f t="shared" si="8"/>
        <v>211447.36334490491</v>
      </c>
      <c r="K162" s="513">
        <f t="shared" si="9"/>
        <v>7880.8001530347974</v>
      </c>
    </row>
    <row r="163" spans="1:11" x14ac:dyDescent="0.25">
      <c r="A163" s="38">
        <f>Données!A157</f>
        <v>5663</v>
      </c>
      <c r="B163" s="27" t="str">
        <f>Données!B157</f>
        <v>Bussy-sur-Moudon</v>
      </c>
      <c r="C163" s="26">
        <f>Ecrêtage!C157</f>
        <v>6460.7661146496821</v>
      </c>
      <c r="D163" s="12">
        <f>Données!Z157</f>
        <v>246</v>
      </c>
      <c r="E163" s="8">
        <f>Population!K160</f>
        <v>-31739.939637826956</v>
      </c>
      <c r="F163" s="236">
        <f>Solidarité!I157</f>
        <v>-134373.29473688919</v>
      </c>
      <c r="G163" s="8">
        <f>DT!O157</f>
        <v>0</v>
      </c>
      <c r="H163" s="236">
        <f>Effort!K157+Aide!I157+Taux!J157</f>
        <v>0</v>
      </c>
      <c r="I163" s="313">
        <f t="shared" si="7"/>
        <v>-166113.23437471615</v>
      </c>
      <c r="J163" s="387">
        <f t="shared" si="8"/>
        <v>124092.9823245938</v>
      </c>
      <c r="K163" s="513">
        <f t="shared" si="9"/>
        <v>-42020.252050122348</v>
      </c>
    </row>
    <row r="164" spans="1:11" x14ac:dyDescent="0.25">
      <c r="A164" s="38">
        <f>Données!A158</f>
        <v>5665</v>
      </c>
      <c r="B164" s="27" t="str">
        <f>Données!B158</f>
        <v>Chavannes-sur-Moudon</v>
      </c>
      <c r="C164" s="26">
        <f>Ecrêtage!C158</f>
        <v>5786.5608571428584</v>
      </c>
      <c r="D164" s="12">
        <f>Données!Z158</f>
        <v>218</v>
      </c>
      <c r="E164" s="8">
        <f>Population!K161</f>
        <v>-28127.263581488929</v>
      </c>
      <c r="F164" s="236">
        <f>Solidarité!I158</f>
        <v>-93489.276255863922</v>
      </c>
      <c r="G164" s="8">
        <f>DT!O158</f>
        <v>0</v>
      </c>
      <c r="H164" s="236">
        <f>Effort!K158+Aide!I158+Taux!J158</f>
        <v>0</v>
      </c>
      <c r="I164" s="313">
        <f t="shared" si="7"/>
        <v>-121616.53983735284</v>
      </c>
      <c r="J164" s="387">
        <f t="shared" si="8"/>
        <v>111143.41262677802</v>
      </c>
      <c r="K164" s="513">
        <f t="shared" si="9"/>
        <v>-10473.127210574821</v>
      </c>
    </row>
    <row r="165" spans="1:11" x14ac:dyDescent="0.25">
      <c r="A165" s="38">
        <f>Données!A159</f>
        <v>5669</v>
      </c>
      <c r="B165" s="27" t="str">
        <f>Données!B159</f>
        <v>Curtilles</v>
      </c>
      <c r="C165" s="26">
        <f>Ecrêtage!C159</f>
        <v>8428.0279452054765</v>
      </c>
      <c r="D165" s="12">
        <f>Données!Z159</f>
        <v>294</v>
      </c>
      <c r="E165" s="8">
        <f>Population!K162</f>
        <v>-37933.098591549286</v>
      </c>
      <c r="F165" s="236">
        <f>Solidarité!I159</f>
        <v>-123827.22723460442</v>
      </c>
      <c r="G165" s="8">
        <f>DT!O159</f>
        <v>0</v>
      </c>
      <c r="H165" s="236">
        <f>Effort!K159+Aide!I159+Taux!J159</f>
        <v>0</v>
      </c>
      <c r="I165" s="313">
        <f t="shared" si="7"/>
        <v>-161760.32582615371</v>
      </c>
      <c r="J165" s="387">
        <f t="shared" si="8"/>
        <v>161878.49927953546</v>
      </c>
      <c r="K165" s="513">
        <f t="shared" si="9"/>
        <v>118.17345338175073</v>
      </c>
    </row>
    <row r="166" spans="1:11" x14ac:dyDescent="0.25">
      <c r="A166" s="38">
        <f>Données!A160</f>
        <v>5671</v>
      </c>
      <c r="B166" s="27" t="str">
        <f>Données!B160</f>
        <v>Dompierre</v>
      </c>
      <c r="C166" s="26">
        <f>Ecrêtage!C160</f>
        <v>6751.3758974358971</v>
      </c>
      <c r="D166" s="12">
        <f>Données!Z160</f>
        <v>248</v>
      </c>
      <c r="E166" s="8">
        <f>Population!K163</f>
        <v>-31997.987927565384</v>
      </c>
      <c r="F166" s="236">
        <f>Solidarité!I160</f>
        <v>-127956.28884195667</v>
      </c>
      <c r="G166" s="8">
        <f>DT!O160</f>
        <v>0</v>
      </c>
      <c r="H166" s="236">
        <f>Effort!K160+Aide!I160+Taux!J160</f>
        <v>0</v>
      </c>
      <c r="I166" s="313">
        <f t="shared" si="7"/>
        <v>-159954.27676952205</v>
      </c>
      <c r="J166" s="387">
        <f t="shared" si="8"/>
        <v>129674.77154257406</v>
      </c>
      <c r="K166" s="513">
        <f t="shared" si="9"/>
        <v>-30279.505226947993</v>
      </c>
    </row>
    <row r="167" spans="1:11" x14ac:dyDescent="0.25">
      <c r="A167" s="38">
        <f>Données!A161</f>
        <v>5673</v>
      </c>
      <c r="B167" s="27" t="str">
        <f>Données!B161</f>
        <v>Hermenches</v>
      </c>
      <c r="C167" s="26">
        <f>Ecrêtage!C161</f>
        <v>9675.0074829931946</v>
      </c>
      <c r="D167" s="12">
        <f>Données!Z161</f>
        <v>374</v>
      </c>
      <c r="E167" s="8">
        <f>Population!K164</f>
        <v>-48255.030181086506</v>
      </c>
      <c r="F167" s="236">
        <f>Solidarité!I161</f>
        <v>-182279.39691674037</v>
      </c>
      <c r="G167" s="8">
        <f>DT!O161</f>
        <v>0</v>
      </c>
      <c r="H167" s="236">
        <f>Effort!K161+Aide!I161+Taux!J161</f>
        <v>0</v>
      </c>
      <c r="I167" s="313">
        <f t="shared" si="7"/>
        <v>-230534.42709782688</v>
      </c>
      <c r="J167" s="387">
        <f t="shared" si="8"/>
        <v>185829.43744938314</v>
      </c>
      <c r="K167" s="513">
        <f t="shared" si="9"/>
        <v>-44704.989648443734</v>
      </c>
    </row>
    <row r="168" spans="1:11" x14ac:dyDescent="0.25">
      <c r="A168" s="38">
        <f>Données!A162</f>
        <v>5674</v>
      </c>
      <c r="B168" s="27" t="str">
        <f>Données!B162</f>
        <v>Lovatens</v>
      </c>
      <c r="C168" s="26">
        <f>Ecrêtage!C162</f>
        <v>3538.9463999999998</v>
      </c>
      <c r="D168" s="12">
        <f>Données!Z162</f>
        <v>143</v>
      </c>
      <c r="E168" s="8">
        <f>Population!K165</f>
        <v>-18450.452716297783</v>
      </c>
      <c r="F168" s="236">
        <f>Solidarité!I162</f>
        <v>-76173.084877409172</v>
      </c>
      <c r="G168" s="8">
        <f>DT!O162</f>
        <v>0</v>
      </c>
      <c r="H168" s="236">
        <f>Effort!K162+Aide!I162+Taux!J162</f>
        <v>0</v>
      </c>
      <c r="I168" s="313">
        <f t="shared" si="7"/>
        <v>-94623.537593706948</v>
      </c>
      <c r="J168" s="387">
        <f t="shared" si="8"/>
        <v>67973.117316087373</v>
      </c>
      <c r="K168" s="513">
        <f t="shared" si="9"/>
        <v>-26650.420277619574</v>
      </c>
    </row>
    <row r="169" spans="1:11" x14ac:dyDescent="0.25">
      <c r="A169" s="38">
        <f>Données!A163</f>
        <v>5675</v>
      </c>
      <c r="B169" s="27" t="str">
        <f>Données!B163</f>
        <v>Lucens</v>
      </c>
      <c r="C169" s="26">
        <f>Ecrêtage!C163</f>
        <v>92803.818404185746</v>
      </c>
      <c r="D169" s="12">
        <f>Données!Z163</f>
        <v>4429</v>
      </c>
      <c r="E169" s="8">
        <f>Population!K166</f>
        <v>-1589061.3682092552</v>
      </c>
      <c r="F169" s="236">
        <f>Solidarité!I163</f>
        <v>-2350317.905924391</v>
      </c>
      <c r="G169" s="8">
        <f>DT!O163</f>
        <v>0</v>
      </c>
      <c r="H169" s="236">
        <f>Effort!K163+Aide!I163+Taux!J163</f>
        <v>0</v>
      </c>
      <c r="I169" s="313">
        <f t="shared" si="7"/>
        <v>-3939379.2741336459</v>
      </c>
      <c r="J169" s="387">
        <f t="shared" si="8"/>
        <v>1782497.9874712389</v>
      </c>
      <c r="K169" s="513">
        <f t="shared" si="9"/>
        <v>-2156881.2866624072</v>
      </c>
    </row>
    <row r="170" spans="1:11" x14ac:dyDescent="0.25">
      <c r="A170" s="38">
        <f>Données!A164</f>
        <v>5678</v>
      </c>
      <c r="B170" s="27" t="str">
        <f>Données!B164</f>
        <v>Moudon</v>
      </c>
      <c r="C170" s="26">
        <f>Ecrêtage!C164</f>
        <v>130675.7416551724</v>
      </c>
      <c r="D170" s="12">
        <f>Données!Z164</f>
        <v>6136</v>
      </c>
      <c r="E170" s="8">
        <f>Population!K167</f>
        <v>-2587295.3722334001</v>
      </c>
      <c r="F170" s="236">
        <f>Solidarité!I164</f>
        <v>-3499138.0843674638</v>
      </c>
      <c r="G170" s="8">
        <f>DT!O164</f>
        <v>0</v>
      </c>
      <c r="H170" s="236">
        <f>Effort!K164+Aide!I164+Taux!J164</f>
        <v>437009.57229632302</v>
      </c>
      <c r="I170" s="313">
        <f t="shared" si="7"/>
        <v>-5649423.8843045402</v>
      </c>
      <c r="J170" s="387">
        <f t="shared" si="8"/>
        <v>2509910.1579763284</v>
      </c>
      <c r="K170" s="513">
        <f t="shared" si="9"/>
        <v>-3139513.7263282118</v>
      </c>
    </row>
    <row r="171" spans="1:11" x14ac:dyDescent="0.25">
      <c r="A171" s="38">
        <f>Données!A165</f>
        <v>5680</v>
      </c>
      <c r="B171" s="27" t="str">
        <f>Données!B165</f>
        <v>Ogens</v>
      </c>
      <c r="C171" s="26">
        <f>Ecrêtage!C165</f>
        <v>10088.612863247865</v>
      </c>
      <c r="D171" s="12">
        <f>Données!Z165</f>
        <v>324</v>
      </c>
      <c r="E171" s="8">
        <f>Population!K168</f>
        <v>-41803.822937625744</v>
      </c>
      <c r="F171" s="236">
        <f>Solidarité!I165</f>
        <v>-136329.21638018094</v>
      </c>
      <c r="G171" s="8">
        <f>DT!O165</f>
        <v>0</v>
      </c>
      <c r="H171" s="236">
        <f>Effort!K165+Aide!I165+Taux!J165</f>
        <v>0</v>
      </c>
      <c r="I171" s="313">
        <f t="shared" si="7"/>
        <v>-178133.03931780669</v>
      </c>
      <c r="J171" s="387">
        <f t="shared" si="8"/>
        <v>193773.62305067273</v>
      </c>
      <c r="K171" s="513">
        <f t="shared" si="9"/>
        <v>15640.583732866042</v>
      </c>
    </row>
    <row r="172" spans="1:11" x14ac:dyDescent="0.25">
      <c r="A172" s="38">
        <f>Données!A166</f>
        <v>5683</v>
      </c>
      <c r="B172" s="27" t="str">
        <f>Données!B166</f>
        <v>Prévonloup</v>
      </c>
      <c r="C172" s="26">
        <f>Ecrêtage!C166</f>
        <v>5181.5891034482765</v>
      </c>
      <c r="D172" s="12">
        <f>Données!Z166</f>
        <v>220</v>
      </c>
      <c r="E172" s="8">
        <f>Population!K169</f>
        <v>-28385.311871227357</v>
      </c>
      <c r="F172" s="236">
        <f>Solidarité!I166</f>
        <v>-115030.85268079436</v>
      </c>
      <c r="G172" s="8">
        <f>DT!O166</f>
        <v>0</v>
      </c>
      <c r="H172" s="236">
        <f>Effort!K166+Aide!I166+Taux!J166</f>
        <v>0</v>
      </c>
      <c r="I172" s="313">
        <f t="shared" si="7"/>
        <v>-143416.16455202171</v>
      </c>
      <c r="J172" s="387">
        <f t="shared" si="8"/>
        <v>99523.622062331793</v>
      </c>
      <c r="K172" s="513">
        <f t="shared" si="9"/>
        <v>-43892.54248968992</v>
      </c>
    </row>
    <row r="173" spans="1:11" x14ac:dyDescent="0.25">
      <c r="A173" s="38">
        <f>Données!A167</f>
        <v>5684</v>
      </c>
      <c r="B173" s="27" t="str">
        <f>Données!B167</f>
        <v>Rossenges</v>
      </c>
      <c r="C173" s="26">
        <f>Ecrêtage!C167</f>
        <v>7033.3142000000007</v>
      </c>
      <c r="D173" s="12">
        <f>Données!Z167</f>
        <v>93</v>
      </c>
      <c r="E173" s="8">
        <f>Population!K170</f>
        <v>-11999.245472837019</v>
      </c>
      <c r="F173" s="236">
        <f>Solidarité!I167</f>
        <v>0</v>
      </c>
      <c r="G173" s="8">
        <f>DT!O167</f>
        <v>0</v>
      </c>
      <c r="H173" s="236">
        <f>Effort!K167+Aide!I167+Taux!J167</f>
        <v>0</v>
      </c>
      <c r="I173" s="313">
        <f t="shared" si="7"/>
        <v>-11999.245472837019</v>
      </c>
      <c r="J173" s="387">
        <f t="shared" si="8"/>
        <v>135090.00623391845</v>
      </c>
      <c r="K173" s="513">
        <f t="shared" si="9"/>
        <v>123090.76076108143</v>
      </c>
    </row>
    <row r="174" spans="1:11" x14ac:dyDescent="0.25">
      <c r="A174" s="38">
        <f>Données!A168</f>
        <v>5688</v>
      </c>
      <c r="B174" s="27" t="str">
        <f>Données!B168</f>
        <v>Syens</v>
      </c>
      <c r="C174" s="26">
        <f>Ecrêtage!C168</f>
        <v>5277.0104615384616</v>
      </c>
      <c r="D174" s="12">
        <f>Données!Z168</f>
        <v>164</v>
      </c>
      <c r="E174" s="8">
        <f>Population!K171</f>
        <v>-21159.959758551304</v>
      </c>
      <c r="F174" s="236">
        <f>Solidarité!I168</f>
        <v>-45043.029684260597</v>
      </c>
      <c r="G174" s="8">
        <f>DT!O168</f>
        <v>0</v>
      </c>
      <c r="H174" s="236">
        <f>Effort!K168+Aide!I168+Taux!J168</f>
        <v>0</v>
      </c>
      <c r="I174" s="313">
        <f t="shared" si="7"/>
        <v>-66202.989442811901</v>
      </c>
      <c r="J174" s="387">
        <f t="shared" si="8"/>
        <v>101356.39555896474</v>
      </c>
      <c r="K174" s="513">
        <f t="shared" si="9"/>
        <v>35153.406116152837</v>
      </c>
    </row>
    <row r="175" spans="1:11" x14ac:dyDescent="0.25">
      <c r="A175" s="38">
        <f>Données!A169</f>
        <v>5690</v>
      </c>
      <c r="B175" s="27" t="str">
        <f>Données!B169</f>
        <v>Villars-le-Comte</v>
      </c>
      <c r="C175" s="26">
        <f>Ecrêtage!C169</f>
        <v>4331.3836666666666</v>
      </c>
      <c r="D175" s="12">
        <f>Données!Z169</f>
        <v>138</v>
      </c>
      <c r="E175" s="8">
        <f>Population!K172</f>
        <v>-17805.331991951705</v>
      </c>
      <c r="F175" s="236">
        <f>Solidarité!I169</f>
        <v>-46092.625896395279</v>
      </c>
      <c r="G175" s="8">
        <f>DT!O169</f>
        <v>0</v>
      </c>
      <c r="H175" s="236">
        <f>Effort!K169+Aide!I169+Taux!J169</f>
        <v>0</v>
      </c>
      <c r="I175" s="313">
        <f t="shared" si="7"/>
        <v>-63897.95788834698</v>
      </c>
      <c r="J175" s="387">
        <f t="shared" si="8"/>
        <v>83193.588384191986</v>
      </c>
      <c r="K175" s="513">
        <f t="shared" si="9"/>
        <v>19295.630495845005</v>
      </c>
    </row>
    <row r="176" spans="1:11" x14ac:dyDescent="0.25">
      <c r="A176" s="38">
        <f>Données!A170</f>
        <v>5692</v>
      </c>
      <c r="B176" s="27" t="str">
        <f>Données!B170</f>
        <v>Vucherens</v>
      </c>
      <c r="C176" s="26">
        <f>Ecrêtage!C170</f>
        <v>18948.300519480523</v>
      </c>
      <c r="D176" s="12">
        <f>Données!Z170</f>
        <v>638</v>
      </c>
      <c r="E176" s="8">
        <f>Population!K173</f>
        <v>-82317.40442655934</v>
      </c>
      <c r="F176" s="236">
        <f>Solidarité!I170</f>
        <v>-283354.41878100333</v>
      </c>
      <c r="G176" s="8">
        <f>DT!O170</f>
        <v>0</v>
      </c>
      <c r="H176" s="236">
        <f>Effort!K170+Aide!I170+Taux!J170</f>
        <v>0</v>
      </c>
      <c r="I176" s="313">
        <f t="shared" si="7"/>
        <v>-365671.82320756267</v>
      </c>
      <c r="J176" s="387">
        <f t="shared" si="8"/>
        <v>363943.08039000788</v>
      </c>
      <c r="K176" s="513">
        <f t="shared" si="9"/>
        <v>-1728.7428175547975</v>
      </c>
    </row>
    <row r="177" spans="1:11" x14ac:dyDescent="0.25">
      <c r="A177" s="38">
        <f>Données!A171</f>
        <v>5693</v>
      </c>
      <c r="B177" s="27" t="str">
        <f>Données!B171</f>
        <v>Montanaire</v>
      </c>
      <c r="C177" s="26">
        <f>Ecrêtage!C171</f>
        <v>80078.044999999984</v>
      </c>
      <c r="D177" s="12">
        <f>Données!Z171</f>
        <v>2820</v>
      </c>
      <c r="E177" s="8">
        <f>Population!K174</f>
        <v>-786531.18712273636</v>
      </c>
      <c r="F177" s="236">
        <f>Solidarité!I171</f>
        <v>-1107042.2247556525</v>
      </c>
      <c r="G177" s="8">
        <f>DT!O171</f>
        <v>0</v>
      </c>
      <c r="H177" s="236">
        <f>Effort!K171+Aide!I171+Taux!J171</f>
        <v>0</v>
      </c>
      <c r="I177" s="313">
        <f t="shared" si="7"/>
        <v>-1893573.4118783888</v>
      </c>
      <c r="J177" s="387">
        <f t="shared" si="8"/>
        <v>1538071.9943167048</v>
      </c>
      <c r="K177" s="513">
        <f t="shared" si="9"/>
        <v>-355501.41756168404</v>
      </c>
    </row>
    <row r="178" spans="1:11" x14ac:dyDescent="0.25">
      <c r="A178" s="38">
        <f>Données!A172</f>
        <v>5701</v>
      </c>
      <c r="B178" s="27" t="str">
        <f>Données!B172</f>
        <v>Arnex-sur-Nyon</v>
      </c>
      <c r="C178" s="26">
        <f>Ecrêtage!C172</f>
        <v>12996.826285714285</v>
      </c>
      <c r="D178" s="12">
        <f>Données!Z172</f>
        <v>240</v>
      </c>
      <c r="E178" s="8">
        <f>Population!K175</f>
        <v>-30965.794768611664</v>
      </c>
      <c r="F178" s="236">
        <f>Solidarité!I172</f>
        <v>0</v>
      </c>
      <c r="G178" s="8">
        <f>DT!O172</f>
        <v>0</v>
      </c>
      <c r="H178" s="236">
        <f>Effort!K172+Aide!I172+Taux!J172</f>
        <v>0</v>
      </c>
      <c r="I178" s="313">
        <f t="shared" si="7"/>
        <v>-30965.794768611664</v>
      </c>
      <c r="J178" s="387">
        <f t="shared" si="8"/>
        <v>249632.14979906598</v>
      </c>
      <c r="K178" s="513">
        <f t="shared" si="9"/>
        <v>218666.35503045432</v>
      </c>
    </row>
    <row r="179" spans="1:11" x14ac:dyDescent="0.25">
      <c r="A179" s="38">
        <f>Données!A173</f>
        <v>5702</v>
      </c>
      <c r="B179" s="27" t="str">
        <f>Données!B173</f>
        <v>Arzier-Le Muids</v>
      </c>
      <c r="C179" s="26">
        <f>Ecrêtage!C173</f>
        <v>187984.45531250001</v>
      </c>
      <c r="D179" s="12">
        <f>Données!Z173</f>
        <v>2955</v>
      </c>
      <c r="E179" s="8">
        <f>Population!K176</f>
        <v>-835302.31388329971</v>
      </c>
      <c r="F179" s="236">
        <f>Solidarité!I173</f>
        <v>0</v>
      </c>
      <c r="G179" s="8">
        <f>DT!O173</f>
        <v>0</v>
      </c>
      <c r="H179" s="236">
        <f>Effort!K173+Aide!I173+Taux!J173</f>
        <v>0</v>
      </c>
      <c r="I179" s="313">
        <f t="shared" si="7"/>
        <v>-835302.31388329971</v>
      </c>
      <c r="J179" s="387">
        <f t="shared" si="8"/>
        <v>3610647.9133330043</v>
      </c>
      <c r="K179" s="513">
        <f t="shared" si="9"/>
        <v>2775345.5994497044</v>
      </c>
    </row>
    <row r="180" spans="1:11" x14ac:dyDescent="0.25">
      <c r="A180" s="38">
        <f>Données!A174</f>
        <v>5703</v>
      </c>
      <c r="B180" s="27" t="str">
        <f>Données!B174</f>
        <v>Bassins</v>
      </c>
      <c r="C180" s="26">
        <f>Ecrêtage!C174</f>
        <v>65441.246975369453</v>
      </c>
      <c r="D180" s="12">
        <f>Données!Z174</f>
        <v>1478</v>
      </c>
      <c r="E180" s="8">
        <f>Population!K177</f>
        <v>-301710.06036217301</v>
      </c>
      <c r="F180" s="236">
        <f>Solidarité!I174</f>
        <v>-129317.14861419681</v>
      </c>
      <c r="G180" s="8">
        <f>DT!O174</f>
        <v>0</v>
      </c>
      <c r="H180" s="236">
        <f>Effort!K174+Aide!I174+Taux!J174</f>
        <v>0</v>
      </c>
      <c r="I180" s="313">
        <f t="shared" si="7"/>
        <v>-431027.20897636982</v>
      </c>
      <c r="J180" s="387">
        <f t="shared" si="8"/>
        <v>1256940.6414202363</v>
      </c>
      <c r="K180" s="513">
        <f t="shared" si="9"/>
        <v>825913.43244386651</v>
      </c>
    </row>
    <row r="181" spans="1:11" x14ac:dyDescent="0.25">
      <c r="A181" s="38">
        <f>Données!A175</f>
        <v>5704</v>
      </c>
      <c r="B181" s="27" t="str">
        <f>Données!B175</f>
        <v>Begnins</v>
      </c>
      <c r="C181" s="26">
        <f>Ecrêtage!C175</f>
        <v>129730.03685333332</v>
      </c>
      <c r="D181" s="12">
        <f>Données!Z175</f>
        <v>1939</v>
      </c>
      <c r="E181" s="8">
        <f>Population!K178</f>
        <v>-468254.42655935604</v>
      </c>
      <c r="F181" s="236">
        <f>Solidarité!I175</f>
        <v>0</v>
      </c>
      <c r="G181" s="8">
        <f>DT!O175</f>
        <v>0</v>
      </c>
      <c r="H181" s="236">
        <f>Effort!K175+Aide!I175+Taux!J175</f>
        <v>0</v>
      </c>
      <c r="I181" s="313">
        <f t="shared" si="7"/>
        <v>-468254.42655935604</v>
      </c>
      <c r="J181" s="387">
        <f t="shared" si="8"/>
        <v>2491745.852509087</v>
      </c>
      <c r="K181" s="513">
        <f t="shared" si="9"/>
        <v>2023491.4259497309</v>
      </c>
    </row>
    <row r="182" spans="1:11" x14ac:dyDescent="0.25">
      <c r="A182" s="38">
        <f>Données!A176</f>
        <v>5705</v>
      </c>
      <c r="B182" s="27" t="str">
        <f>Données!B176</f>
        <v>Bogis-Bossey</v>
      </c>
      <c r="C182" s="26">
        <f>Ecrêtage!C176</f>
        <v>51044.070201342278</v>
      </c>
      <c r="D182" s="12">
        <f>Données!Z176</f>
        <v>923</v>
      </c>
      <c r="E182" s="8">
        <f>Population!K179</f>
        <v>-119089.28571428568</v>
      </c>
      <c r="F182" s="236">
        <f>Solidarité!I176</f>
        <v>0</v>
      </c>
      <c r="G182" s="8">
        <f>DT!O176</f>
        <v>0</v>
      </c>
      <c r="H182" s="236">
        <f>Effort!K176+Aide!I176+Taux!J176</f>
        <v>0</v>
      </c>
      <c r="I182" s="313">
        <f t="shared" si="7"/>
        <v>-119089.28571428568</v>
      </c>
      <c r="J182" s="387">
        <f t="shared" si="8"/>
        <v>980411.73273673723</v>
      </c>
      <c r="K182" s="513">
        <f t="shared" si="9"/>
        <v>861322.44702245155</v>
      </c>
    </row>
    <row r="183" spans="1:11" x14ac:dyDescent="0.25">
      <c r="A183" s="38">
        <f>Données!A177</f>
        <v>5706</v>
      </c>
      <c r="B183" s="27" t="str">
        <f>Données!B177</f>
        <v>Borex</v>
      </c>
      <c r="C183" s="26">
        <f>Ecrêtage!C177</f>
        <v>156857.9796491228</v>
      </c>
      <c r="D183" s="12">
        <f>Données!Z177</f>
        <v>1131</v>
      </c>
      <c r="E183" s="8">
        <f>Population!K180</f>
        <v>-176350.20120724343</v>
      </c>
      <c r="F183" s="236">
        <f>Solidarité!I177</f>
        <v>0</v>
      </c>
      <c r="G183" s="8">
        <f>DT!O177</f>
        <v>0</v>
      </c>
      <c r="H183" s="236">
        <f>Effort!K177+Aide!I177+Taux!J177</f>
        <v>0</v>
      </c>
      <c r="I183" s="313">
        <f t="shared" si="7"/>
        <v>-176350.20120724343</v>
      </c>
      <c r="J183" s="387">
        <f t="shared" si="8"/>
        <v>3012796.6483624252</v>
      </c>
      <c r="K183" s="513">
        <f t="shared" si="9"/>
        <v>2836446.4471551818</v>
      </c>
    </row>
    <row r="184" spans="1:11" x14ac:dyDescent="0.25">
      <c r="A184" s="38">
        <f>Données!A178</f>
        <v>5707</v>
      </c>
      <c r="B184" s="27" t="str">
        <f>Données!B178</f>
        <v>Chavannes-de-Bogis</v>
      </c>
      <c r="C184" s="26">
        <f>Ecrêtage!C178</f>
        <v>86804.197126436775</v>
      </c>
      <c r="D184" s="12">
        <f>Données!Z178</f>
        <v>1314</v>
      </c>
      <c r="E184" s="8">
        <f>Population!K181</f>
        <v>-242462.17303822935</v>
      </c>
      <c r="F184" s="236">
        <f>Solidarité!I178</f>
        <v>0</v>
      </c>
      <c r="G184" s="8">
        <f>DT!O178</f>
        <v>0</v>
      </c>
      <c r="H184" s="236">
        <f>Effort!K178+Aide!I178+Taux!J178</f>
        <v>0</v>
      </c>
      <c r="I184" s="313">
        <f t="shared" si="7"/>
        <v>-242462.17303822935</v>
      </c>
      <c r="J184" s="387">
        <f t="shared" si="8"/>
        <v>1667262.2887998703</v>
      </c>
      <c r="K184" s="513">
        <f t="shared" si="9"/>
        <v>1424800.1157616409</v>
      </c>
    </row>
    <row r="185" spans="1:11" x14ac:dyDescent="0.25">
      <c r="A185" s="38">
        <f>Données!A179</f>
        <v>5708</v>
      </c>
      <c r="B185" s="27" t="str">
        <f>Données!B179</f>
        <v>Chavannes-des-Bois</v>
      </c>
      <c r="C185" s="26">
        <f>Ecrêtage!C179</f>
        <v>68806.761617647047</v>
      </c>
      <c r="D185" s="12">
        <f>Données!Z179</f>
        <v>1020</v>
      </c>
      <c r="E185" s="8">
        <f>Population!K182</f>
        <v>-136249.49698189131</v>
      </c>
      <c r="F185" s="236">
        <f>Solidarité!I179</f>
        <v>0</v>
      </c>
      <c r="G185" s="8">
        <f>DT!O179</f>
        <v>0</v>
      </c>
      <c r="H185" s="236">
        <f>Effort!K179+Aide!I179+Taux!J179</f>
        <v>0</v>
      </c>
      <c r="I185" s="313">
        <f t="shared" si="7"/>
        <v>-136249.49698189131</v>
      </c>
      <c r="J185" s="387">
        <f t="shared" si="8"/>
        <v>1321582.6268452047</v>
      </c>
      <c r="K185" s="513">
        <f t="shared" si="9"/>
        <v>1185333.1298633134</v>
      </c>
    </row>
    <row r="186" spans="1:11" x14ac:dyDescent="0.25">
      <c r="A186" s="38">
        <f>Données!A180</f>
        <v>5709</v>
      </c>
      <c r="B186" s="27" t="str">
        <f>Données!B180</f>
        <v>Chéserex</v>
      </c>
      <c r="C186" s="26">
        <f>Ecrêtage!C180</f>
        <v>90983.63491228073</v>
      </c>
      <c r="D186" s="12">
        <f>Données!Z180</f>
        <v>1251</v>
      </c>
      <c r="E186" s="8">
        <f>Population!K183</f>
        <v>-219702.31388329976</v>
      </c>
      <c r="F186" s="236">
        <f>Solidarité!I180</f>
        <v>0</v>
      </c>
      <c r="G186" s="8">
        <f>DT!O180</f>
        <v>0</v>
      </c>
      <c r="H186" s="236">
        <f>Effort!K180+Aide!I180+Taux!J180</f>
        <v>0</v>
      </c>
      <c r="I186" s="313">
        <f t="shared" si="7"/>
        <v>-219702.31388329976</v>
      </c>
      <c r="J186" s="387">
        <f t="shared" si="8"/>
        <v>1747537.4280143154</v>
      </c>
      <c r="K186" s="513">
        <f t="shared" si="9"/>
        <v>1527835.1141310157</v>
      </c>
    </row>
    <row r="187" spans="1:11" x14ac:dyDescent="0.25">
      <c r="A187" s="38">
        <f>Données!A181</f>
        <v>5710</v>
      </c>
      <c r="B187" s="27" t="str">
        <f>Données!B181</f>
        <v>Coinsins</v>
      </c>
      <c r="C187" s="26">
        <f>Ecrêtage!C181</f>
        <v>33549.646470588232</v>
      </c>
      <c r="D187" s="12">
        <f>Données!Z181</f>
        <v>499</v>
      </c>
      <c r="E187" s="8">
        <f>Population!K184</f>
        <v>-64383.048289738414</v>
      </c>
      <c r="F187" s="236">
        <f>Solidarité!I181</f>
        <v>0</v>
      </c>
      <c r="G187" s="8">
        <f>DT!O181</f>
        <v>0</v>
      </c>
      <c r="H187" s="236">
        <f>Effort!K181+Aide!I181+Taux!J181</f>
        <v>0</v>
      </c>
      <c r="I187" s="313">
        <f t="shared" si="7"/>
        <v>-64383.048289738414</v>
      </c>
      <c r="J187" s="387">
        <f t="shared" si="8"/>
        <v>644393.49956205906</v>
      </c>
      <c r="K187" s="513">
        <f t="shared" si="9"/>
        <v>580010.4512723207</v>
      </c>
    </row>
    <row r="188" spans="1:11" x14ac:dyDescent="0.25">
      <c r="A188" s="38">
        <f>Données!A182</f>
        <v>5711</v>
      </c>
      <c r="B188" s="27" t="str">
        <f>Données!B182</f>
        <v>Commugny</v>
      </c>
      <c r="C188" s="26">
        <f>Ecrêtage!C182</f>
        <v>305461.09360323887</v>
      </c>
      <c r="D188" s="12">
        <f>Données!Z182</f>
        <v>2989</v>
      </c>
      <c r="E188" s="8">
        <f>Population!K185</f>
        <v>-847585.41247484903</v>
      </c>
      <c r="F188" s="236">
        <f>Solidarité!I182</f>
        <v>0</v>
      </c>
      <c r="G188" s="8">
        <f>DT!O182</f>
        <v>0</v>
      </c>
      <c r="H188" s="236">
        <f>Effort!K182+Aide!I182+Taux!J182</f>
        <v>0</v>
      </c>
      <c r="I188" s="313">
        <f t="shared" si="7"/>
        <v>-847585.41247484903</v>
      </c>
      <c r="J188" s="387">
        <f t="shared" si="8"/>
        <v>5867040.752861728</v>
      </c>
      <c r="K188" s="513">
        <f t="shared" si="9"/>
        <v>5019455.3403868787</v>
      </c>
    </row>
    <row r="189" spans="1:11" x14ac:dyDescent="0.25">
      <c r="A189" s="38">
        <f>Données!A183</f>
        <v>5712</v>
      </c>
      <c r="B189" s="27" t="str">
        <f>Données!B183</f>
        <v>Coppet</v>
      </c>
      <c r="C189" s="26">
        <f>Ecrêtage!C183</f>
        <v>422782.58779874217</v>
      </c>
      <c r="D189" s="12">
        <f>Données!Z183</f>
        <v>3184</v>
      </c>
      <c r="E189" s="8">
        <f>Population!K186</f>
        <v>-946521.12676056311</v>
      </c>
      <c r="F189" s="236">
        <f>Solidarité!I183</f>
        <v>0</v>
      </c>
      <c r="G189" s="8">
        <f>DT!O183</f>
        <v>0</v>
      </c>
      <c r="H189" s="236">
        <f>Effort!K183+Aide!I183+Taux!J183</f>
        <v>0</v>
      </c>
      <c r="I189" s="313">
        <f t="shared" si="7"/>
        <v>-946521.12676056311</v>
      </c>
      <c r="J189" s="387">
        <f t="shared" si="8"/>
        <v>8120453.7145979134</v>
      </c>
      <c r="K189" s="513">
        <f t="shared" si="9"/>
        <v>7173932.5878373506</v>
      </c>
    </row>
    <row r="190" spans="1:11" x14ac:dyDescent="0.25">
      <c r="A190" s="38">
        <f>Données!A184</f>
        <v>5713</v>
      </c>
      <c r="B190" s="27" t="str">
        <f>Données!B184</f>
        <v>Crans</v>
      </c>
      <c r="C190" s="26">
        <f>Ecrêtage!C184</f>
        <v>284269.17355932208</v>
      </c>
      <c r="D190" s="12">
        <f>Données!Z184</f>
        <v>2360</v>
      </c>
      <c r="E190" s="8">
        <f>Population!K187</f>
        <v>-620348.08853118704</v>
      </c>
      <c r="F190" s="236">
        <f>Solidarité!I184</f>
        <v>0</v>
      </c>
      <c r="G190" s="8">
        <f>DT!O184</f>
        <v>0</v>
      </c>
      <c r="H190" s="236">
        <f>Effort!K184+Aide!I184+Taux!J184</f>
        <v>0</v>
      </c>
      <c r="I190" s="313">
        <f t="shared" si="7"/>
        <v>-620348.08853118704</v>
      </c>
      <c r="J190" s="387">
        <f t="shared" si="8"/>
        <v>5460004.1084812712</v>
      </c>
      <c r="K190" s="513">
        <f t="shared" si="9"/>
        <v>4839656.0199500844</v>
      </c>
    </row>
    <row r="191" spans="1:11" x14ac:dyDescent="0.25">
      <c r="A191" s="38">
        <f>Données!A185</f>
        <v>5714</v>
      </c>
      <c r="B191" s="27" t="str">
        <f>Données!B185</f>
        <v>Crassier</v>
      </c>
      <c r="C191" s="26">
        <f>Ecrêtage!C185</f>
        <v>62524.655789473691</v>
      </c>
      <c r="D191" s="12">
        <f>Données!Z185</f>
        <v>1234</v>
      </c>
      <c r="E191" s="8">
        <f>Population!K188</f>
        <v>-213560.7645875251</v>
      </c>
      <c r="F191" s="236">
        <f>Solidarité!I185</f>
        <v>0</v>
      </c>
      <c r="G191" s="8">
        <f>DT!O185</f>
        <v>0</v>
      </c>
      <c r="H191" s="236">
        <f>Effort!K185+Aide!I185+Taux!J185</f>
        <v>0</v>
      </c>
      <c r="I191" s="313">
        <f t="shared" si="7"/>
        <v>-213560.7645875251</v>
      </c>
      <c r="J191" s="387">
        <f t="shared" si="8"/>
        <v>1200921.2016112697</v>
      </c>
      <c r="K191" s="513">
        <f t="shared" si="9"/>
        <v>987360.43702374469</v>
      </c>
    </row>
    <row r="192" spans="1:11" x14ac:dyDescent="0.25">
      <c r="A192" s="38">
        <f>Données!A186</f>
        <v>5715</v>
      </c>
      <c r="B192" s="27" t="str">
        <f>Données!B186</f>
        <v>Duillier</v>
      </c>
      <c r="C192" s="26">
        <f>Ecrêtage!C186</f>
        <v>60550.113787878792</v>
      </c>
      <c r="D192" s="12">
        <f>Données!Z186</f>
        <v>1116</v>
      </c>
      <c r="E192" s="8">
        <f>Population!K189</f>
        <v>-170931.18712273639</v>
      </c>
      <c r="F192" s="236">
        <f>Solidarité!I186</f>
        <v>0</v>
      </c>
      <c r="G192" s="8">
        <f>DT!O186</f>
        <v>0</v>
      </c>
      <c r="H192" s="236">
        <f>Effort!K186+Aide!I186+Taux!J186</f>
        <v>0</v>
      </c>
      <c r="I192" s="313">
        <f t="shared" si="7"/>
        <v>-170931.18712273639</v>
      </c>
      <c r="J192" s="387">
        <f t="shared" si="8"/>
        <v>1162995.8532307595</v>
      </c>
      <c r="K192" s="513">
        <f t="shared" si="9"/>
        <v>992064.66610802314</v>
      </c>
    </row>
    <row r="193" spans="1:11" x14ac:dyDescent="0.25">
      <c r="A193" s="38">
        <f>Données!A187</f>
        <v>5716</v>
      </c>
      <c r="B193" s="27" t="str">
        <f>Données!B187</f>
        <v>Eysins</v>
      </c>
      <c r="C193" s="26">
        <f>Ecrêtage!C187</f>
        <v>232571.69630252098</v>
      </c>
      <c r="D193" s="12">
        <f>Données!Z187</f>
        <v>1767</v>
      </c>
      <c r="E193" s="8">
        <f>Population!K190</f>
        <v>-406116.39839034196</v>
      </c>
      <c r="F193" s="236">
        <f>Solidarité!I187</f>
        <v>0</v>
      </c>
      <c r="G193" s="8">
        <f>DT!O187</f>
        <v>0</v>
      </c>
      <c r="H193" s="236">
        <f>Effort!K187+Aide!I187+Taux!J187</f>
        <v>0</v>
      </c>
      <c r="I193" s="313">
        <f t="shared" si="7"/>
        <v>-406116.39839034196</v>
      </c>
      <c r="J193" s="387">
        <f t="shared" si="8"/>
        <v>4467042.2804857129</v>
      </c>
      <c r="K193" s="513">
        <f t="shared" si="9"/>
        <v>4060925.8820953709</v>
      </c>
    </row>
    <row r="194" spans="1:11" x14ac:dyDescent="0.25">
      <c r="A194" s="38">
        <f>Données!A188</f>
        <v>5717</v>
      </c>
      <c r="B194" s="27" t="str">
        <f>Données!B188</f>
        <v>Founex</v>
      </c>
      <c r="C194" s="26">
        <f>Ecrêtage!C188</f>
        <v>361582.97087719297</v>
      </c>
      <c r="D194" s="12">
        <f>Données!Z188</f>
        <v>3766</v>
      </c>
      <c r="E194" s="8">
        <f>Population!K191</f>
        <v>-1246889.3360160962</v>
      </c>
      <c r="F194" s="236">
        <f>Solidarité!I188</f>
        <v>0</v>
      </c>
      <c r="G194" s="8">
        <f>DT!O188</f>
        <v>0</v>
      </c>
      <c r="H194" s="236">
        <f>Effort!K188+Aide!I188+Taux!J188</f>
        <v>0</v>
      </c>
      <c r="I194" s="313">
        <f t="shared" si="7"/>
        <v>-1246889.3360160962</v>
      </c>
      <c r="J194" s="387">
        <f t="shared" si="8"/>
        <v>6944982.7493671114</v>
      </c>
      <c r="K194" s="513">
        <f t="shared" si="9"/>
        <v>5698093.4133510152</v>
      </c>
    </row>
    <row r="195" spans="1:11" x14ac:dyDescent="0.25">
      <c r="A195" s="38">
        <f>Données!A189</f>
        <v>5718</v>
      </c>
      <c r="B195" s="27" t="str">
        <f>Données!B189</f>
        <v>Genolier</v>
      </c>
      <c r="C195" s="26">
        <f>Ecrêtage!C189</f>
        <v>212699.2265454545</v>
      </c>
      <c r="D195" s="12">
        <f>Données!Z189</f>
        <v>2027</v>
      </c>
      <c r="E195" s="8">
        <f>Population!K192</f>
        <v>-500045.9758551307</v>
      </c>
      <c r="F195" s="236">
        <f>Solidarité!I189</f>
        <v>0</v>
      </c>
      <c r="G195" s="8">
        <f>DT!O189</f>
        <v>0</v>
      </c>
      <c r="H195" s="236">
        <f>Effort!K189+Aide!I189+Taux!J189</f>
        <v>0</v>
      </c>
      <c r="I195" s="313">
        <f t="shared" si="7"/>
        <v>-500045.9758551307</v>
      </c>
      <c r="J195" s="387">
        <f t="shared" si="8"/>
        <v>4085348.5317028887</v>
      </c>
      <c r="K195" s="513">
        <f t="shared" si="9"/>
        <v>3585302.555847758</v>
      </c>
    </row>
    <row r="196" spans="1:11" x14ac:dyDescent="0.25">
      <c r="A196" s="38">
        <f>Données!A190</f>
        <v>5719</v>
      </c>
      <c r="B196" s="27" t="str">
        <f>Données!B190</f>
        <v>Gingins</v>
      </c>
      <c r="C196" s="26">
        <f>Ecrêtage!C190</f>
        <v>119943.29911111109</v>
      </c>
      <c r="D196" s="12">
        <f>Données!Z190</f>
        <v>1271</v>
      </c>
      <c r="E196" s="8">
        <f>Population!K193</f>
        <v>-226927.66599597581</v>
      </c>
      <c r="F196" s="236">
        <f>Solidarité!I190</f>
        <v>0</v>
      </c>
      <c r="G196" s="8">
        <f>DT!O190</f>
        <v>0</v>
      </c>
      <c r="H196" s="236">
        <f>Effort!K190+Aide!I190+Taux!J190</f>
        <v>0</v>
      </c>
      <c r="I196" s="313">
        <f t="shared" si="7"/>
        <v>-226927.66599597581</v>
      </c>
      <c r="J196" s="387">
        <f t="shared" si="8"/>
        <v>2303770.3938545417</v>
      </c>
      <c r="K196" s="513">
        <f t="shared" si="9"/>
        <v>2076842.727858566</v>
      </c>
    </row>
    <row r="197" spans="1:11" x14ac:dyDescent="0.25">
      <c r="A197" s="38">
        <f>Données!A191</f>
        <v>5720</v>
      </c>
      <c r="B197" s="27" t="str">
        <f>Données!B191</f>
        <v>Givrins</v>
      </c>
      <c r="C197" s="26">
        <f>Ecrêtage!C191</f>
        <v>84868.432139303477</v>
      </c>
      <c r="D197" s="12">
        <f>Données!Z191</f>
        <v>1026</v>
      </c>
      <c r="E197" s="8">
        <f>Population!K194</f>
        <v>-138417.10261569414</v>
      </c>
      <c r="F197" s="236">
        <f>Solidarité!I191</f>
        <v>0</v>
      </c>
      <c r="G197" s="8">
        <f>DT!O191</f>
        <v>0</v>
      </c>
      <c r="H197" s="236">
        <f>Effort!K191+Aide!I191+Taux!J191</f>
        <v>0</v>
      </c>
      <c r="I197" s="313">
        <f t="shared" si="7"/>
        <v>-138417.10261569414</v>
      </c>
      <c r="J197" s="387">
        <f t="shared" si="8"/>
        <v>1630081.7368235008</v>
      </c>
      <c r="K197" s="513">
        <f t="shared" si="9"/>
        <v>1491664.6342078068</v>
      </c>
    </row>
    <row r="198" spans="1:11" x14ac:dyDescent="0.25">
      <c r="A198" s="38">
        <f>Données!A192</f>
        <v>5721</v>
      </c>
      <c r="B198" s="27" t="str">
        <f>Données!B192</f>
        <v>Gland</v>
      </c>
      <c r="C198" s="26">
        <f>Ecrêtage!C192</f>
        <v>688985.30491803284</v>
      </c>
      <c r="D198" s="12">
        <f>Données!Z192</f>
        <v>13698</v>
      </c>
      <c r="E198" s="8">
        <f>Population!K195</f>
        <v>-8745772.6358148865</v>
      </c>
      <c r="F198" s="236">
        <f>Solidarité!I192</f>
        <v>0</v>
      </c>
      <c r="G198" s="8">
        <f>DT!O192</f>
        <v>0</v>
      </c>
      <c r="H198" s="236">
        <f>Effort!K192+Aide!I192+Taux!J192</f>
        <v>0</v>
      </c>
      <c r="I198" s="313">
        <f t="shared" si="7"/>
        <v>-8745772.6358148865</v>
      </c>
      <c r="J198" s="387">
        <f t="shared" si="8"/>
        <v>13233452.464906977</v>
      </c>
      <c r="K198" s="513">
        <f t="shared" si="9"/>
        <v>4487679.8290920909</v>
      </c>
    </row>
    <row r="199" spans="1:11" x14ac:dyDescent="0.25">
      <c r="A199" s="38">
        <f>Données!A193</f>
        <v>5722</v>
      </c>
      <c r="B199" s="27" t="str">
        <f>Données!B193</f>
        <v>Grens</v>
      </c>
      <c r="C199" s="26">
        <f>Ecrêtage!C193</f>
        <v>20912.723225806454</v>
      </c>
      <c r="D199" s="12">
        <f>Données!Z193</f>
        <v>400</v>
      </c>
      <c r="E199" s="8">
        <f>Population!K196</f>
        <v>-51609.657947686108</v>
      </c>
      <c r="F199" s="236">
        <f>Solidarité!I193</f>
        <v>0</v>
      </c>
      <c r="G199" s="8">
        <f>DT!O193</f>
        <v>0</v>
      </c>
      <c r="H199" s="236">
        <f>Effort!K193+Aide!I193+Taux!J193</f>
        <v>0</v>
      </c>
      <c r="I199" s="313">
        <f t="shared" si="7"/>
        <v>-51609.657947686108</v>
      </c>
      <c r="J199" s="387">
        <f t="shared" si="8"/>
        <v>401674.06582552573</v>
      </c>
      <c r="K199" s="513">
        <f t="shared" si="9"/>
        <v>350064.40787783964</v>
      </c>
    </row>
    <row r="200" spans="1:11" x14ac:dyDescent="0.25">
      <c r="A200" s="38">
        <f>Données!A194</f>
        <v>5723</v>
      </c>
      <c r="B200" s="27" t="str">
        <f>Données!B194</f>
        <v>Mies</v>
      </c>
      <c r="C200" s="26">
        <f>Ecrêtage!C194</f>
        <v>253771.19326923077</v>
      </c>
      <c r="D200" s="12">
        <f>Données!Z194</f>
        <v>2226</v>
      </c>
      <c r="E200" s="8">
        <f>Population!K197</f>
        <v>-571938.2293762574</v>
      </c>
      <c r="F200" s="236">
        <f>Solidarité!I194</f>
        <v>0</v>
      </c>
      <c r="G200" s="8">
        <f>DT!O194</f>
        <v>0</v>
      </c>
      <c r="H200" s="236">
        <f>Effort!K194+Aide!I194+Taux!J194</f>
        <v>0</v>
      </c>
      <c r="I200" s="313">
        <f t="shared" si="7"/>
        <v>-571938.2293762574</v>
      </c>
      <c r="J200" s="387">
        <f t="shared" si="8"/>
        <v>4874224.4560507908</v>
      </c>
      <c r="K200" s="513">
        <f t="shared" si="9"/>
        <v>4302286.2266745334</v>
      </c>
    </row>
    <row r="201" spans="1:11" x14ac:dyDescent="0.25">
      <c r="A201" s="38">
        <f>Données!A195</f>
        <v>5724</v>
      </c>
      <c r="B201" s="27" t="str">
        <f>Données!B195</f>
        <v>Nyon</v>
      </c>
      <c r="C201" s="26">
        <f>Ecrêtage!C195</f>
        <v>1520148.6004918031</v>
      </c>
      <c r="D201" s="12">
        <f>Données!Z195</f>
        <v>22481</v>
      </c>
      <c r="E201" s="8">
        <f>Population!K198</f>
        <v>-18197617.002012067</v>
      </c>
      <c r="F201" s="236">
        <f>Solidarité!I195</f>
        <v>0</v>
      </c>
      <c r="G201" s="8">
        <f>DT!O195</f>
        <v>0</v>
      </c>
      <c r="H201" s="236">
        <f>Effort!K195+Aide!I195+Taux!J195</f>
        <v>0</v>
      </c>
      <c r="I201" s="313">
        <f t="shared" si="7"/>
        <v>-18197617.002012067</v>
      </c>
      <c r="J201" s="387">
        <f t="shared" si="8"/>
        <v>29197740.649339978</v>
      </c>
      <c r="K201" s="513">
        <f t="shared" si="9"/>
        <v>11000123.647327911</v>
      </c>
    </row>
    <row r="202" spans="1:11" x14ac:dyDescent="0.25">
      <c r="A202" s="38">
        <f>Données!A196</f>
        <v>5725</v>
      </c>
      <c r="B202" s="27" t="str">
        <f>Données!B196</f>
        <v>Prangins</v>
      </c>
      <c r="C202" s="26">
        <f>Ecrêtage!C196</f>
        <v>388958.996077922</v>
      </c>
      <c r="D202" s="12">
        <f>Données!Z196</f>
        <v>4279</v>
      </c>
      <c r="E202" s="8">
        <f>Population!K199</f>
        <v>-1511646.8812877261</v>
      </c>
      <c r="F202" s="236">
        <f>Solidarité!I196</f>
        <v>0</v>
      </c>
      <c r="G202" s="8">
        <f>DT!O196</f>
        <v>0</v>
      </c>
      <c r="H202" s="236">
        <f>Effort!K196+Aide!I196+Taux!J196</f>
        <v>0</v>
      </c>
      <c r="I202" s="313">
        <f t="shared" si="7"/>
        <v>-1511646.8812877261</v>
      </c>
      <c r="J202" s="387">
        <f t="shared" si="8"/>
        <v>7470798.5041966615</v>
      </c>
      <c r="K202" s="513">
        <f t="shared" si="9"/>
        <v>5959151.622908935</v>
      </c>
    </row>
    <row r="203" spans="1:11" x14ac:dyDescent="0.25">
      <c r="A203" s="38">
        <f>Données!A197</f>
        <v>5726</v>
      </c>
      <c r="B203" s="27" t="str">
        <f>Données!B197</f>
        <v>La Rippe</v>
      </c>
      <c r="C203" s="26">
        <f>Ecrêtage!C197</f>
        <v>69785.913125000021</v>
      </c>
      <c r="D203" s="12">
        <f>Données!Z197</f>
        <v>1198</v>
      </c>
      <c r="E203" s="8">
        <f>Population!K200</f>
        <v>-200555.13078470819</v>
      </c>
      <c r="F203" s="236">
        <f>Solidarité!I197</f>
        <v>0</v>
      </c>
      <c r="G203" s="8">
        <f>DT!O197</f>
        <v>0</v>
      </c>
      <c r="H203" s="236">
        <f>Effort!K197+Aide!I197+Taux!J197</f>
        <v>0</v>
      </c>
      <c r="I203" s="313">
        <f t="shared" si="7"/>
        <v>-200555.13078470819</v>
      </c>
      <c r="J203" s="387">
        <f t="shared" si="8"/>
        <v>1340389.348608362</v>
      </c>
      <c r="K203" s="513">
        <f t="shared" si="9"/>
        <v>1139834.2178236539</v>
      </c>
    </row>
    <row r="204" spans="1:11" x14ac:dyDescent="0.25">
      <c r="A204" s="38">
        <f>Données!A198</f>
        <v>5727</v>
      </c>
      <c r="B204" s="27" t="str">
        <f>Données!B198</f>
        <v>Saint-Cergue</v>
      </c>
      <c r="C204" s="26">
        <f>Ecrêtage!C198</f>
        <v>107048.1634848485</v>
      </c>
      <c r="D204" s="12">
        <f>Données!Z198</f>
        <v>2788</v>
      </c>
      <c r="E204" s="8">
        <f>Population!K201</f>
        <v>-774970.62374245469</v>
      </c>
      <c r="F204" s="236">
        <f>Solidarité!I198</f>
        <v>-487604.52880698477</v>
      </c>
      <c r="G204" s="8">
        <f>DT!O198</f>
        <v>0</v>
      </c>
      <c r="H204" s="236">
        <f>Effort!K198+Aide!I198+Taux!J198</f>
        <v>0</v>
      </c>
      <c r="I204" s="313">
        <f t="shared" si="7"/>
        <v>-1262575.1525494396</v>
      </c>
      <c r="J204" s="387">
        <f t="shared" si="8"/>
        <v>2056091.4330398752</v>
      </c>
      <c r="K204" s="513">
        <f t="shared" si="9"/>
        <v>793516.28049043566</v>
      </c>
    </row>
    <row r="205" spans="1:11" x14ac:dyDescent="0.25">
      <c r="A205" s="38">
        <f>Données!A199</f>
        <v>5728</v>
      </c>
      <c r="B205" s="27" t="str">
        <f>Données!B199</f>
        <v>Signy-Avenex</v>
      </c>
      <c r="C205" s="26">
        <f>Ecrêtage!C199</f>
        <v>66000.760172413793</v>
      </c>
      <c r="D205" s="12">
        <f>Données!Z199</f>
        <v>583</v>
      </c>
      <c r="E205" s="8">
        <f>Population!K202</f>
        <v>-75221.076458752505</v>
      </c>
      <c r="F205" s="236">
        <f>Solidarité!I199</f>
        <v>0</v>
      </c>
      <c r="G205" s="8">
        <f>DT!O199</f>
        <v>0</v>
      </c>
      <c r="H205" s="236">
        <f>Effort!K199+Aide!I199+Taux!J199</f>
        <v>0</v>
      </c>
      <c r="I205" s="313">
        <f t="shared" ref="I205:I268" si="10">SUM(E205:H205)</f>
        <v>-75221.076458752505</v>
      </c>
      <c r="J205" s="387">
        <f t="shared" ref="J205:J268" si="11">C205*$J$11</f>
        <v>1267687.3021163673</v>
      </c>
      <c r="K205" s="513">
        <f t="shared" ref="K205:K268" si="12">I205+J205</f>
        <v>1192466.2256576149</v>
      </c>
    </row>
    <row r="206" spans="1:11" x14ac:dyDescent="0.25">
      <c r="A206" s="38">
        <f>Données!A200</f>
        <v>5729</v>
      </c>
      <c r="B206" s="27" t="str">
        <f>Données!B200</f>
        <v>Tannay</v>
      </c>
      <c r="C206" s="26">
        <f>Ecrêtage!C200</f>
        <v>189085.86771349865</v>
      </c>
      <c r="D206" s="12">
        <f>Données!Z200</f>
        <v>1724</v>
      </c>
      <c r="E206" s="8">
        <f>Population!K203</f>
        <v>-390581.89134808845</v>
      </c>
      <c r="F206" s="236">
        <f>Solidarité!I200</f>
        <v>0</v>
      </c>
      <c r="G206" s="8">
        <f>DT!O200</f>
        <v>0</v>
      </c>
      <c r="H206" s="236">
        <f>Effort!K200+Aide!I200+Taux!J200</f>
        <v>0</v>
      </c>
      <c r="I206" s="313">
        <f t="shared" si="10"/>
        <v>-390581.89134808845</v>
      </c>
      <c r="J206" s="387">
        <f t="shared" si="11"/>
        <v>3631802.9199040206</v>
      </c>
      <c r="K206" s="513">
        <f t="shared" si="12"/>
        <v>3241221.028555932</v>
      </c>
    </row>
    <row r="207" spans="1:11" x14ac:dyDescent="0.25">
      <c r="A207" s="38">
        <f>Données!A201</f>
        <v>5730</v>
      </c>
      <c r="B207" s="27" t="str">
        <f>Données!B201</f>
        <v>Trélex</v>
      </c>
      <c r="C207" s="26">
        <f>Ecrêtage!C201</f>
        <v>121414.34176176177</v>
      </c>
      <c r="D207" s="12">
        <f>Données!Z201</f>
        <v>1429</v>
      </c>
      <c r="E207" s="8">
        <f>Population!K204</f>
        <v>-284007.94768611668</v>
      </c>
      <c r="F207" s="236">
        <f>Solidarité!I201</f>
        <v>0</v>
      </c>
      <c r="G207" s="8">
        <f>DT!O201</f>
        <v>0</v>
      </c>
      <c r="H207" s="236">
        <f>Effort!K201+Aide!I201+Taux!J201</f>
        <v>0</v>
      </c>
      <c r="I207" s="313">
        <f t="shared" si="10"/>
        <v>-284007.94768611668</v>
      </c>
      <c r="J207" s="387">
        <f t="shared" si="11"/>
        <v>2332024.9485631539</v>
      </c>
      <c r="K207" s="513">
        <f t="shared" si="12"/>
        <v>2048017.0008770372</v>
      </c>
    </row>
    <row r="208" spans="1:11" x14ac:dyDescent="0.25">
      <c r="A208" s="38">
        <f>Données!A202</f>
        <v>5731</v>
      </c>
      <c r="B208" s="27" t="str">
        <f>Données!B202</f>
        <v>Le Vaud</v>
      </c>
      <c r="C208" s="26">
        <f>Ecrêtage!C202</f>
        <v>69610.558648648643</v>
      </c>
      <c r="D208" s="12">
        <f>Données!Z202</f>
        <v>1408</v>
      </c>
      <c r="E208" s="8">
        <f>Population!K205</f>
        <v>-276421.32796780678</v>
      </c>
      <c r="F208" s="236">
        <f>Solidarité!I202</f>
        <v>0</v>
      </c>
      <c r="G208" s="8">
        <f>DT!O202</f>
        <v>0</v>
      </c>
      <c r="H208" s="236">
        <f>Effort!K202+Aide!I202+Taux!J202</f>
        <v>0</v>
      </c>
      <c r="I208" s="313">
        <f t="shared" si="10"/>
        <v>-276421.32796780678</v>
      </c>
      <c r="J208" s="387">
        <f t="shared" si="11"/>
        <v>1337021.2867487834</v>
      </c>
      <c r="K208" s="513">
        <f t="shared" si="12"/>
        <v>1060599.9587809767</v>
      </c>
    </row>
    <row r="209" spans="1:11" x14ac:dyDescent="0.25">
      <c r="A209" s="38">
        <f>Données!A203</f>
        <v>5732</v>
      </c>
      <c r="B209" s="27" t="str">
        <f>Données!B203</f>
        <v>Vich</v>
      </c>
      <c r="C209" s="26">
        <f>Ecrêtage!C203</f>
        <v>79861.73920634923</v>
      </c>
      <c r="D209" s="12">
        <f>Données!Z203</f>
        <v>1160</v>
      </c>
      <c r="E209" s="8">
        <f>Population!K206</f>
        <v>-186826.96177062369</v>
      </c>
      <c r="F209" s="236">
        <f>Solidarité!I203</f>
        <v>0</v>
      </c>
      <c r="G209" s="8">
        <f>DT!O203</f>
        <v>0</v>
      </c>
      <c r="H209" s="236">
        <f>Effort!K203+Aide!I203+Taux!J203</f>
        <v>0</v>
      </c>
      <c r="I209" s="313">
        <f t="shared" si="10"/>
        <v>-186826.96177062369</v>
      </c>
      <c r="J209" s="387">
        <f t="shared" si="11"/>
        <v>1533917.3738658349</v>
      </c>
      <c r="K209" s="513">
        <f t="shared" si="12"/>
        <v>1347090.4120952112</v>
      </c>
    </row>
    <row r="210" spans="1:11" x14ac:dyDescent="0.25">
      <c r="A210" s="38">
        <f>Données!A204</f>
        <v>5741</v>
      </c>
      <c r="B210" s="27" t="str">
        <f>Données!B204</f>
        <v>L'Abergement</v>
      </c>
      <c r="C210" s="26">
        <f>Ecrêtage!C204</f>
        <v>10833.904395833331</v>
      </c>
      <c r="D210" s="12">
        <f>Données!Z204</f>
        <v>260</v>
      </c>
      <c r="E210" s="8">
        <f>Population!K207</f>
        <v>-33546.277665995971</v>
      </c>
      <c r="F210" s="236">
        <f>Solidarité!I204</f>
        <v>-45043.623630243805</v>
      </c>
      <c r="G210" s="8">
        <f>DT!O204</f>
        <v>0</v>
      </c>
      <c r="H210" s="236">
        <f>Effort!K204+Aide!I204+Taux!J204</f>
        <v>0</v>
      </c>
      <c r="I210" s="313">
        <f t="shared" si="10"/>
        <v>-78589.901296239783</v>
      </c>
      <c r="J210" s="387">
        <f t="shared" si="11"/>
        <v>208088.55835998355</v>
      </c>
      <c r="K210" s="513">
        <f t="shared" si="12"/>
        <v>129498.65706374377</v>
      </c>
    </row>
    <row r="211" spans="1:11" x14ac:dyDescent="0.25">
      <c r="A211" s="38">
        <f>Données!A205</f>
        <v>5742</v>
      </c>
      <c r="B211" s="27" t="str">
        <f>Données!B205</f>
        <v>Agiez</v>
      </c>
      <c r="C211" s="26">
        <f>Ecrêtage!C205</f>
        <v>9049.0364473684222</v>
      </c>
      <c r="D211" s="12">
        <f>Données!Z205</f>
        <v>381</v>
      </c>
      <c r="E211" s="8">
        <f>Population!K208</f>
        <v>-49158.199195171015</v>
      </c>
      <c r="F211" s="236">
        <f>Solidarité!I205</f>
        <v>-217168.95511378572</v>
      </c>
      <c r="G211" s="8">
        <f>DT!O205</f>
        <v>0</v>
      </c>
      <c r="H211" s="236">
        <f>Effort!K205+Aide!I205+Taux!J205</f>
        <v>0</v>
      </c>
      <c r="I211" s="313">
        <f t="shared" si="10"/>
        <v>-266327.15430895676</v>
      </c>
      <c r="J211" s="387">
        <f t="shared" si="11"/>
        <v>173806.3102720415</v>
      </c>
      <c r="K211" s="513">
        <f t="shared" si="12"/>
        <v>-92520.844036915252</v>
      </c>
    </row>
    <row r="212" spans="1:11" x14ac:dyDescent="0.25">
      <c r="A212" s="38">
        <f>Données!A206</f>
        <v>5743</v>
      </c>
      <c r="B212" s="27" t="str">
        <f>Données!B206</f>
        <v>Arnex-sur-Orbe</v>
      </c>
      <c r="C212" s="26">
        <f>Ecrêtage!C206</f>
        <v>19423.544507042254</v>
      </c>
      <c r="D212" s="12">
        <f>Données!Z206</f>
        <v>692</v>
      </c>
      <c r="E212" s="8">
        <f>Population!K209</f>
        <v>-89284.708249496965</v>
      </c>
      <c r="F212" s="236">
        <f>Solidarité!I206</f>
        <v>-284043.98026317015</v>
      </c>
      <c r="G212" s="8">
        <f>DT!O206</f>
        <v>0</v>
      </c>
      <c r="H212" s="236">
        <f>Effort!K206+Aide!I206+Taux!J206</f>
        <v>0</v>
      </c>
      <c r="I212" s="313">
        <f t="shared" si="10"/>
        <v>-373328.68851266708</v>
      </c>
      <c r="J212" s="387">
        <f t="shared" si="11"/>
        <v>373071.16871604149</v>
      </c>
      <c r="K212" s="513">
        <f t="shared" si="12"/>
        <v>-257.51979662559461</v>
      </c>
    </row>
    <row r="213" spans="1:11" x14ac:dyDescent="0.25">
      <c r="A213" s="38">
        <f>Données!A207</f>
        <v>5744</v>
      </c>
      <c r="B213" s="27" t="str">
        <f>Données!B207</f>
        <v>Ballaigues</v>
      </c>
      <c r="C213" s="26">
        <f>Ecrêtage!C207</f>
        <v>54105.101538461538</v>
      </c>
      <c r="D213" s="12">
        <f>Données!Z207</f>
        <v>1152</v>
      </c>
      <c r="E213" s="8">
        <f>Population!K210</f>
        <v>-183936.82092555327</v>
      </c>
      <c r="F213" s="236">
        <f>Solidarité!I207</f>
        <v>-28702.883653435543</v>
      </c>
      <c r="G213" s="8">
        <f>DT!O207</f>
        <v>0</v>
      </c>
      <c r="H213" s="236">
        <f>Effort!K207+Aide!I207+Taux!J207</f>
        <v>0</v>
      </c>
      <c r="I213" s="313">
        <f t="shared" si="10"/>
        <v>-212639.70457898881</v>
      </c>
      <c r="J213" s="387">
        <f t="shared" si="11"/>
        <v>1039205.4579500457</v>
      </c>
      <c r="K213" s="513">
        <f t="shared" si="12"/>
        <v>826565.75337105687</v>
      </c>
    </row>
    <row r="214" spans="1:11" x14ac:dyDescent="0.25">
      <c r="A214" s="38">
        <f>Données!A208</f>
        <v>5745</v>
      </c>
      <c r="B214" s="27" t="str">
        <f>Données!B208</f>
        <v>Baulmes</v>
      </c>
      <c r="C214" s="26">
        <f>Ecrêtage!C208</f>
        <v>27705.104967320265</v>
      </c>
      <c r="D214" s="12">
        <f>Données!Z208</f>
        <v>1132</v>
      </c>
      <c r="E214" s="8">
        <f>Population!K211</f>
        <v>-176711.46881287722</v>
      </c>
      <c r="F214" s="236">
        <f>Solidarité!I208</f>
        <v>-634592.43925964297</v>
      </c>
      <c r="G214" s="8">
        <f>DT!O208</f>
        <v>0</v>
      </c>
      <c r="H214" s="236">
        <f>Effort!K208+Aide!I208+Taux!J208</f>
        <v>0</v>
      </c>
      <c r="I214" s="313">
        <f t="shared" si="10"/>
        <v>-811303.90807252016</v>
      </c>
      <c r="J214" s="387">
        <f t="shared" si="11"/>
        <v>532136.44326406741</v>
      </c>
      <c r="K214" s="513">
        <f t="shared" si="12"/>
        <v>-279167.46480845276</v>
      </c>
    </row>
    <row r="215" spans="1:11" x14ac:dyDescent="0.25">
      <c r="A215" s="38">
        <f>Données!A209</f>
        <v>5746</v>
      </c>
      <c r="B215" s="27" t="str">
        <f>Données!B209</f>
        <v>Bavois</v>
      </c>
      <c r="C215" s="26">
        <f>Ecrêtage!C209</f>
        <v>29513.59275462963</v>
      </c>
      <c r="D215" s="12">
        <f>Données!Z209</f>
        <v>1009</v>
      </c>
      <c r="E215" s="8">
        <f>Population!K212</f>
        <v>-132275.55331991948</v>
      </c>
      <c r="F215" s="236">
        <f>Solidarité!I209</f>
        <v>-401208.29311747645</v>
      </c>
      <c r="G215" s="8">
        <f>DT!O209</f>
        <v>0</v>
      </c>
      <c r="H215" s="236">
        <f>Effort!K209+Aide!I209+Taux!J209</f>
        <v>0</v>
      </c>
      <c r="I215" s="313">
        <f t="shared" si="10"/>
        <v>-533483.8464373959</v>
      </c>
      <c r="J215" s="387">
        <f t="shared" si="11"/>
        <v>566872.36142645904</v>
      </c>
      <c r="K215" s="513">
        <f t="shared" si="12"/>
        <v>33388.514989063144</v>
      </c>
    </row>
    <row r="216" spans="1:11" x14ac:dyDescent="0.25">
      <c r="A216" s="38">
        <f>Données!A210</f>
        <v>5747</v>
      </c>
      <c r="B216" s="27" t="str">
        <f>Données!B210</f>
        <v>Bofflens</v>
      </c>
      <c r="C216" s="26">
        <f>Ecrêtage!C210</f>
        <v>5778.0378260869547</v>
      </c>
      <c r="D216" s="12">
        <f>Données!Z210</f>
        <v>204</v>
      </c>
      <c r="E216" s="8">
        <f>Population!K213</f>
        <v>-26320.925553319914</v>
      </c>
      <c r="F216" s="236">
        <f>Solidarité!I210</f>
        <v>-78094.559709968496</v>
      </c>
      <c r="G216" s="8">
        <f>DT!O210</f>
        <v>0</v>
      </c>
      <c r="H216" s="236">
        <f>Effort!K210+Aide!I210+Taux!J210</f>
        <v>0</v>
      </c>
      <c r="I216" s="313">
        <f t="shared" si="10"/>
        <v>-104415.48526328841</v>
      </c>
      <c r="J216" s="387">
        <f t="shared" si="11"/>
        <v>110979.70938734733</v>
      </c>
      <c r="K216" s="513">
        <f t="shared" si="12"/>
        <v>6564.224124058921</v>
      </c>
    </row>
    <row r="217" spans="1:11" x14ac:dyDescent="0.25">
      <c r="A217" s="38">
        <f>Données!A211</f>
        <v>5748</v>
      </c>
      <c r="B217" s="27" t="str">
        <f>Données!B211</f>
        <v>Bretonnières</v>
      </c>
      <c r="C217" s="26">
        <f>Ecrêtage!C211</f>
        <v>6762.4759338061467</v>
      </c>
      <c r="D217" s="12">
        <f>Données!Z211</f>
        <v>264</v>
      </c>
      <c r="E217" s="8">
        <f>Population!K214</f>
        <v>-34062.374245472827</v>
      </c>
      <c r="F217" s="236">
        <f>Solidarité!I211</f>
        <v>-119708.44763881229</v>
      </c>
      <c r="G217" s="8">
        <f>DT!O211</f>
        <v>0</v>
      </c>
      <c r="H217" s="236">
        <f>Effort!K211+Aide!I211+Taux!J211</f>
        <v>0</v>
      </c>
      <c r="I217" s="313">
        <f t="shared" si="10"/>
        <v>-153770.82188428511</v>
      </c>
      <c r="J217" s="387">
        <f t="shared" si="11"/>
        <v>129887.97174091778</v>
      </c>
      <c r="K217" s="513">
        <f t="shared" si="12"/>
        <v>-23882.850143367323</v>
      </c>
    </row>
    <row r="218" spans="1:11" x14ac:dyDescent="0.25">
      <c r="A218" s="38">
        <f>Données!A212</f>
        <v>5749</v>
      </c>
      <c r="B218" s="27" t="str">
        <f>Données!B212</f>
        <v>Chavornay</v>
      </c>
      <c r="C218" s="26">
        <f>Ecrêtage!C212</f>
        <v>144692.07858156026</v>
      </c>
      <c r="D218" s="12">
        <f>Données!Z212</f>
        <v>5415</v>
      </c>
      <c r="E218" s="8">
        <f>Population!K215</f>
        <v>-2140768.6116700196</v>
      </c>
      <c r="F218" s="236">
        <f>Solidarité!I212</f>
        <v>-2336502.7439002674</v>
      </c>
      <c r="G218" s="8">
        <f>DT!O212</f>
        <v>0</v>
      </c>
      <c r="H218" s="236">
        <f>Effort!K212+Aide!I212+Taux!J212</f>
        <v>0</v>
      </c>
      <c r="I218" s="313">
        <f t="shared" si="10"/>
        <v>-4477271.3555702865</v>
      </c>
      <c r="J218" s="387">
        <f t="shared" si="11"/>
        <v>2779124.2139561446</v>
      </c>
      <c r="K218" s="513">
        <f t="shared" si="12"/>
        <v>-1698147.1416141419</v>
      </c>
    </row>
    <row r="219" spans="1:11" x14ac:dyDescent="0.25">
      <c r="A219" s="38">
        <f>Données!A213</f>
        <v>5750</v>
      </c>
      <c r="B219" s="27" t="str">
        <f>Données!B213</f>
        <v>Les Clées</v>
      </c>
      <c r="C219" s="26">
        <f>Ecrêtage!C213</f>
        <v>5460.4465833333343</v>
      </c>
      <c r="D219" s="12">
        <f>Données!Z213</f>
        <v>187</v>
      </c>
      <c r="E219" s="8">
        <f>Population!K216</f>
        <v>-24127.515090543253</v>
      </c>
      <c r="F219" s="236">
        <f>Solidarité!I213</f>
        <v>-92038.043596592848</v>
      </c>
      <c r="G219" s="8">
        <f>DT!O213</f>
        <v>0</v>
      </c>
      <c r="H219" s="236">
        <f>Effort!K213+Aide!I213+Taux!J213</f>
        <v>0</v>
      </c>
      <c r="I219" s="313">
        <f t="shared" si="10"/>
        <v>-116165.5586871361</v>
      </c>
      <c r="J219" s="387">
        <f t="shared" si="11"/>
        <v>104879.68289294949</v>
      </c>
      <c r="K219" s="513">
        <f t="shared" si="12"/>
        <v>-11285.875794186606</v>
      </c>
    </row>
    <row r="220" spans="1:11" x14ac:dyDescent="0.25">
      <c r="A220" s="38">
        <f>Données!A214</f>
        <v>5752</v>
      </c>
      <c r="B220" s="27" t="str">
        <f>Données!B214</f>
        <v>Croy</v>
      </c>
      <c r="C220" s="26">
        <f>Ecrêtage!C214</f>
        <v>10204.254034749034</v>
      </c>
      <c r="D220" s="12">
        <f>Données!Z214</f>
        <v>387</v>
      </c>
      <c r="E220" s="8">
        <f>Population!K217</f>
        <v>-49932.344064386307</v>
      </c>
      <c r="F220" s="236">
        <f>Solidarité!I214</f>
        <v>-186967.30080644169</v>
      </c>
      <c r="G220" s="8">
        <f>DT!O214</f>
        <v>0</v>
      </c>
      <c r="H220" s="236">
        <f>Effort!K214+Aide!I214+Taux!J214</f>
        <v>0</v>
      </c>
      <c r="I220" s="313">
        <f t="shared" si="10"/>
        <v>-236899.64487082799</v>
      </c>
      <c r="J220" s="387">
        <f t="shared" si="11"/>
        <v>195994.76178196821</v>
      </c>
      <c r="K220" s="513">
        <f t="shared" si="12"/>
        <v>-40904.883088859788</v>
      </c>
    </row>
    <row r="221" spans="1:11" x14ac:dyDescent="0.25">
      <c r="A221" s="38">
        <f>Données!A215</f>
        <v>5754</v>
      </c>
      <c r="B221" s="27" t="str">
        <f>Données!B215</f>
        <v>Juriens</v>
      </c>
      <c r="C221" s="26">
        <f>Ecrêtage!C215</f>
        <v>8633.2483544303759</v>
      </c>
      <c r="D221" s="12">
        <f>Données!Z215</f>
        <v>349</v>
      </c>
      <c r="E221" s="8">
        <f>Population!K218</f>
        <v>-45029.426559356129</v>
      </c>
      <c r="F221" s="236">
        <f>Solidarité!I215</f>
        <v>-206357.40379001823</v>
      </c>
      <c r="G221" s="8">
        <f>DT!O215</f>
        <v>0</v>
      </c>
      <c r="H221" s="236">
        <f>Effort!K215+Aide!I215+Taux!J215</f>
        <v>0</v>
      </c>
      <c r="I221" s="313">
        <f t="shared" si="10"/>
        <v>-251386.83034937436</v>
      </c>
      <c r="J221" s="387">
        <f t="shared" si="11"/>
        <v>165820.20095433324</v>
      </c>
      <c r="K221" s="513">
        <f t="shared" si="12"/>
        <v>-85566.62939504112</v>
      </c>
    </row>
    <row r="222" spans="1:11" x14ac:dyDescent="0.25">
      <c r="A222" s="38">
        <f>Données!A216</f>
        <v>5755</v>
      </c>
      <c r="B222" s="27" t="str">
        <f>Données!B216</f>
        <v>Lignerolle</v>
      </c>
      <c r="C222" s="26">
        <f>Ecrêtage!C216</f>
        <v>10920.942602365787</v>
      </c>
      <c r="D222" s="12">
        <f>Données!Z216</f>
        <v>448</v>
      </c>
      <c r="E222" s="8">
        <f>Population!K219</f>
        <v>-57802.816901408441</v>
      </c>
      <c r="F222" s="236">
        <f>Solidarité!I216</f>
        <v>-265523.9690535352</v>
      </c>
      <c r="G222" s="8">
        <f>DT!O216</f>
        <v>0</v>
      </c>
      <c r="H222" s="236">
        <f>Effort!K216+Aide!I216+Taux!J216</f>
        <v>0</v>
      </c>
      <c r="I222" s="313">
        <f t="shared" si="10"/>
        <v>-323326.78595494363</v>
      </c>
      <c r="J222" s="387">
        <f t="shared" si="11"/>
        <v>209760.31530538754</v>
      </c>
      <c r="K222" s="513">
        <f t="shared" si="12"/>
        <v>-113566.47064955608</v>
      </c>
    </row>
    <row r="223" spans="1:11" x14ac:dyDescent="0.25">
      <c r="A223" s="38">
        <f>Données!A217</f>
        <v>5756</v>
      </c>
      <c r="B223" s="27" t="str">
        <f>Données!B217</f>
        <v>Montcherand</v>
      </c>
      <c r="C223" s="26">
        <f>Ecrêtage!C217</f>
        <v>17503.400416666664</v>
      </c>
      <c r="D223" s="12">
        <f>Données!Z217</f>
        <v>496</v>
      </c>
      <c r="E223" s="8">
        <f>Population!K220</f>
        <v>-63995.975855130768</v>
      </c>
      <c r="F223" s="236">
        <f>Solidarité!I217</f>
        <v>-135165.59510760845</v>
      </c>
      <c r="G223" s="8">
        <f>DT!O217</f>
        <v>0</v>
      </c>
      <c r="H223" s="236">
        <f>Effort!K217+Aide!I217+Taux!J217</f>
        <v>0</v>
      </c>
      <c r="I223" s="313">
        <f t="shared" si="10"/>
        <v>-199161.57096273921</v>
      </c>
      <c r="J223" s="387">
        <f t="shared" si="11"/>
        <v>336190.64983649814</v>
      </c>
      <c r="K223" s="513">
        <f t="shared" si="12"/>
        <v>137029.07887375893</v>
      </c>
    </row>
    <row r="224" spans="1:11" x14ac:dyDescent="0.25">
      <c r="A224" s="38">
        <f>Données!A218</f>
        <v>5757</v>
      </c>
      <c r="B224" s="27" t="str">
        <f>Données!B218</f>
        <v>Orbe</v>
      </c>
      <c r="C224" s="26">
        <f>Ecrêtage!C218</f>
        <v>217762.06927152316</v>
      </c>
      <c r="D224" s="12">
        <f>Données!Z218</f>
        <v>7622</v>
      </c>
      <c r="E224" s="8">
        <f>Population!K221</f>
        <v>-3507598.7927565388</v>
      </c>
      <c r="F224" s="236">
        <f>Solidarité!I218</f>
        <v>-3450654.2196438354</v>
      </c>
      <c r="G224" s="8">
        <f>DT!O218</f>
        <v>0</v>
      </c>
      <c r="H224" s="236">
        <f>Effort!K218+Aide!I218+Taux!J218</f>
        <v>0</v>
      </c>
      <c r="I224" s="313">
        <f t="shared" si="10"/>
        <v>-6958253.0124003738</v>
      </c>
      <c r="J224" s="387">
        <f t="shared" si="11"/>
        <v>4182591.3728411342</v>
      </c>
      <c r="K224" s="513">
        <f t="shared" si="12"/>
        <v>-2775661.6395592396</v>
      </c>
    </row>
    <row r="225" spans="1:11" x14ac:dyDescent="0.25">
      <c r="A225" s="38">
        <f>Données!A219</f>
        <v>5758</v>
      </c>
      <c r="B225" s="27" t="str">
        <f>Données!B219</f>
        <v>La Praz</v>
      </c>
      <c r="C225" s="26">
        <f>Ecrêtage!C219</f>
        <v>4500.7334939759048</v>
      </c>
      <c r="D225" s="12">
        <f>Données!Z219</f>
        <v>183</v>
      </c>
      <c r="E225" s="8">
        <f>Population!K222</f>
        <v>-23611.418511066393</v>
      </c>
      <c r="F225" s="236">
        <f>Solidarité!I219</f>
        <v>-120159.60022098204</v>
      </c>
      <c r="G225" s="8">
        <f>DT!O219</f>
        <v>0</v>
      </c>
      <c r="H225" s="236">
        <f>Effort!K219+Aide!I219+Taux!J219</f>
        <v>0</v>
      </c>
      <c r="I225" s="313">
        <f t="shared" si="10"/>
        <v>-143771.01873204843</v>
      </c>
      <c r="J225" s="387">
        <f t="shared" si="11"/>
        <v>86446.317976013423</v>
      </c>
      <c r="K225" s="513">
        <f t="shared" si="12"/>
        <v>-57324.700756035003</v>
      </c>
    </row>
    <row r="226" spans="1:11" x14ac:dyDescent="0.25">
      <c r="A226" s="38">
        <f>Données!A220</f>
        <v>5759</v>
      </c>
      <c r="B226" s="27" t="str">
        <f>Données!B220</f>
        <v>Premier</v>
      </c>
      <c r="C226" s="26">
        <f>Ecrêtage!C220</f>
        <v>5667.0675471698114</v>
      </c>
      <c r="D226" s="12">
        <f>Données!Z220</f>
        <v>236</v>
      </c>
      <c r="E226" s="8">
        <f>Population!K223</f>
        <v>-30449.6981891348</v>
      </c>
      <c r="F226" s="236">
        <f>Solidarité!I220</f>
        <v>-145631.21425367493</v>
      </c>
      <c r="G226" s="8">
        <f>DT!O220</f>
        <v>0</v>
      </c>
      <c r="H226" s="236">
        <f>Effort!K220+Aide!I220+Taux!J220</f>
        <v>0</v>
      </c>
      <c r="I226" s="313">
        <f t="shared" si="10"/>
        <v>-176080.91244280973</v>
      </c>
      <c r="J226" s="387">
        <f t="shared" si="11"/>
        <v>108848.28524726034</v>
      </c>
      <c r="K226" s="513">
        <f t="shared" si="12"/>
        <v>-67232.627195549387</v>
      </c>
    </row>
    <row r="227" spans="1:11" x14ac:dyDescent="0.25">
      <c r="A227" s="38">
        <f>Données!A221</f>
        <v>5760</v>
      </c>
      <c r="B227" s="27" t="str">
        <f>Données!B221</f>
        <v>Rances</v>
      </c>
      <c r="C227" s="26">
        <f>Ecrêtage!C221</f>
        <v>16308.735686274507</v>
      </c>
      <c r="D227" s="12">
        <f>Données!Z221</f>
        <v>522</v>
      </c>
      <c r="E227" s="8">
        <f>Population!K224</f>
        <v>-67350.603621730363</v>
      </c>
      <c r="F227" s="236">
        <f>Solidarité!I221</f>
        <v>-209991.83192490265</v>
      </c>
      <c r="G227" s="8">
        <f>DT!O221</f>
        <v>0</v>
      </c>
      <c r="H227" s="236">
        <f>Effort!K221+Aide!I221+Taux!J221</f>
        <v>0</v>
      </c>
      <c r="I227" s="313">
        <f t="shared" si="10"/>
        <v>-277342.43554663303</v>
      </c>
      <c r="J227" s="387">
        <f t="shared" si="11"/>
        <v>313244.53065471631</v>
      </c>
      <c r="K227" s="513">
        <f t="shared" si="12"/>
        <v>35902.095108083275</v>
      </c>
    </row>
    <row r="228" spans="1:11" x14ac:dyDescent="0.25">
      <c r="A228" s="38">
        <f>Données!A222</f>
        <v>5761</v>
      </c>
      <c r="B228" s="27" t="str">
        <f>Données!B222</f>
        <v>Romainmôtier-Envy</v>
      </c>
      <c r="C228" s="26">
        <f>Ecrêtage!C222</f>
        <v>14407.779147025813</v>
      </c>
      <c r="D228" s="12">
        <f>Données!Z222</f>
        <v>567</v>
      </c>
      <c r="E228" s="8">
        <f>Population!K225</f>
        <v>-73156.69014084505</v>
      </c>
      <c r="F228" s="236">
        <f>Solidarité!I222</f>
        <v>-342433.83275217889</v>
      </c>
      <c r="G228" s="8">
        <f>DT!O222</f>
        <v>0</v>
      </c>
      <c r="H228" s="236">
        <f>Effort!K222+Aide!I222+Taux!J222</f>
        <v>0</v>
      </c>
      <c r="I228" s="313">
        <f t="shared" si="10"/>
        <v>-415590.52289302391</v>
      </c>
      <c r="J228" s="387">
        <f t="shared" si="11"/>
        <v>276732.55018077214</v>
      </c>
      <c r="K228" s="513">
        <f t="shared" si="12"/>
        <v>-138857.97271225177</v>
      </c>
    </row>
    <row r="229" spans="1:11" x14ac:dyDescent="0.25">
      <c r="A229" s="38">
        <f>Données!A223</f>
        <v>5762</v>
      </c>
      <c r="B229" s="27" t="str">
        <f>Données!B223</f>
        <v>Sergey</v>
      </c>
      <c r="C229" s="26">
        <f>Ecrêtage!C223</f>
        <v>3741.4505128205124</v>
      </c>
      <c r="D229" s="12">
        <f>Données!Z223</f>
        <v>140</v>
      </c>
      <c r="E229" s="8">
        <f>Population!K226</f>
        <v>-18063.380281690137</v>
      </c>
      <c r="F229" s="236">
        <f>Solidarité!I223</f>
        <v>-73930.907411060078</v>
      </c>
      <c r="G229" s="8">
        <f>DT!O223</f>
        <v>0</v>
      </c>
      <c r="H229" s="236">
        <f>Effort!K223+Aide!I223+Taux!J223</f>
        <v>0</v>
      </c>
      <c r="I229" s="313">
        <f t="shared" si="10"/>
        <v>-91994.287692750222</v>
      </c>
      <c r="J229" s="387">
        <f t="shared" si="11"/>
        <v>71862.646645420784</v>
      </c>
      <c r="K229" s="513">
        <f t="shared" si="12"/>
        <v>-20131.641047329438</v>
      </c>
    </row>
    <row r="230" spans="1:11" x14ac:dyDescent="0.25">
      <c r="A230" s="38">
        <f>Données!A224</f>
        <v>5763</v>
      </c>
      <c r="B230" s="27" t="str">
        <f>Données!B224</f>
        <v>Valeyres-sous-Rances</v>
      </c>
      <c r="C230" s="26">
        <f>Ecrêtage!C224</f>
        <v>22295.640563380282</v>
      </c>
      <c r="D230" s="12">
        <f>Données!Z224</f>
        <v>606</v>
      </c>
      <c r="E230" s="8">
        <f>Population!K227</f>
        <v>-78188.631790744446</v>
      </c>
      <c r="F230" s="236">
        <f>Solidarité!I224</f>
        <v>-142243.26018992558</v>
      </c>
      <c r="G230" s="8">
        <f>DT!O224</f>
        <v>0</v>
      </c>
      <c r="H230" s="236">
        <f>Effort!K224+Aide!I224+Taux!J224</f>
        <v>0</v>
      </c>
      <c r="I230" s="313">
        <f t="shared" si="10"/>
        <v>-220431.89198067004</v>
      </c>
      <c r="J230" s="387">
        <f t="shared" si="11"/>
        <v>428235.98335707042</v>
      </c>
      <c r="K230" s="513">
        <f t="shared" si="12"/>
        <v>207804.09137640038</v>
      </c>
    </row>
    <row r="231" spans="1:11" x14ac:dyDescent="0.25">
      <c r="A231" s="38">
        <f>Données!A225</f>
        <v>5764</v>
      </c>
      <c r="B231" s="27" t="str">
        <f>Données!B225</f>
        <v>Vallorbe</v>
      </c>
      <c r="C231" s="26">
        <f>Ecrêtage!C225</f>
        <v>83717.114965034954</v>
      </c>
      <c r="D231" s="12">
        <f>Données!Z225</f>
        <v>3990</v>
      </c>
      <c r="E231" s="8">
        <f>Population!K228</f>
        <v>-1362494.9698189131</v>
      </c>
      <c r="F231" s="236">
        <f>Solidarité!I225</f>
        <v>-2238683.7310594758</v>
      </c>
      <c r="G231" s="8">
        <f>DT!O225</f>
        <v>0</v>
      </c>
      <c r="H231" s="236">
        <f>Effort!K225+Aide!I225+Taux!J225</f>
        <v>0</v>
      </c>
      <c r="I231" s="313">
        <f t="shared" si="10"/>
        <v>-3601178.7008783892</v>
      </c>
      <c r="J231" s="387">
        <f t="shared" si="11"/>
        <v>1607968.201180638</v>
      </c>
      <c r="K231" s="513">
        <f t="shared" si="12"/>
        <v>-1993210.4996977511</v>
      </c>
    </row>
    <row r="232" spans="1:11" x14ac:dyDescent="0.25">
      <c r="A232" s="38">
        <f>Données!A226</f>
        <v>5765</v>
      </c>
      <c r="B232" s="27" t="str">
        <f>Données!B226</f>
        <v>Vaulion</v>
      </c>
      <c r="C232" s="26">
        <f>Ecrêtage!C226</f>
        <v>9628.0504938271606</v>
      </c>
      <c r="D232" s="12">
        <f>Données!Z226</f>
        <v>483</v>
      </c>
      <c r="E232" s="8">
        <f>Population!K229</f>
        <v>-62318.661971830974</v>
      </c>
      <c r="F232" s="236">
        <f>Solidarité!I226</f>
        <v>-361068.2809129146</v>
      </c>
      <c r="G232" s="8">
        <f>DT!O226</f>
        <v>0</v>
      </c>
      <c r="H232" s="236">
        <f>Effort!K226+Aide!I226+Taux!J226</f>
        <v>33787.908585860532</v>
      </c>
      <c r="I232" s="313">
        <f t="shared" si="10"/>
        <v>-389599.03429888509</v>
      </c>
      <c r="J232" s="387">
        <f t="shared" si="11"/>
        <v>184927.52694477842</v>
      </c>
      <c r="K232" s="513">
        <f t="shared" si="12"/>
        <v>-204671.50735410667</v>
      </c>
    </row>
    <row r="233" spans="1:11" x14ac:dyDescent="0.25">
      <c r="A233" s="38">
        <f>Données!A227</f>
        <v>5766</v>
      </c>
      <c r="B233" s="27" t="str">
        <f>Données!B227</f>
        <v>Vuiteboeuf</v>
      </c>
      <c r="C233" s="26">
        <f>Ecrêtage!C227</f>
        <v>15422.760361904762</v>
      </c>
      <c r="D233" s="12">
        <f>Données!Z227</f>
        <v>592</v>
      </c>
      <c r="E233" s="8">
        <f>Population!K230</f>
        <v>-76382.293762575442</v>
      </c>
      <c r="F233" s="236">
        <f>Solidarité!I227</f>
        <v>-297989.63420086162</v>
      </c>
      <c r="G233" s="8">
        <f>DT!O227</f>
        <v>0</v>
      </c>
      <c r="H233" s="236">
        <f>Effort!K227+Aide!I227+Taux!J227</f>
        <v>0</v>
      </c>
      <c r="I233" s="313">
        <f t="shared" si="10"/>
        <v>-374371.92796343705</v>
      </c>
      <c r="J233" s="387">
        <f t="shared" si="11"/>
        <v>296227.4589458757</v>
      </c>
      <c r="K233" s="513">
        <f t="shared" si="12"/>
        <v>-78144.46901756135</v>
      </c>
    </row>
    <row r="234" spans="1:11" x14ac:dyDescent="0.25">
      <c r="A234" s="38">
        <f>Données!A228</f>
        <v>5785</v>
      </c>
      <c r="B234" s="27" t="str">
        <f>Données!B228</f>
        <v>Corcelles-le-Jorat</v>
      </c>
      <c r="C234" s="26">
        <f>Ecrêtage!C228</f>
        <v>15461.968933333332</v>
      </c>
      <c r="D234" s="12">
        <f>Données!Z228</f>
        <v>484</v>
      </c>
      <c r="E234" s="8">
        <f>Population!K231</f>
        <v>-62447.686116700184</v>
      </c>
      <c r="F234" s="236">
        <f>Solidarité!I228</f>
        <v>-179490.32248501931</v>
      </c>
      <c r="G234" s="8">
        <f>DT!O228</f>
        <v>0</v>
      </c>
      <c r="H234" s="236">
        <f>Effort!K228+Aide!I228+Taux!J228</f>
        <v>0</v>
      </c>
      <c r="I234" s="313">
        <f t="shared" si="10"/>
        <v>-241938.00860171948</v>
      </c>
      <c r="J234" s="387">
        <f t="shared" si="11"/>
        <v>296980.54433465423</v>
      </c>
      <c r="K234" s="513">
        <f t="shared" si="12"/>
        <v>55042.535732934746</v>
      </c>
    </row>
    <row r="235" spans="1:11" x14ac:dyDescent="0.25">
      <c r="A235" s="38">
        <f>Données!A229</f>
        <v>5790</v>
      </c>
      <c r="B235" s="27" t="str">
        <f>Données!B229</f>
        <v>Maracon</v>
      </c>
      <c r="C235" s="26">
        <f>Ecrêtage!C229</f>
        <v>16326.697583892621</v>
      </c>
      <c r="D235" s="12">
        <f>Données!Z229</f>
        <v>544</v>
      </c>
      <c r="E235" s="8">
        <f>Population!K232</f>
        <v>-70189.134808853109</v>
      </c>
      <c r="F235" s="236">
        <f>Solidarité!I229</f>
        <v>-222397.74515396045</v>
      </c>
      <c r="G235" s="8">
        <f>DT!O229</f>
        <v>0</v>
      </c>
      <c r="H235" s="236">
        <f>Effort!K229+Aide!I229+Taux!J229</f>
        <v>0</v>
      </c>
      <c r="I235" s="313">
        <f t="shared" si="10"/>
        <v>-292586.87996281357</v>
      </c>
      <c r="J235" s="387">
        <f t="shared" si="11"/>
        <v>313589.52773464256</v>
      </c>
      <c r="K235" s="513">
        <f t="shared" si="12"/>
        <v>21002.647771828983</v>
      </c>
    </row>
    <row r="236" spans="1:11" x14ac:dyDescent="0.25">
      <c r="A236" s="38">
        <f>Données!A230</f>
        <v>5792</v>
      </c>
      <c r="B236" s="27" t="str">
        <f>Données!B230</f>
        <v>Montpreveyres</v>
      </c>
      <c r="C236" s="26">
        <f>Ecrêtage!C230</f>
        <v>19363.161854304632</v>
      </c>
      <c r="D236" s="12">
        <f>Données!Z230</f>
        <v>662</v>
      </c>
      <c r="E236" s="8">
        <f>Population!K233</f>
        <v>-85413.983903420507</v>
      </c>
      <c r="F236" s="236">
        <f>Solidarité!I230</f>
        <v>-289457.54938970262</v>
      </c>
      <c r="G236" s="8">
        <f>DT!O230</f>
        <v>0</v>
      </c>
      <c r="H236" s="236">
        <f>Effort!K230+Aide!I230+Taux!J230</f>
        <v>0</v>
      </c>
      <c r="I236" s="313">
        <f t="shared" si="10"/>
        <v>-374871.53329312312</v>
      </c>
      <c r="J236" s="387">
        <f t="shared" si="11"/>
        <v>371911.38931435545</v>
      </c>
      <c r="K236" s="513">
        <f t="shared" si="12"/>
        <v>-2960.1439787676791</v>
      </c>
    </row>
    <row r="237" spans="1:11" x14ac:dyDescent="0.25">
      <c r="A237" s="38">
        <f>Données!A231</f>
        <v>5798</v>
      </c>
      <c r="B237" s="27" t="str">
        <f>Données!B231</f>
        <v>Ropraz</v>
      </c>
      <c r="C237" s="26">
        <f>Ecrêtage!C231</f>
        <v>16208.351096774193</v>
      </c>
      <c r="D237" s="12">
        <f>Données!Z231</f>
        <v>529</v>
      </c>
      <c r="E237" s="8">
        <f>Population!K234</f>
        <v>-68253.772635814879</v>
      </c>
      <c r="F237" s="236">
        <f>Solidarité!I231</f>
        <v>-226067.55208288893</v>
      </c>
      <c r="G237" s="8">
        <f>DT!O231</f>
        <v>0</v>
      </c>
      <c r="H237" s="236">
        <f>Effort!K231+Aide!I231+Taux!J231</f>
        <v>0</v>
      </c>
      <c r="I237" s="313">
        <f t="shared" si="10"/>
        <v>-294321.32471870381</v>
      </c>
      <c r="J237" s="387">
        <f t="shared" si="11"/>
        <v>311316.42756764154</v>
      </c>
      <c r="K237" s="513">
        <f t="shared" si="12"/>
        <v>16995.102848937735</v>
      </c>
    </row>
    <row r="238" spans="1:11" x14ac:dyDescent="0.25">
      <c r="A238" s="38">
        <f>Données!A232</f>
        <v>5799</v>
      </c>
      <c r="B238" s="27" t="str">
        <f>Données!B232</f>
        <v>Servion</v>
      </c>
      <c r="C238" s="26">
        <f>Ecrêtage!C232</f>
        <v>73170.718115942043</v>
      </c>
      <c r="D238" s="12">
        <f>Données!Z232</f>
        <v>2138</v>
      </c>
      <c r="E238" s="8">
        <f>Population!K235</f>
        <v>-540146.68008048274</v>
      </c>
      <c r="F238" s="236">
        <f>Solidarité!I232</f>
        <v>-578423.92512016988</v>
      </c>
      <c r="G238" s="8">
        <f>DT!O232</f>
        <v>0</v>
      </c>
      <c r="H238" s="236">
        <f>Effort!K232+Aide!I232+Taux!J232</f>
        <v>0</v>
      </c>
      <c r="I238" s="313">
        <f t="shared" si="10"/>
        <v>-1118570.6052006525</v>
      </c>
      <c r="J238" s="387">
        <f t="shared" si="11"/>
        <v>1405401.846887901</v>
      </c>
      <c r="K238" s="513">
        <f t="shared" si="12"/>
        <v>286831.24168724846</v>
      </c>
    </row>
    <row r="239" spans="1:11" x14ac:dyDescent="0.25">
      <c r="A239" s="38">
        <f>Données!A233</f>
        <v>5803</v>
      </c>
      <c r="B239" s="27" t="str">
        <f>Données!B233</f>
        <v>Vulliens</v>
      </c>
      <c r="C239" s="26">
        <f>Ecrêtage!C233</f>
        <v>16577.57405405405</v>
      </c>
      <c r="D239" s="12">
        <f>Données!Z233</f>
        <v>632</v>
      </c>
      <c r="E239" s="8">
        <f>Population!K236</f>
        <v>-81543.259557344049</v>
      </c>
      <c r="F239" s="236">
        <f>Solidarité!I233</f>
        <v>-307229.96704758261</v>
      </c>
      <c r="G239" s="8">
        <f>DT!O233</f>
        <v>0</v>
      </c>
      <c r="H239" s="236">
        <f>Effort!K233+Aide!I233+Taux!J233</f>
        <v>0</v>
      </c>
      <c r="I239" s="313">
        <f t="shared" si="10"/>
        <v>-388773.22660492663</v>
      </c>
      <c r="J239" s="387">
        <f t="shared" si="11"/>
        <v>318408.15277460607</v>
      </c>
      <c r="K239" s="513">
        <f t="shared" si="12"/>
        <v>-70365.073830320558</v>
      </c>
    </row>
    <row r="240" spans="1:11" x14ac:dyDescent="0.25">
      <c r="A240" s="38">
        <f>Données!A234</f>
        <v>5804</v>
      </c>
      <c r="B240" s="27" t="str">
        <f>Données!B234</f>
        <v>Jorat-Menthue</v>
      </c>
      <c r="C240" s="26">
        <f>Ecrêtage!C234</f>
        <v>45125.345957446807</v>
      </c>
      <c r="D240" s="12">
        <f>Données!Z234</f>
        <v>1565</v>
      </c>
      <c r="E240" s="8">
        <f>Population!K237</f>
        <v>-333140.34205231385</v>
      </c>
      <c r="F240" s="236">
        <f>Solidarité!I234</f>
        <v>-609572.36830963718</v>
      </c>
      <c r="G240" s="8">
        <f>DT!O234</f>
        <v>0</v>
      </c>
      <c r="H240" s="236">
        <f>Effort!K234+Aide!I234+Taux!J234</f>
        <v>0</v>
      </c>
      <c r="I240" s="313">
        <f t="shared" si="10"/>
        <v>-942712.71036195103</v>
      </c>
      <c r="J240" s="387">
        <f t="shared" si="11"/>
        <v>866729.83651138679</v>
      </c>
      <c r="K240" s="513">
        <f t="shared" si="12"/>
        <v>-75982.87385056424</v>
      </c>
    </row>
    <row r="241" spans="1:11" x14ac:dyDescent="0.25">
      <c r="A241" s="38">
        <f>Données!A235</f>
        <v>5805</v>
      </c>
      <c r="B241" s="27" t="str">
        <f>Données!B235</f>
        <v>Oron</v>
      </c>
      <c r="C241" s="26">
        <f>Ecrêtage!C235</f>
        <v>174509.83123847167</v>
      </c>
      <c r="D241" s="12">
        <f>Données!Z235</f>
        <v>6119</v>
      </c>
      <c r="E241" s="8">
        <f>Population!K238</f>
        <v>-2576767.0020120721</v>
      </c>
      <c r="F241" s="236">
        <f>Solidarité!I235</f>
        <v>-2319676.4319904274</v>
      </c>
      <c r="G241" s="8">
        <f>DT!O235</f>
        <v>0</v>
      </c>
      <c r="H241" s="236">
        <f>Effort!K235+Aide!I235+Taux!J235</f>
        <v>0</v>
      </c>
      <c r="I241" s="313">
        <f t="shared" si="10"/>
        <v>-4896443.4340025</v>
      </c>
      <c r="J241" s="387">
        <f t="shared" si="11"/>
        <v>3351838.623942777</v>
      </c>
      <c r="K241" s="513">
        <f t="shared" si="12"/>
        <v>-1544604.810059723</v>
      </c>
    </row>
    <row r="242" spans="1:11" x14ac:dyDescent="0.25">
      <c r="A242" s="38">
        <f>Données!A236</f>
        <v>5806</v>
      </c>
      <c r="B242" s="27" t="str">
        <f>Données!B236</f>
        <v>Jorat-Mézières</v>
      </c>
      <c r="C242" s="26">
        <f>Ecrêtage!C236</f>
        <v>102977.86342465752</v>
      </c>
      <c r="D242" s="12">
        <f>Données!Z236</f>
        <v>3110</v>
      </c>
      <c r="E242" s="8">
        <f>Population!K239</f>
        <v>-908329.97987927543</v>
      </c>
      <c r="F242" s="236">
        <f>Solidarité!I236</f>
        <v>-1015434.9315885247</v>
      </c>
      <c r="G242" s="8">
        <f>DT!O236</f>
        <v>0</v>
      </c>
      <c r="H242" s="236">
        <f>Effort!K236+Aide!I236+Taux!J236</f>
        <v>0</v>
      </c>
      <c r="I242" s="313">
        <f t="shared" si="10"/>
        <v>-1923764.9114678001</v>
      </c>
      <c r="J242" s="387">
        <f t="shared" si="11"/>
        <v>1977912.5198178387</v>
      </c>
      <c r="K242" s="513">
        <f t="shared" si="12"/>
        <v>54147.608350038528</v>
      </c>
    </row>
    <row r="243" spans="1:11" x14ac:dyDescent="0.25">
      <c r="A243" s="38">
        <f>Données!A237</f>
        <v>5812</v>
      </c>
      <c r="B243" s="27" t="str">
        <f>Données!B237</f>
        <v>Champtauroz</v>
      </c>
      <c r="C243" s="26">
        <f>Ecrêtage!C237</f>
        <v>3602.9164935064928</v>
      </c>
      <c r="D243" s="12">
        <f>Données!Z237</f>
        <v>169</v>
      </c>
      <c r="E243" s="8">
        <f>Population!K240</f>
        <v>-21805.080482897378</v>
      </c>
      <c r="F243" s="236">
        <f>Solidarité!I237</f>
        <v>-108619.62909678098</v>
      </c>
      <c r="G243" s="8">
        <f>DT!O237</f>
        <v>0</v>
      </c>
      <c r="H243" s="236">
        <f>Effort!K237+Aide!I237+Taux!J237</f>
        <v>0</v>
      </c>
      <c r="I243" s="313">
        <f t="shared" si="10"/>
        <v>-130424.70957967835</v>
      </c>
      <c r="J243" s="387">
        <f t="shared" si="11"/>
        <v>69201.801274295358</v>
      </c>
      <c r="K243" s="513">
        <f t="shared" si="12"/>
        <v>-61222.908305382996</v>
      </c>
    </row>
    <row r="244" spans="1:11" x14ac:dyDescent="0.25">
      <c r="A244" s="38">
        <f>Données!A238</f>
        <v>5813</v>
      </c>
      <c r="B244" s="27" t="str">
        <f>Données!B238</f>
        <v>Chevroux</v>
      </c>
      <c r="C244" s="26">
        <f>Ecrêtage!C238</f>
        <v>17498.80282238443</v>
      </c>
      <c r="D244" s="12">
        <f>Données!Z238</f>
        <v>522</v>
      </c>
      <c r="E244" s="8">
        <f>Population!K241</f>
        <v>-67350.603621730363</v>
      </c>
      <c r="F244" s="236">
        <f>Solidarité!I238</f>
        <v>-146050.2009092746</v>
      </c>
      <c r="G244" s="8">
        <f>DT!O238</f>
        <v>0</v>
      </c>
      <c r="H244" s="236">
        <f>Effort!K238+Aide!I238+Taux!J238</f>
        <v>0</v>
      </c>
      <c r="I244" s="313">
        <f t="shared" si="10"/>
        <v>-213400.80453100498</v>
      </c>
      <c r="J244" s="387">
        <f t="shared" si="11"/>
        <v>336102.34309765691</v>
      </c>
      <c r="K244" s="513">
        <f t="shared" si="12"/>
        <v>122701.53856665193</v>
      </c>
    </row>
    <row r="245" spans="1:11" x14ac:dyDescent="0.25">
      <c r="A245" s="38">
        <f>Données!A239</f>
        <v>5816</v>
      </c>
      <c r="B245" s="27" t="str">
        <f>Données!B239</f>
        <v>Corcelles-près-Payerne</v>
      </c>
      <c r="C245" s="26">
        <f>Ecrêtage!C239</f>
        <v>65701.749572471308</v>
      </c>
      <c r="D245" s="12">
        <f>Données!Z239</f>
        <v>2852</v>
      </c>
      <c r="E245" s="8">
        <f>Population!K242</f>
        <v>-798091.75050301803</v>
      </c>
      <c r="F245" s="236">
        <f>Solidarité!I239</f>
        <v>-1358786.3641754785</v>
      </c>
      <c r="G245" s="8">
        <f>DT!O239</f>
        <v>0</v>
      </c>
      <c r="H245" s="236">
        <f>Effort!K239+Aide!I239+Taux!J239</f>
        <v>0</v>
      </c>
      <c r="I245" s="313">
        <f t="shared" si="10"/>
        <v>-2156878.1146784965</v>
      </c>
      <c r="J245" s="387">
        <f t="shared" si="11"/>
        <v>1261944.1570411425</v>
      </c>
      <c r="K245" s="513">
        <f t="shared" si="12"/>
        <v>-894933.95763735403</v>
      </c>
    </row>
    <row r="246" spans="1:11" x14ac:dyDescent="0.25">
      <c r="A246" s="38">
        <f>Données!A240</f>
        <v>5817</v>
      </c>
      <c r="B246" s="27" t="str">
        <f>Données!B240</f>
        <v>Grandcour</v>
      </c>
      <c r="C246" s="26">
        <f>Ecrêtage!C240</f>
        <v>25916.897414965984</v>
      </c>
      <c r="D246" s="12">
        <f>Données!Z240</f>
        <v>1001</v>
      </c>
      <c r="E246" s="8">
        <f>Population!K243</f>
        <v>-129385.41247484907</v>
      </c>
      <c r="F246" s="236">
        <f>Solidarité!I240</f>
        <v>-487389.90486918436</v>
      </c>
      <c r="G246" s="8">
        <f>DT!O240</f>
        <v>0</v>
      </c>
      <c r="H246" s="236">
        <f>Effort!K240+Aide!I240+Taux!J240</f>
        <v>0</v>
      </c>
      <c r="I246" s="313">
        <f t="shared" si="10"/>
        <v>-616775.31734403339</v>
      </c>
      <c r="J246" s="387">
        <f t="shared" si="11"/>
        <v>497790.05086273263</v>
      </c>
      <c r="K246" s="513">
        <f t="shared" si="12"/>
        <v>-118985.26648130076</v>
      </c>
    </row>
    <row r="247" spans="1:11" x14ac:dyDescent="0.25">
      <c r="A247" s="38">
        <f>Données!A241</f>
        <v>5819</v>
      </c>
      <c r="B247" s="27" t="str">
        <f>Données!B241</f>
        <v>Henniez</v>
      </c>
      <c r="C247" s="26">
        <f>Ecrêtage!C241</f>
        <v>10275.75579710145</v>
      </c>
      <c r="D247" s="12">
        <f>Données!Z241</f>
        <v>414</v>
      </c>
      <c r="E247" s="8">
        <f>Population!K244</f>
        <v>-53415.995975855119</v>
      </c>
      <c r="F247" s="236">
        <f>Solidarité!I241</f>
        <v>-186082.38538377697</v>
      </c>
      <c r="G247" s="8">
        <f>DT!O241</f>
        <v>0</v>
      </c>
      <c r="H247" s="236">
        <f>Effort!K241+Aide!I241+Taux!J241</f>
        <v>0</v>
      </c>
      <c r="I247" s="313">
        <f t="shared" si="10"/>
        <v>-239498.3813596321</v>
      </c>
      <c r="J247" s="387">
        <f t="shared" si="11"/>
        <v>197368.10772489852</v>
      </c>
      <c r="K247" s="513">
        <f t="shared" si="12"/>
        <v>-42130.273634733574</v>
      </c>
    </row>
    <row r="248" spans="1:11" x14ac:dyDescent="0.25">
      <c r="A248" s="38">
        <f>Données!A242</f>
        <v>5821</v>
      </c>
      <c r="B248" s="27" t="str">
        <f>Données!B242</f>
        <v>Missy</v>
      </c>
      <c r="C248" s="26">
        <f>Ecrêtage!C242</f>
        <v>8375.965000000002</v>
      </c>
      <c r="D248" s="12">
        <f>Données!Z242</f>
        <v>387</v>
      </c>
      <c r="E248" s="8">
        <f>Population!K245</f>
        <v>-49932.344064386307</v>
      </c>
      <c r="F248" s="236">
        <f>Solidarité!I242</f>
        <v>-214878.15159339813</v>
      </c>
      <c r="G248" s="8">
        <f>DT!O242</f>
        <v>0</v>
      </c>
      <c r="H248" s="236">
        <f>Effort!K242+Aide!I242+Taux!J242</f>
        <v>0</v>
      </c>
      <c r="I248" s="313">
        <f t="shared" si="10"/>
        <v>-264810.49565778446</v>
      </c>
      <c r="J248" s="387">
        <f t="shared" si="11"/>
        <v>160878.51784939211</v>
      </c>
      <c r="K248" s="513">
        <f t="shared" si="12"/>
        <v>-103931.97780839234</v>
      </c>
    </row>
    <row r="249" spans="1:11" x14ac:dyDescent="0.25">
      <c r="A249" s="38">
        <f>Données!A243</f>
        <v>5822</v>
      </c>
      <c r="B249" s="27" t="str">
        <f>Données!B243</f>
        <v>Payerne</v>
      </c>
      <c r="C249" s="26">
        <f>Ecrêtage!C243</f>
        <v>226909.24698630138</v>
      </c>
      <c r="D249" s="12">
        <f>Données!Z243</f>
        <v>10382</v>
      </c>
      <c r="E249" s="8">
        <f>Population!K246</f>
        <v>-5573533.4004024127</v>
      </c>
      <c r="F249" s="236">
        <f>Solidarité!I243</f>
        <v>-5878712.4115620572</v>
      </c>
      <c r="G249" s="8">
        <f>DT!O243</f>
        <v>0</v>
      </c>
      <c r="H249" s="236">
        <f>Effort!K243+Aide!I243+Taux!J243</f>
        <v>1612692.6595550026</v>
      </c>
      <c r="I249" s="313">
        <f t="shared" si="10"/>
        <v>-9839553.1524094678</v>
      </c>
      <c r="J249" s="387">
        <f t="shared" si="11"/>
        <v>4358282.698349121</v>
      </c>
      <c r="K249" s="513">
        <f t="shared" si="12"/>
        <v>-5481270.4540603468</v>
      </c>
    </row>
    <row r="250" spans="1:11" x14ac:dyDescent="0.25">
      <c r="A250" s="38">
        <f>Données!A244</f>
        <v>5827</v>
      </c>
      <c r="B250" s="27" t="str">
        <f>Données!B244</f>
        <v>Trey</v>
      </c>
      <c r="C250" s="26">
        <f>Ecrêtage!C244</f>
        <v>7715.2558974358981</v>
      </c>
      <c r="D250" s="12">
        <f>Données!Z244</f>
        <v>302</v>
      </c>
      <c r="E250" s="8">
        <f>Population!K247</f>
        <v>-38965.291750503013</v>
      </c>
      <c r="F250" s="236">
        <f>Solidarité!I244</f>
        <v>-168126.07635037895</v>
      </c>
      <c r="G250" s="8">
        <f>DT!O244</f>
        <v>0</v>
      </c>
      <c r="H250" s="236">
        <f>Effort!K244+Aide!I244+Taux!J244</f>
        <v>0</v>
      </c>
      <c r="I250" s="313">
        <f t="shared" si="10"/>
        <v>-207091.36810088195</v>
      </c>
      <c r="J250" s="387">
        <f t="shared" si="11"/>
        <v>148188.17098785256</v>
      </c>
      <c r="K250" s="513">
        <f t="shared" si="12"/>
        <v>-58903.197113029397</v>
      </c>
    </row>
    <row r="251" spans="1:11" x14ac:dyDescent="0.25">
      <c r="A251" s="38">
        <f>Données!A245</f>
        <v>5828</v>
      </c>
      <c r="B251" s="27" t="str">
        <f>Données!B245</f>
        <v>Treytorrens (Payerne)</v>
      </c>
      <c r="C251" s="26">
        <f>Ecrêtage!C245</f>
        <v>2864.8065848670758</v>
      </c>
      <c r="D251" s="12">
        <f>Données!Z245</f>
        <v>105</v>
      </c>
      <c r="E251" s="8">
        <f>Population!K248</f>
        <v>-13547.535211267603</v>
      </c>
      <c r="F251" s="236">
        <f>Solidarité!I245</f>
        <v>-58977.112593063197</v>
      </c>
      <c r="G251" s="8">
        <f>DT!O245</f>
        <v>0</v>
      </c>
      <c r="H251" s="236">
        <f>Effort!K245+Aide!I245+Taux!J245</f>
        <v>0</v>
      </c>
      <c r="I251" s="313">
        <f t="shared" si="10"/>
        <v>-72524.647804330802</v>
      </c>
      <c r="J251" s="387">
        <f t="shared" si="11"/>
        <v>55024.804580558033</v>
      </c>
      <c r="K251" s="513">
        <f t="shared" si="12"/>
        <v>-17499.843223772768</v>
      </c>
    </row>
    <row r="252" spans="1:11" x14ac:dyDescent="0.25">
      <c r="A252" s="38">
        <f>Données!A246</f>
        <v>5830</v>
      </c>
      <c r="B252" s="27" t="str">
        <f>Données!B246</f>
        <v>Villarzel</v>
      </c>
      <c r="C252" s="26">
        <f>Ecrêtage!C246</f>
        <v>12474.180666666667</v>
      </c>
      <c r="D252" s="12">
        <f>Données!Z246</f>
        <v>487</v>
      </c>
      <c r="E252" s="8">
        <f>Population!K249</f>
        <v>-62834.75855130783</v>
      </c>
      <c r="F252" s="236">
        <f>Solidarité!I246</f>
        <v>-249928.13693392393</v>
      </c>
      <c r="G252" s="8">
        <f>DT!O246</f>
        <v>0</v>
      </c>
      <c r="H252" s="236">
        <f>Effort!K246+Aide!I246+Taux!J246</f>
        <v>0</v>
      </c>
      <c r="I252" s="313">
        <f t="shared" si="10"/>
        <v>-312762.89548523177</v>
      </c>
      <c r="J252" s="387">
        <f t="shared" si="11"/>
        <v>239593.61065129508</v>
      </c>
      <c r="K252" s="513">
        <f t="shared" si="12"/>
        <v>-73169.28483393669</v>
      </c>
    </row>
    <row r="253" spans="1:11" x14ac:dyDescent="0.25">
      <c r="A253" s="38">
        <f>Données!A247</f>
        <v>5831</v>
      </c>
      <c r="B253" s="27" t="str">
        <f>Données!B247</f>
        <v>Valbroye</v>
      </c>
      <c r="C253" s="26">
        <f>Ecrêtage!C247</f>
        <v>87477.16732860521</v>
      </c>
      <c r="D253" s="12">
        <f>Données!Z247</f>
        <v>3362</v>
      </c>
      <c r="E253" s="8">
        <f>Population!K250</f>
        <v>-1038386.3179074444</v>
      </c>
      <c r="F253" s="236">
        <f>Solidarité!I247</f>
        <v>-1497491.2560806063</v>
      </c>
      <c r="G253" s="8">
        <f>DT!O247</f>
        <v>0</v>
      </c>
      <c r="H253" s="236">
        <f>Effort!K247+Aide!I247+Taux!J247</f>
        <v>0</v>
      </c>
      <c r="I253" s="313">
        <f t="shared" si="10"/>
        <v>-2535877.5739880507</v>
      </c>
      <c r="J253" s="387">
        <f t="shared" si="11"/>
        <v>1680188.1365895476</v>
      </c>
      <c r="K253" s="513">
        <f t="shared" si="12"/>
        <v>-855689.43739850307</v>
      </c>
    </row>
    <row r="254" spans="1:11" x14ac:dyDescent="0.25">
      <c r="A254" s="38">
        <f>Données!A248</f>
        <v>5841</v>
      </c>
      <c r="B254" s="27" t="str">
        <f>Données!B248</f>
        <v>Château-d'Oex</v>
      </c>
      <c r="C254" s="26">
        <f>Ecrêtage!C248</f>
        <v>123828.98781186093</v>
      </c>
      <c r="D254" s="12">
        <f>Données!Z248</f>
        <v>3569</v>
      </c>
      <c r="E254" s="8">
        <f>Population!K251</f>
        <v>-1145218.3098591547</v>
      </c>
      <c r="F254" s="236">
        <f>Solidarité!I248</f>
        <v>-1302405.0886872804</v>
      </c>
      <c r="G254" s="8">
        <f>DT!O248</f>
        <v>0</v>
      </c>
      <c r="H254" s="236">
        <f>Effort!K248+Aide!I248+Taux!J248</f>
        <v>0</v>
      </c>
      <c r="I254" s="313">
        <f t="shared" si="10"/>
        <v>-2447623.3985464349</v>
      </c>
      <c r="J254" s="387">
        <f t="shared" si="11"/>
        <v>2378403.4467625665</v>
      </c>
      <c r="K254" s="513">
        <f t="shared" si="12"/>
        <v>-69219.951783868484</v>
      </c>
    </row>
    <row r="255" spans="1:11" x14ac:dyDescent="0.25">
      <c r="A255" s="38">
        <f>Données!A249</f>
        <v>5842</v>
      </c>
      <c r="B255" s="27" t="str">
        <f>Données!B249</f>
        <v>Rossinière</v>
      </c>
      <c r="C255" s="26">
        <f>Ecrêtage!C249</f>
        <v>16474.219053497945</v>
      </c>
      <c r="D255" s="12">
        <f>Données!Z249</f>
        <v>534</v>
      </c>
      <c r="E255" s="8">
        <f>Population!K252</f>
        <v>-68898.893360160946</v>
      </c>
      <c r="F255" s="236">
        <f>Solidarité!I249</f>
        <v>-246327.22087169136</v>
      </c>
      <c r="G255" s="8">
        <f>DT!O249</f>
        <v>0</v>
      </c>
      <c r="H255" s="236">
        <f>Effort!K249+Aide!I249+Taux!J249</f>
        <v>0</v>
      </c>
      <c r="I255" s="313">
        <f t="shared" si="10"/>
        <v>-315226.11423185229</v>
      </c>
      <c r="J255" s="387">
        <f t="shared" si="11"/>
        <v>316422.99652075482</v>
      </c>
      <c r="K255" s="513">
        <f t="shared" si="12"/>
        <v>1196.8822889025323</v>
      </c>
    </row>
    <row r="256" spans="1:11" x14ac:dyDescent="0.25">
      <c r="A256" s="38">
        <f>Données!A250</f>
        <v>5843</v>
      </c>
      <c r="B256" s="27" t="str">
        <f>Données!B250</f>
        <v>Rougemont</v>
      </c>
      <c r="C256" s="26">
        <f>Ecrêtage!C250</f>
        <v>89736.824345991568</v>
      </c>
      <c r="D256" s="12">
        <f>Données!Z250</f>
        <v>830</v>
      </c>
      <c r="E256" s="8">
        <f>Population!K253</f>
        <v>-107090.04024144867</v>
      </c>
      <c r="F256" s="236">
        <f>Solidarité!I250</f>
        <v>0</v>
      </c>
      <c r="G256" s="8">
        <f>DT!O250</f>
        <v>0</v>
      </c>
      <c r="H256" s="236">
        <f>Effort!K250+Aide!I250+Taux!J250</f>
        <v>0</v>
      </c>
      <c r="I256" s="313">
        <f t="shared" si="10"/>
        <v>-107090.04024144867</v>
      </c>
      <c r="J256" s="387">
        <f t="shared" si="11"/>
        <v>1723589.7353074381</v>
      </c>
      <c r="K256" s="513">
        <f t="shared" si="12"/>
        <v>1616499.6950659894</v>
      </c>
    </row>
    <row r="257" spans="1:11" x14ac:dyDescent="0.25">
      <c r="A257" s="38">
        <f>Données!A251</f>
        <v>5851</v>
      </c>
      <c r="B257" s="27" t="str">
        <f>Données!B251</f>
        <v>Allaman</v>
      </c>
      <c r="C257" s="26">
        <f>Ecrêtage!C251</f>
        <v>24432.115794871796</v>
      </c>
      <c r="D257" s="12">
        <f>Données!Z251</f>
        <v>420</v>
      </c>
      <c r="E257" s="8">
        <f>Population!K254</f>
        <v>-54190.140845070411</v>
      </c>
      <c r="F257" s="236">
        <f>Solidarité!I251</f>
        <v>0</v>
      </c>
      <c r="G257" s="8">
        <f>DT!O251</f>
        <v>0</v>
      </c>
      <c r="H257" s="236">
        <f>Effort!K251+Aide!I251+Taux!J251</f>
        <v>0</v>
      </c>
      <c r="I257" s="313">
        <f t="shared" si="10"/>
        <v>-54190.140845070411</v>
      </c>
      <c r="J257" s="387">
        <f t="shared" si="11"/>
        <v>469271.60954035696</v>
      </c>
      <c r="K257" s="513">
        <f t="shared" si="12"/>
        <v>415081.46869528654</v>
      </c>
    </row>
    <row r="258" spans="1:11" x14ac:dyDescent="0.25">
      <c r="A258" s="38">
        <f>Données!A252</f>
        <v>5852</v>
      </c>
      <c r="B258" s="27" t="str">
        <f>Données!B252</f>
        <v>Bursinel</v>
      </c>
      <c r="C258" s="26">
        <f>Ecrêtage!C252</f>
        <v>35649.594677419358</v>
      </c>
      <c r="D258" s="12">
        <f>Données!Z252</f>
        <v>503</v>
      </c>
      <c r="E258" s="8">
        <f>Population!K255</f>
        <v>-64899.144869215277</v>
      </c>
      <c r="F258" s="236">
        <f>Solidarité!I252</f>
        <v>0</v>
      </c>
      <c r="G258" s="8">
        <f>DT!O252</f>
        <v>0</v>
      </c>
      <c r="H258" s="236">
        <f>Effort!K252+Aide!I252+Taux!J252</f>
        <v>0</v>
      </c>
      <c r="I258" s="313">
        <f t="shared" si="10"/>
        <v>-64899.144869215277</v>
      </c>
      <c r="J258" s="387">
        <f t="shared" si="11"/>
        <v>684727.5452601345</v>
      </c>
      <c r="K258" s="513">
        <f t="shared" si="12"/>
        <v>619828.40039091918</v>
      </c>
    </row>
    <row r="259" spans="1:11" x14ac:dyDescent="0.25">
      <c r="A259" s="38">
        <f>Données!A253</f>
        <v>5853</v>
      </c>
      <c r="B259" s="27" t="str">
        <f>Données!B253</f>
        <v>Bursins</v>
      </c>
      <c r="C259" s="26">
        <f>Ecrêtage!C253</f>
        <v>47536.23239436619</v>
      </c>
      <c r="D259" s="12">
        <f>Données!Z253</f>
        <v>767</v>
      </c>
      <c r="E259" s="8">
        <f>Population!K256</f>
        <v>-98961.519114688112</v>
      </c>
      <c r="F259" s="236">
        <f>Solidarité!I253</f>
        <v>0</v>
      </c>
      <c r="G259" s="8">
        <f>DT!O253</f>
        <v>0</v>
      </c>
      <c r="H259" s="236">
        <f>Effort!K253+Aide!I253+Taux!J253</f>
        <v>0</v>
      </c>
      <c r="I259" s="313">
        <f t="shared" si="10"/>
        <v>-98961.519114688112</v>
      </c>
      <c r="J259" s="387">
        <f t="shared" si="11"/>
        <v>913036.12321086472</v>
      </c>
      <c r="K259" s="513">
        <f t="shared" si="12"/>
        <v>814074.60409617657</v>
      </c>
    </row>
    <row r="260" spans="1:11" x14ac:dyDescent="0.25">
      <c r="A260" s="38">
        <f>Données!A254</f>
        <v>5854</v>
      </c>
      <c r="B260" s="27" t="str">
        <f>Données!B254</f>
        <v>Burtigny</v>
      </c>
      <c r="C260" s="26">
        <f>Ecrêtage!C254</f>
        <v>15260.883397027597</v>
      </c>
      <c r="D260" s="12">
        <f>Données!Z254</f>
        <v>414</v>
      </c>
      <c r="E260" s="8">
        <f>Population!K257</f>
        <v>-53415.995975855119</v>
      </c>
      <c r="F260" s="236">
        <f>Solidarité!I254</f>
        <v>-118071.22024553009</v>
      </c>
      <c r="G260" s="8">
        <f>DT!O254</f>
        <v>0</v>
      </c>
      <c r="H260" s="236">
        <f>Effort!K254+Aide!I254+Taux!J254</f>
        <v>0</v>
      </c>
      <c r="I260" s="313">
        <f t="shared" si="10"/>
        <v>-171487.2162213852</v>
      </c>
      <c r="J260" s="387">
        <f t="shared" si="11"/>
        <v>293118.26183445076</v>
      </c>
      <c r="K260" s="513">
        <f t="shared" si="12"/>
        <v>121631.04561306557</v>
      </c>
    </row>
    <row r="261" spans="1:11" x14ac:dyDescent="0.25">
      <c r="A261" s="38">
        <f>Données!A255</f>
        <v>5855</v>
      </c>
      <c r="B261" s="27" t="str">
        <f>Données!B255</f>
        <v>Dully</v>
      </c>
      <c r="C261" s="26">
        <f>Ecrêtage!C255</f>
        <v>82571.89</v>
      </c>
      <c r="D261" s="12">
        <f>Données!Z255</f>
        <v>631</v>
      </c>
      <c r="E261" s="8">
        <f>Population!K258</f>
        <v>-81414.235412474838</v>
      </c>
      <c r="F261" s="236">
        <f>Solidarité!I255</f>
        <v>0</v>
      </c>
      <c r="G261" s="8">
        <f>DT!O255</f>
        <v>0</v>
      </c>
      <c r="H261" s="236">
        <f>Effort!K255+Aide!I255+Taux!J255</f>
        <v>0</v>
      </c>
      <c r="I261" s="313">
        <f t="shared" si="10"/>
        <v>-81414.235412474838</v>
      </c>
      <c r="J261" s="387">
        <f t="shared" si="11"/>
        <v>1585971.6795883265</v>
      </c>
      <c r="K261" s="513">
        <f t="shared" si="12"/>
        <v>1504557.4441758515</v>
      </c>
    </row>
    <row r="262" spans="1:11" x14ac:dyDescent="0.25">
      <c r="A262" s="38">
        <f>Données!A256</f>
        <v>5856</v>
      </c>
      <c r="B262" s="27" t="str">
        <f>Données!B256</f>
        <v>Essertines-sur-Rolle</v>
      </c>
      <c r="C262" s="26">
        <f>Ecrêtage!C256</f>
        <v>36688.113684210526</v>
      </c>
      <c r="D262" s="12">
        <f>Données!Z256</f>
        <v>757</v>
      </c>
      <c r="E262" s="8">
        <f>Population!K259</f>
        <v>-97671.277665995949</v>
      </c>
      <c r="F262" s="236">
        <f>Solidarité!I256</f>
        <v>0</v>
      </c>
      <c r="G262" s="8">
        <f>DT!O256</f>
        <v>0</v>
      </c>
      <c r="H262" s="236">
        <f>Effort!K256+Aide!I256+Taux!J256</f>
        <v>0</v>
      </c>
      <c r="I262" s="313">
        <f t="shared" si="10"/>
        <v>-97671.277665995949</v>
      </c>
      <c r="J262" s="387">
        <f t="shared" si="11"/>
        <v>704674.54821095697</v>
      </c>
      <c r="K262" s="513">
        <f t="shared" si="12"/>
        <v>607003.27054496098</v>
      </c>
    </row>
    <row r="263" spans="1:11" x14ac:dyDescent="0.25">
      <c r="A263" s="38">
        <f>Données!A257</f>
        <v>5857</v>
      </c>
      <c r="B263" s="27" t="str">
        <f>Données!B257</f>
        <v>Gilly</v>
      </c>
      <c r="C263" s="26">
        <f>Ecrêtage!C257</f>
        <v>86828.689767441872</v>
      </c>
      <c r="D263" s="12">
        <f>Données!Z257</f>
        <v>1446</v>
      </c>
      <c r="E263" s="8">
        <f>Population!K260</f>
        <v>-290149.49698189128</v>
      </c>
      <c r="F263" s="236">
        <f>Solidarité!I257</f>
        <v>0</v>
      </c>
      <c r="G263" s="8">
        <f>DT!O257</f>
        <v>0</v>
      </c>
      <c r="H263" s="236">
        <f>Effort!K257+Aide!I257+Taux!J257</f>
        <v>0</v>
      </c>
      <c r="I263" s="313">
        <f t="shared" si="10"/>
        <v>-290149.49698189128</v>
      </c>
      <c r="J263" s="387">
        <f t="shared" si="11"/>
        <v>1667732.7229269373</v>
      </c>
      <c r="K263" s="513">
        <f t="shared" si="12"/>
        <v>1377583.2259450459</v>
      </c>
    </row>
    <row r="264" spans="1:11" x14ac:dyDescent="0.25">
      <c r="A264" s="38">
        <f>Données!A258</f>
        <v>5858</v>
      </c>
      <c r="B264" s="27" t="str">
        <f>Données!B258</f>
        <v>Luins</v>
      </c>
      <c r="C264" s="26">
        <f>Ecrêtage!C258</f>
        <v>41178.091054131051</v>
      </c>
      <c r="D264" s="12">
        <f>Données!Z258</f>
        <v>618</v>
      </c>
      <c r="E264" s="8">
        <f>Population!K261</f>
        <v>-79736.92152917503</v>
      </c>
      <c r="F264" s="236">
        <f>Solidarité!I258</f>
        <v>0</v>
      </c>
      <c r="G264" s="8">
        <f>DT!O258</f>
        <v>0</v>
      </c>
      <c r="H264" s="236">
        <f>Effort!K258+Aide!I258+Taux!J258</f>
        <v>0</v>
      </c>
      <c r="I264" s="313">
        <f t="shared" si="10"/>
        <v>-79736.92152917503</v>
      </c>
      <c r="J264" s="387">
        <f t="shared" si="11"/>
        <v>790914.27156822092</v>
      </c>
      <c r="K264" s="513">
        <f t="shared" si="12"/>
        <v>711177.35003904591</v>
      </c>
    </row>
    <row r="265" spans="1:11" x14ac:dyDescent="0.25">
      <c r="A265" s="38">
        <f>Données!A259</f>
        <v>5859</v>
      </c>
      <c r="B265" s="27" t="str">
        <f>Données!B259</f>
        <v>Mont-sur-Rolle</v>
      </c>
      <c r="C265" s="26">
        <f>Ecrêtage!C259</f>
        <v>158441.81716535432</v>
      </c>
      <c r="D265" s="12">
        <f>Données!Z259</f>
        <v>2761</v>
      </c>
      <c r="E265" s="8">
        <f>Population!K262</f>
        <v>-765216.39839034202</v>
      </c>
      <c r="F265" s="236">
        <f>Solidarité!I259</f>
        <v>0</v>
      </c>
      <c r="G265" s="8">
        <f>DT!O259</f>
        <v>0</v>
      </c>
      <c r="H265" s="236">
        <f>Effort!K259+Aide!I259+Taux!J259</f>
        <v>0</v>
      </c>
      <c r="I265" s="313">
        <f t="shared" si="10"/>
        <v>-765216.39839034202</v>
      </c>
      <c r="J265" s="387">
        <f t="shared" si="11"/>
        <v>3043217.6723430161</v>
      </c>
      <c r="K265" s="513">
        <f t="shared" si="12"/>
        <v>2278001.2739526741</v>
      </c>
    </row>
    <row r="266" spans="1:11" x14ac:dyDescent="0.25">
      <c r="A266" s="38">
        <f>Données!A260</f>
        <v>5860</v>
      </c>
      <c r="B266" s="27" t="str">
        <f>Données!B260</f>
        <v>Perroy</v>
      </c>
      <c r="C266" s="26">
        <f>Ecrêtage!C260</f>
        <v>132374.98733727811</v>
      </c>
      <c r="D266" s="12">
        <f>Données!Z260</f>
        <v>1542</v>
      </c>
      <c r="E266" s="8">
        <f>Population!K263</f>
        <v>-324831.18712273636</v>
      </c>
      <c r="F266" s="236">
        <f>Solidarité!I260</f>
        <v>0</v>
      </c>
      <c r="G266" s="8">
        <f>DT!O260</f>
        <v>0</v>
      </c>
      <c r="H266" s="236">
        <f>Effort!K260+Aide!I260+Taux!J260</f>
        <v>0</v>
      </c>
      <c r="I266" s="313">
        <f t="shared" si="10"/>
        <v>-324831.18712273636</v>
      </c>
      <c r="J266" s="387">
        <f t="shared" si="11"/>
        <v>2542547.8453113576</v>
      </c>
      <c r="K266" s="513">
        <f t="shared" si="12"/>
        <v>2217716.6581886215</v>
      </c>
    </row>
    <row r="267" spans="1:11" x14ac:dyDescent="0.25">
      <c r="A267" s="38">
        <f>Données!A261</f>
        <v>5861</v>
      </c>
      <c r="B267" s="27" t="str">
        <f>Données!B261</f>
        <v>Rolle</v>
      </c>
      <c r="C267" s="26">
        <f>Ecrêtage!C261</f>
        <v>897513.79815126071</v>
      </c>
      <c r="D267" s="12">
        <f>Données!Z261</f>
        <v>6323</v>
      </c>
      <c r="E267" s="8">
        <f>Population!K264</f>
        <v>-2703107.4446680075</v>
      </c>
      <c r="F267" s="236">
        <f>Solidarité!I261</f>
        <v>0</v>
      </c>
      <c r="G267" s="8">
        <f>DT!O261</f>
        <v>0</v>
      </c>
      <c r="H267" s="236">
        <f>Effort!K261+Aide!I261+Taux!J261</f>
        <v>0</v>
      </c>
      <c r="I267" s="313">
        <f t="shared" si="10"/>
        <v>-2703107.4446680075</v>
      </c>
      <c r="J267" s="387">
        <f t="shared" si="11"/>
        <v>17238693.04563155</v>
      </c>
      <c r="K267" s="513">
        <f t="shared" si="12"/>
        <v>14535585.600963542</v>
      </c>
    </row>
    <row r="268" spans="1:11" x14ac:dyDescent="0.25">
      <c r="A268" s="38">
        <f>Données!A262</f>
        <v>5862</v>
      </c>
      <c r="B268" s="27" t="str">
        <f>Données!B262</f>
        <v>Tartegnin</v>
      </c>
      <c r="C268" s="26">
        <f>Ecrêtage!C262</f>
        <v>10371.497468354431</v>
      </c>
      <c r="D268" s="12">
        <f>Données!Z262</f>
        <v>249</v>
      </c>
      <c r="E268" s="8">
        <f>Population!K265</f>
        <v>-32127.012072434602</v>
      </c>
      <c r="F268" s="236">
        <f>Solidarité!I262</f>
        <v>-42167.231851960256</v>
      </c>
      <c r="G268" s="8">
        <f>DT!O262</f>
        <v>0</v>
      </c>
      <c r="H268" s="236">
        <f>Effort!K262+Aide!I262+Taux!J262</f>
        <v>0</v>
      </c>
      <c r="I268" s="313">
        <f t="shared" si="10"/>
        <v>-74294.243924394861</v>
      </c>
      <c r="J268" s="387">
        <f t="shared" si="11"/>
        <v>199207.03352838545</v>
      </c>
      <c r="K268" s="513">
        <f t="shared" si="12"/>
        <v>124912.78960399059</v>
      </c>
    </row>
    <row r="269" spans="1:11" x14ac:dyDescent="0.25">
      <c r="A269" s="38">
        <f>Données!A263</f>
        <v>5863</v>
      </c>
      <c r="B269" s="27" t="str">
        <f>Données!B263</f>
        <v>Vinzel</v>
      </c>
      <c r="C269" s="26">
        <f>Ecrêtage!C263</f>
        <v>23661.929552238806</v>
      </c>
      <c r="D269" s="12">
        <f>Données!Z263</f>
        <v>378</v>
      </c>
      <c r="E269" s="8">
        <f>Population!K266</f>
        <v>-48771.126760563369</v>
      </c>
      <c r="F269" s="236">
        <f>Solidarité!I263</f>
        <v>0</v>
      </c>
      <c r="G269" s="8">
        <f>DT!O263</f>
        <v>0</v>
      </c>
      <c r="H269" s="236">
        <f>Effort!K263+Aide!I263+Taux!J263</f>
        <v>0</v>
      </c>
      <c r="I269" s="313">
        <f t="shared" ref="I269:I311" si="13">SUM(E269:H269)</f>
        <v>-48771.126760563369</v>
      </c>
      <c r="J269" s="387">
        <f t="shared" ref="J269:J311" si="14">C269*$J$11</f>
        <v>454478.51749868918</v>
      </c>
      <c r="K269" s="513">
        <f t="shared" ref="K269:K311" si="15">I269+J269</f>
        <v>405707.39073812583</v>
      </c>
    </row>
    <row r="270" spans="1:11" x14ac:dyDescent="0.25">
      <c r="A270" s="38">
        <f>Données!A264</f>
        <v>5871</v>
      </c>
      <c r="B270" s="27" t="str">
        <f>Données!B264</f>
        <v>L'Abbaye</v>
      </c>
      <c r="C270" s="26">
        <f>Ecrêtage!C264</f>
        <v>50236.516429495467</v>
      </c>
      <c r="D270" s="12">
        <f>Données!Z264</f>
        <v>1536</v>
      </c>
      <c r="E270" s="8">
        <f>Population!K267</f>
        <v>-322663.58148893353</v>
      </c>
      <c r="F270" s="236">
        <f>Solidarité!I264</f>
        <v>-577221.65633255546</v>
      </c>
      <c r="G270" s="8">
        <f>DT!O264</f>
        <v>0</v>
      </c>
      <c r="H270" s="236">
        <f>Effort!K264+Aide!I264+Taux!J264</f>
        <v>0</v>
      </c>
      <c r="I270" s="313">
        <f t="shared" si="13"/>
        <v>-899885.23782148899</v>
      </c>
      <c r="J270" s="387">
        <f t="shared" si="14"/>
        <v>964900.91650261963</v>
      </c>
      <c r="K270" s="513">
        <f t="shared" si="15"/>
        <v>65015.678681130637</v>
      </c>
    </row>
    <row r="271" spans="1:11" x14ac:dyDescent="0.25">
      <c r="A271" s="38">
        <f>Données!A265</f>
        <v>5872</v>
      </c>
      <c r="B271" s="27" t="str">
        <f>Données!B265</f>
        <v>Le Chenit</v>
      </c>
      <c r="C271" s="26">
        <f>Ecrêtage!C265</f>
        <v>317064.3538829867</v>
      </c>
      <c r="D271" s="12">
        <f>Données!Z265</f>
        <v>4617</v>
      </c>
      <c r="E271" s="8">
        <f>Population!K268</f>
        <v>-1686087.5251509049</v>
      </c>
      <c r="F271" s="236">
        <f>Solidarité!I265</f>
        <v>0</v>
      </c>
      <c r="G271" s="8">
        <f>DT!O265</f>
        <v>0</v>
      </c>
      <c r="H271" s="236">
        <f>Effort!K265+Aide!I265+Taux!J265</f>
        <v>0</v>
      </c>
      <c r="I271" s="313">
        <f t="shared" si="13"/>
        <v>-1686087.5251509049</v>
      </c>
      <c r="J271" s="387">
        <f t="shared" si="14"/>
        <v>6089906.4544288376</v>
      </c>
      <c r="K271" s="513">
        <f t="shared" si="15"/>
        <v>4403818.9292779323</v>
      </c>
    </row>
    <row r="272" spans="1:11" x14ac:dyDescent="0.25">
      <c r="A272" s="38">
        <f>Données!A266</f>
        <v>5873</v>
      </c>
      <c r="B272" s="27" t="str">
        <f>Données!B266</f>
        <v>Le Lieu</v>
      </c>
      <c r="C272" s="26">
        <f>Ecrêtage!C266</f>
        <v>35207.025785714286</v>
      </c>
      <c r="D272" s="12">
        <f>Données!Z266</f>
        <v>886</v>
      </c>
      <c r="E272" s="8">
        <f>Population!K269</f>
        <v>-114315.39235412472</v>
      </c>
      <c r="F272" s="236">
        <f>Solidarité!I266</f>
        <v>-151039.32806491951</v>
      </c>
      <c r="G272" s="8">
        <f>DT!O266</f>
        <v>0</v>
      </c>
      <c r="H272" s="236">
        <f>Effort!K266+Aide!I266+Taux!J266</f>
        <v>0</v>
      </c>
      <c r="I272" s="313">
        <f t="shared" si="13"/>
        <v>-265354.72041904426</v>
      </c>
      <c r="J272" s="387">
        <f t="shared" si="14"/>
        <v>676227.05279821996</v>
      </c>
      <c r="K272" s="513">
        <f t="shared" si="15"/>
        <v>410872.3323791757</v>
      </c>
    </row>
    <row r="273" spans="1:11" x14ac:dyDescent="0.25">
      <c r="A273" s="38">
        <f>Données!A267</f>
        <v>5882</v>
      </c>
      <c r="B273" s="27" t="str">
        <f>Données!B267</f>
        <v>Chardonne</v>
      </c>
      <c r="C273" s="26">
        <f>Ecrêtage!C267</f>
        <v>201724.94897058822</v>
      </c>
      <c r="D273" s="12">
        <f>Données!Z267</f>
        <v>3195</v>
      </c>
      <c r="E273" s="8">
        <f>Population!K270</f>
        <v>-952198.18913480861</v>
      </c>
      <c r="F273" s="236">
        <f>Solidarité!I267</f>
        <v>0</v>
      </c>
      <c r="G273" s="8">
        <f>DT!O267</f>
        <v>0</v>
      </c>
      <c r="H273" s="236">
        <f>Effort!K267+Aide!I267+Taux!J267</f>
        <v>0</v>
      </c>
      <c r="I273" s="313">
        <f t="shared" si="13"/>
        <v>-952198.18913480861</v>
      </c>
      <c r="J273" s="387">
        <f t="shared" si="14"/>
        <v>3874563.8029328538</v>
      </c>
      <c r="K273" s="513">
        <f t="shared" si="15"/>
        <v>2922365.6137980451</v>
      </c>
    </row>
    <row r="274" spans="1:11" x14ac:dyDescent="0.25">
      <c r="A274" s="38">
        <f>Données!A268</f>
        <v>5883</v>
      </c>
      <c r="B274" s="27" t="str">
        <f>Données!B268</f>
        <v>Corseaux</v>
      </c>
      <c r="C274" s="26">
        <f>Ecrêtage!C268</f>
        <v>180896.25407407407</v>
      </c>
      <c r="D274" s="12">
        <f>Données!Z268</f>
        <v>2307</v>
      </c>
      <c r="E274" s="8">
        <f>Population!K271</f>
        <v>-601200.90543259541</v>
      </c>
      <c r="F274" s="236">
        <f>Solidarité!I268</f>
        <v>0</v>
      </c>
      <c r="G274" s="8">
        <f>DT!O268</f>
        <v>0</v>
      </c>
      <c r="H274" s="236">
        <f>Effort!K268+Aide!I268+Taux!J268</f>
        <v>0</v>
      </c>
      <c r="I274" s="313">
        <f t="shared" si="13"/>
        <v>-601200.90543259541</v>
      </c>
      <c r="J274" s="387">
        <f t="shared" si="14"/>
        <v>3474503.6828525532</v>
      </c>
      <c r="K274" s="513">
        <f t="shared" si="15"/>
        <v>2873302.7774199578</v>
      </c>
    </row>
    <row r="275" spans="1:11" x14ac:dyDescent="0.25">
      <c r="A275" s="38">
        <f>Données!A269</f>
        <v>5884</v>
      </c>
      <c r="B275" s="27" t="str">
        <f>Données!B269</f>
        <v>Corsier-sur-Vevey</v>
      </c>
      <c r="C275" s="26">
        <f>Ecrêtage!C269</f>
        <v>128051.27881136951</v>
      </c>
      <c r="D275" s="12">
        <f>Données!Z269</f>
        <v>3367</v>
      </c>
      <c r="E275" s="8">
        <f>Population!K272</f>
        <v>-1040966.8008048288</v>
      </c>
      <c r="F275" s="236">
        <f>Solidarité!I269</f>
        <v>-582827.35824886989</v>
      </c>
      <c r="G275" s="8">
        <f>DT!O269</f>
        <v>0</v>
      </c>
      <c r="H275" s="236">
        <f>Effort!K269+Aide!I269+Taux!J269</f>
        <v>0</v>
      </c>
      <c r="I275" s="313">
        <f t="shared" si="13"/>
        <v>-1623794.1590536986</v>
      </c>
      <c r="J275" s="387">
        <f t="shared" si="14"/>
        <v>2459501.6746001672</v>
      </c>
      <c r="K275" s="513">
        <f t="shared" si="15"/>
        <v>835707.51554646855</v>
      </c>
    </row>
    <row r="276" spans="1:11" x14ac:dyDescent="0.25">
      <c r="A276" s="38">
        <f>Données!A270</f>
        <v>5885</v>
      </c>
      <c r="B276" s="27" t="str">
        <f>Données!B270</f>
        <v>Jongny</v>
      </c>
      <c r="C276" s="26">
        <f>Ecrêtage!C270</f>
        <v>104091.36242206233</v>
      </c>
      <c r="D276" s="12">
        <f>Données!Z270</f>
        <v>1842</v>
      </c>
      <c r="E276" s="8">
        <f>Population!K273</f>
        <v>-433211.4688128772</v>
      </c>
      <c r="F276" s="236">
        <f>Solidarité!I270</f>
        <v>0</v>
      </c>
      <c r="G276" s="8">
        <f>DT!O270</f>
        <v>0</v>
      </c>
      <c r="H276" s="236">
        <f>Effort!K270+Aide!I270+Taux!J270</f>
        <v>0</v>
      </c>
      <c r="I276" s="313">
        <f t="shared" si="13"/>
        <v>-433211.4688128772</v>
      </c>
      <c r="J276" s="387">
        <f t="shared" si="14"/>
        <v>1999299.6756057711</v>
      </c>
      <c r="K276" s="513">
        <f t="shared" si="15"/>
        <v>1566088.2067928938</v>
      </c>
    </row>
    <row r="277" spans="1:11" x14ac:dyDescent="0.25">
      <c r="A277" s="38">
        <f>Données!A271</f>
        <v>5886</v>
      </c>
      <c r="B277" s="27" t="str">
        <f>Données!B271</f>
        <v>Montreux</v>
      </c>
      <c r="C277" s="26">
        <f>Ecrêtage!C271</f>
        <v>1153112.7161538461</v>
      </c>
      <c r="D277" s="12">
        <f>Données!Z271</f>
        <v>26100</v>
      </c>
      <c r="E277" s="8">
        <f>Population!K274</f>
        <v>-22119899.396378264</v>
      </c>
      <c r="F277" s="236">
        <f>Solidarité!I271</f>
        <v>-1878033.2782107431</v>
      </c>
      <c r="G277" s="8">
        <f>DT!O271</f>
        <v>0</v>
      </c>
      <c r="H277" s="236">
        <f>Effort!K271+Aide!I271+Taux!J271</f>
        <v>0</v>
      </c>
      <c r="I277" s="313">
        <f t="shared" si="13"/>
        <v>-23997932.674589008</v>
      </c>
      <c r="J277" s="387">
        <f t="shared" si="14"/>
        <v>22148022.906986538</v>
      </c>
      <c r="K277" s="513">
        <f t="shared" si="15"/>
        <v>-1849909.7676024698</v>
      </c>
    </row>
    <row r="278" spans="1:11" x14ac:dyDescent="0.25">
      <c r="A278" s="38">
        <f>Données!A272</f>
        <v>5889</v>
      </c>
      <c r="B278" s="27" t="str">
        <f>Données!B272</f>
        <v>La Tour-de-Peilz</v>
      </c>
      <c r="C278" s="26">
        <f>Ecrêtage!C272</f>
        <v>709179.36611979152</v>
      </c>
      <c r="D278" s="12">
        <f>Données!Z272</f>
        <v>12402</v>
      </c>
      <c r="E278" s="8">
        <f>Population!K275</f>
        <v>-7408050.3018108634</v>
      </c>
      <c r="F278" s="236">
        <f>Solidarité!I272</f>
        <v>0</v>
      </c>
      <c r="G278" s="8">
        <f>DT!O272</f>
        <v>0</v>
      </c>
      <c r="H278" s="236">
        <f>Effort!K272+Aide!I272+Taux!J272</f>
        <v>0</v>
      </c>
      <c r="I278" s="313">
        <f t="shared" si="13"/>
        <v>-7408050.3018108634</v>
      </c>
      <c r="J278" s="387">
        <f t="shared" si="14"/>
        <v>13621323.072711434</v>
      </c>
      <c r="K278" s="513">
        <f t="shared" si="15"/>
        <v>6213272.7709005708</v>
      </c>
    </row>
    <row r="279" spans="1:11" x14ac:dyDescent="0.25">
      <c r="A279" s="38">
        <f>Données!A273</f>
        <v>5890</v>
      </c>
      <c r="B279" s="27" t="str">
        <f>Données!B273</f>
        <v>Vevey</v>
      </c>
      <c r="C279" s="26">
        <f>Ecrêtage!C273</f>
        <v>945087.70393736032</v>
      </c>
      <c r="D279" s="12">
        <f>Données!Z273</f>
        <v>19754</v>
      </c>
      <c r="E279" s="8">
        <f>Population!K276</f>
        <v>-15242086.720321927</v>
      </c>
      <c r="F279" s="236">
        <f>Solidarité!I273</f>
        <v>-262431.28985020728</v>
      </c>
      <c r="G279" s="8">
        <f>DT!O273</f>
        <v>0</v>
      </c>
      <c r="H279" s="236">
        <f>Effort!K273+Aide!I273+Taux!J273</f>
        <v>0</v>
      </c>
      <c r="I279" s="313">
        <f t="shared" si="13"/>
        <v>-15504518.010172134</v>
      </c>
      <c r="J279" s="387">
        <f t="shared" si="14"/>
        <v>18152452.76778587</v>
      </c>
      <c r="K279" s="513">
        <f t="shared" si="15"/>
        <v>2647934.7576137353</v>
      </c>
    </row>
    <row r="280" spans="1:11" x14ac:dyDescent="0.25">
      <c r="A280" s="38">
        <f>Données!A274</f>
        <v>5891</v>
      </c>
      <c r="B280" s="27" t="str">
        <f>Données!B274</f>
        <v>Veytaux</v>
      </c>
      <c r="C280" s="26">
        <f>Ecrêtage!C274</f>
        <v>41113.316211031175</v>
      </c>
      <c r="D280" s="12">
        <f>Données!Z274</f>
        <v>972</v>
      </c>
      <c r="E280" s="8">
        <f>Population!K277</f>
        <v>-125411.46881287724</v>
      </c>
      <c r="F280" s="236">
        <f>Solidarité!I274</f>
        <v>-115292.26878509887</v>
      </c>
      <c r="G280" s="8">
        <f>DT!O274</f>
        <v>0</v>
      </c>
      <c r="H280" s="236">
        <f>Effort!K274+Aide!I274+Taux!J274</f>
        <v>0</v>
      </c>
      <c r="I280" s="313">
        <f t="shared" si="13"/>
        <v>-240703.73759797611</v>
      </c>
      <c r="J280" s="387">
        <f t="shared" si="14"/>
        <v>789670.13065408927</v>
      </c>
      <c r="K280" s="513">
        <f t="shared" si="15"/>
        <v>548966.39305611316</v>
      </c>
    </row>
    <row r="281" spans="1:11" x14ac:dyDescent="0.25">
      <c r="A281" s="38">
        <f>Données!A275</f>
        <v>5892</v>
      </c>
      <c r="B281" s="27" t="str">
        <f>Données!B275</f>
        <v>Blonay-Saint-Légier</v>
      </c>
      <c r="C281" s="26">
        <f>Ecrêtage!C275</f>
        <v>749734.6567883211</v>
      </c>
      <c r="D281" s="12">
        <f>Données!Z275</f>
        <v>12137</v>
      </c>
      <c r="E281" s="8">
        <f>Population!K278</f>
        <v>-7134519.1146881273</v>
      </c>
      <c r="F281" s="236">
        <f>Solidarité!I275</f>
        <v>0</v>
      </c>
      <c r="G281" s="8">
        <f>DT!O275</f>
        <v>0</v>
      </c>
      <c r="H281" s="236">
        <f>Effort!K275+Aide!I275+Taux!J275</f>
        <v>0</v>
      </c>
      <c r="I281" s="313">
        <f t="shared" si="13"/>
        <v>-7134519.1146881273</v>
      </c>
      <c r="J281" s="387">
        <f t="shared" si="14"/>
        <v>14400275.116291406</v>
      </c>
      <c r="K281" s="513">
        <f t="shared" si="15"/>
        <v>7265756.0016032783</v>
      </c>
    </row>
    <row r="282" spans="1:11" x14ac:dyDescent="0.25">
      <c r="A282" s="38">
        <f>Données!A276</f>
        <v>5902</v>
      </c>
      <c r="B282" s="27" t="str">
        <f>Données!B276</f>
        <v>Belmont-sur-Yverdon</v>
      </c>
      <c r="C282" s="26">
        <f>Ecrêtage!C276</f>
        <v>11918.01</v>
      </c>
      <c r="D282" s="12">
        <f>Données!Z276</f>
        <v>434</v>
      </c>
      <c r="E282" s="8">
        <f>Population!K279</f>
        <v>-55996.478873239423</v>
      </c>
      <c r="F282" s="236">
        <f>Solidarité!I276</f>
        <v>-178326.8566197617</v>
      </c>
      <c r="G282" s="8">
        <f>DT!O276</f>
        <v>0</v>
      </c>
      <c r="H282" s="236">
        <f>Effort!K276+Aide!I276+Taux!J276</f>
        <v>0</v>
      </c>
      <c r="I282" s="313">
        <f t="shared" si="13"/>
        <v>-234323.33549300113</v>
      </c>
      <c r="J282" s="387">
        <f t="shared" si="14"/>
        <v>228911.15047809214</v>
      </c>
      <c r="K282" s="513">
        <f t="shared" si="15"/>
        <v>-5412.1850149089878</v>
      </c>
    </row>
    <row r="283" spans="1:11" x14ac:dyDescent="0.25">
      <c r="A283" s="38">
        <f>Données!A277</f>
        <v>5903</v>
      </c>
      <c r="B283" s="27" t="str">
        <f>Données!B277</f>
        <v>Bioley-Magnoux</v>
      </c>
      <c r="C283" s="26">
        <f>Ecrêtage!C277</f>
        <v>6275.4313293650803</v>
      </c>
      <c r="D283" s="12">
        <f>Données!Z277</f>
        <v>247</v>
      </c>
      <c r="E283" s="8">
        <f>Population!K280</f>
        <v>-31868.96378269617</v>
      </c>
      <c r="F283" s="236">
        <f>Solidarité!I277</f>
        <v>-117885.34481522722</v>
      </c>
      <c r="G283" s="8">
        <f>DT!O277</f>
        <v>0</v>
      </c>
      <c r="H283" s="236">
        <f>Effort!K277+Aide!I277+Taux!J277</f>
        <v>0</v>
      </c>
      <c r="I283" s="313">
        <f t="shared" si="13"/>
        <v>-149754.30859792337</v>
      </c>
      <c r="J283" s="387">
        <f t="shared" si="14"/>
        <v>120533.22705310902</v>
      </c>
      <c r="K283" s="513">
        <f t="shared" si="15"/>
        <v>-29221.081544814355</v>
      </c>
    </row>
    <row r="284" spans="1:11" x14ac:dyDescent="0.25">
      <c r="A284" s="38">
        <f>Données!A278</f>
        <v>5904</v>
      </c>
      <c r="B284" s="27" t="str">
        <f>Données!B278</f>
        <v>Chamblon</v>
      </c>
      <c r="C284" s="26">
        <f>Ecrêtage!C278</f>
        <v>18890.250303030305</v>
      </c>
      <c r="D284" s="12">
        <f>Données!Z278</f>
        <v>567</v>
      </c>
      <c r="E284" s="8">
        <f>Population!K281</f>
        <v>-73156.69014084505</v>
      </c>
      <c r="F284" s="236">
        <f>Solidarité!I278</f>
        <v>-149310.59810800132</v>
      </c>
      <c r="G284" s="8">
        <f>DT!O278</f>
        <v>0</v>
      </c>
      <c r="H284" s="236">
        <f>Effort!K278+Aide!I278+Taux!J278</f>
        <v>0</v>
      </c>
      <c r="I284" s="313">
        <f t="shared" si="13"/>
        <v>-222467.28824884637</v>
      </c>
      <c r="J284" s="387">
        <f t="shared" si="14"/>
        <v>362828.10047027952</v>
      </c>
      <c r="K284" s="513">
        <f t="shared" si="15"/>
        <v>140360.81222143315</v>
      </c>
    </row>
    <row r="285" spans="1:11" x14ac:dyDescent="0.25">
      <c r="A285" s="38">
        <f>Données!A279</f>
        <v>5905</v>
      </c>
      <c r="B285" s="27" t="str">
        <f>Données!B279</f>
        <v>Champvent</v>
      </c>
      <c r="C285" s="26">
        <f>Ecrêtage!C279</f>
        <v>21534.177714285714</v>
      </c>
      <c r="D285" s="12">
        <f>Données!Z279</f>
        <v>733</v>
      </c>
      <c r="E285" s="8">
        <f>Population!K282</f>
        <v>-94574.698189134782</v>
      </c>
      <c r="F285" s="236">
        <f>Solidarité!I279</f>
        <v>-273660.43610502774</v>
      </c>
      <c r="G285" s="8">
        <f>DT!O279</f>
        <v>0</v>
      </c>
      <c r="H285" s="236">
        <f>Effort!K279+Aide!I279+Taux!J279</f>
        <v>0</v>
      </c>
      <c r="I285" s="313">
        <f t="shared" si="13"/>
        <v>-368235.1342941625</v>
      </c>
      <c r="J285" s="387">
        <f t="shared" si="14"/>
        <v>413610.44294952223</v>
      </c>
      <c r="K285" s="513">
        <f t="shared" si="15"/>
        <v>45375.308655359724</v>
      </c>
    </row>
    <row r="286" spans="1:11" x14ac:dyDescent="0.25">
      <c r="A286" s="38">
        <f>Données!A280</f>
        <v>5907</v>
      </c>
      <c r="B286" s="27" t="str">
        <f>Données!B280</f>
        <v>Chavannes-le-Chêne</v>
      </c>
      <c r="C286" s="26">
        <f>Ecrêtage!C280</f>
        <v>8453.4726666666666</v>
      </c>
      <c r="D286" s="12">
        <f>Données!Z280</f>
        <v>317</v>
      </c>
      <c r="E286" s="8">
        <f>Population!K283</f>
        <v>-40900.653923541242</v>
      </c>
      <c r="F286" s="236">
        <f>Solidarité!I280</f>
        <v>-155181.42800743124</v>
      </c>
      <c r="G286" s="8">
        <f>DT!O280</f>
        <v>0</v>
      </c>
      <c r="H286" s="236">
        <f>Effort!K280+Aide!I280+Taux!J280</f>
        <v>0</v>
      </c>
      <c r="I286" s="313">
        <f t="shared" si="13"/>
        <v>-196082.08193097249</v>
      </c>
      <c r="J286" s="387">
        <f t="shared" si="14"/>
        <v>162367.22017029455</v>
      </c>
      <c r="K286" s="513">
        <f t="shared" si="15"/>
        <v>-33714.861760677944</v>
      </c>
    </row>
    <row r="287" spans="1:11" x14ac:dyDescent="0.25">
      <c r="A287" s="38">
        <f>Données!A281</f>
        <v>5908</v>
      </c>
      <c r="B287" s="27" t="str">
        <f>Données!B281</f>
        <v>Chêne-Pâquier</v>
      </c>
      <c r="C287" s="26">
        <f>Ecrêtage!C281</f>
        <v>4917.9366666666683</v>
      </c>
      <c r="D287" s="12">
        <f>Données!Z281</f>
        <v>163</v>
      </c>
      <c r="E287" s="8">
        <f>Population!K284</f>
        <v>-21030.935613682086</v>
      </c>
      <c r="F287" s="236">
        <f>Solidarité!I281</f>
        <v>-66952.077112810221</v>
      </c>
      <c r="G287" s="8">
        <f>DT!O281</f>
        <v>0</v>
      </c>
      <c r="H287" s="236">
        <f>Effort!K281+Aide!I281+Taux!J281</f>
        <v>0</v>
      </c>
      <c r="I287" s="313">
        <f t="shared" si="13"/>
        <v>-87983.012726492307</v>
      </c>
      <c r="J287" s="387">
        <f t="shared" si="14"/>
        <v>94459.606959975747</v>
      </c>
      <c r="K287" s="513">
        <f t="shared" si="15"/>
        <v>6476.5942334834399</v>
      </c>
    </row>
    <row r="288" spans="1:11" x14ac:dyDescent="0.25">
      <c r="A288" s="38">
        <f>Données!A282</f>
        <v>5909</v>
      </c>
      <c r="B288" s="27" t="str">
        <f>Données!B282</f>
        <v>Cheseaux-Noréaz</v>
      </c>
      <c r="C288" s="26">
        <f>Ecrêtage!C282</f>
        <v>34179.649850746275</v>
      </c>
      <c r="D288" s="12">
        <f>Données!Z282</f>
        <v>735</v>
      </c>
      <c r="E288" s="8">
        <f>Population!K285</f>
        <v>-94832.746478873218</v>
      </c>
      <c r="F288" s="236">
        <f>Solidarité!I282</f>
        <v>-25566.961702903838</v>
      </c>
      <c r="G288" s="8">
        <f>DT!O282</f>
        <v>0</v>
      </c>
      <c r="H288" s="236">
        <f>Effort!K282+Aide!I282+Taux!J282</f>
        <v>0</v>
      </c>
      <c r="I288" s="313">
        <f t="shared" si="13"/>
        <v>-120399.70818177705</v>
      </c>
      <c r="J288" s="387">
        <f t="shared" si="14"/>
        <v>656494.07663466304</v>
      </c>
      <c r="K288" s="513">
        <f t="shared" si="15"/>
        <v>536094.368452886</v>
      </c>
    </row>
    <row r="289" spans="1:11" x14ac:dyDescent="0.25">
      <c r="A289" s="38">
        <f>Données!A283</f>
        <v>5910</v>
      </c>
      <c r="B289" s="27" t="str">
        <f>Données!B283</f>
        <v>Cronay</v>
      </c>
      <c r="C289" s="26">
        <f>Ecrêtage!C283</f>
        <v>10620.023506493504</v>
      </c>
      <c r="D289" s="12">
        <f>Données!Z283</f>
        <v>410</v>
      </c>
      <c r="E289" s="8">
        <f>Population!K286</f>
        <v>-52899.899396378256</v>
      </c>
      <c r="F289" s="236">
        <f>Solidarité!I283</f>
        <v>-218983.67746372658</v>
      </c>
      <c r="G289" s="8">
        <f>DT!O283</f>
        <v>0</v>
      </c>
      <c r="H289" s="236">
        <f>Effort!K283+Aide!I283+Taux!J283</f>
        <v>0</v>
      </c>
      <c r="I289" s="313">
        <f t="shared" si="13"/>
        <v>-271883.5768601048</v>
      </c>
      <c r="J289" s="387">
        <f t="shared" si="14"/>
        <v>203980.51343939218</v>
      </c>
      <c r="K289" s="513">
        <f t="shared" si="15"/>
        <v>-67903.063420712628</v>
      </c>
    </row>
    <row r="290" spans="1:11" x14ac:dyDescent="0.25">
      <c r="A290" s="38">
        <f>Données!A284</f>
        <v>5911</v>
      </c>
      <c r="B290" s="27" t="str">
        <f>Données!B284</f>
        <v>Cuarny</v>
      </c>
      <c r="C290" s="26">
        <f>Ecrêtage!C284</f>
        <v>7630.7251948051926</v>
      </c>
      <c r="D290" s="12">
        <f>Données!Z284</f>
        <v>236</v>
      </c>
      <c r="E290" s="8">
        <f>Population!K287</f>
        <v>-30449.6981891348</v>
      </c>
      <c r="F290" s="236">
        <f>Solidarité!I284</f>
        <v>-90083.73880261305</v>
      </c>
      <c r="G290" s="8">
        <f>DT!O284</f>
        <v>0</v>
      </c>
      <c r="H290" s="236">
        <f>Effort!K284+Aide!I284+Taux!J284</f>
        <v>0</v>
      </c>
      <c r="I290" s="313">
        <f t="shared" si="13"/>
        <v>-120533.43699174785</v>
      </c>
      <c r="J290" s="387">
        <f t="shared" si="14"/>
        <v>146564.5760764608</v>
      </c>
      <c r="K290" s="513">
        <f t="shared" si="15"/>
        <v>26031.139084712951</v>
      </c>
    </row>
    <row r="291" spans="1:11" x14ac:dyDescent="0.25">
      <c r="A291" s="38">
        <f>Données!A285</f>
        <v>5912</v>
      </c>
      <c r="B291" s="27" t="str">
        <f>Données!B285</f>
        <v>Démoret</v>
      </c>
      <c r="C291" s="26">
        <f>Ecrêtage!C285</f>
        <v>3035.5994871794869</v>
      </c>
      <c r="D291" s="12">
        <f>Données!Z285</f>
        <v>167</v>
      </c>
      <c r="E291" s="8">
        <f>Population!K288</f>
        <v>-21547.03219315895</v>
      </c>
      <c r="F291" s="236">
        <f>Solidarité!I285</f>
        <v>-122898.41322505199</v>
      </c>
      <c r="G291" s="8">
        <f>DT!O285</f>
        <v>0</v>
      </c>
      <c r="H291" s="236">
        <f>Effort!K285+Aide!I285+Taux!J285</f>
        <v>5750.915432333084</v>
      </c>
      <c r="I291" s="313">
        <f t="shared" si="13"/>
        <v>-138694.52998587786</v>
      </c>
      <c r="J291" s="387">
        <f t="shared" si="14"/>
        <v>58305.251547948261</v>
      </c>
      <c r="K291" s="513">
        <f t="shared" si="15"/>
        <v>-80389.278437929606</v>
      </c>
    </row>
    <row r="292" spans="1:11" x14ac:dyDescent="0.25">
      <c r="A292" s="38">
        <f>Données!A286</f>
        <v>5913</v>
      </c>
      <c r="B292" s="27" t="str">
        <f>Données!B286</f>
        <v>Donneloye</v>
      </c>
      <c r="C292" s="26">
        <f>Ecrêtage!C286</f>
        <v>21868.165342465756</v>
      </c>
      <c r="D292" s="12">
        <f>Données!Z286</f>
        <v>905</v>
      </c>
      <c r="E292" s="8">
        <f>Population!K289</f>
        <v>-116766.85110663981</v>
      </c>
      <c r="F292" s="236">
        <f>Solidarité!I286</f>
        <v>-467966.4275676416</v>
      </c>
      <c r="G292" s="8">
        <f>DT!O286</f>
        <v>0</v>
      </c>
      <c r="H292" s="236">
        <f>Effort!K286+Aide!I286+Taux!J286</f>
        <v>0</v>
      </c>
      <c r="I292" s="313">
        <f t="shared" si="13"/>
        <v>-584733.27867428144</v>
      </c>
      <c r="J292" s="387">
        <f t="shared" si="14"/>
        <v>420025.39747734548</v>
      </c>
      <c r="K292" s="513">
        <f t="shared" si="15"/>
        <v>-164707.88119693595</v>
      </c>
    </row>
    <row r="293" spans="1:11" x14ac:dyDescent="0.25">
      <c r="A293" s="38">
        <f>Données!A287</f>
        <v>5914</v>
      </c>
      <c r="B293" s="27" t="str">
        <f>Données!B287</f>
        <v>Ependes</v>
      </c>
      <c r="C293" s="26">
        <f>Ecrêtage!C287</f>
        <v>9826.1438095238063</v>
      </c>
      <c r="D293" s="12">
        <f>Données!Z287</f>
        <v>372</v>
      </c>
      <c r="E293" s="8">
        <f>Population!K290</f>
        <v>-47996.981891348078</v>
      </c>
      <c r="F293" s="236">
        <f>Solidarité!I287</f>
        <v>-176924.28881413347</v>
      </c>
      <c r="G293" s="8">
        <f>DT!O287</f>
        <v>0</v>
      </c>
      <c r="H293" s="236">
        <f>Effort!K287+Aide!I287+Taux!J287</f>
        <v>0</v>
      </c>
      <c r="I293" s="313">
        <f t="shared" si="13"/>
        <v>-224921.27070548155</v>
      </c>
      <c r="J293" s="387">
        <f t="shared" si="14"/>
        <v>188732.33737857896</v>
      </c>
      <c r="K293" s="513">
        <f t="shared" si="15"/>
        <v>-36188.933326902596</v>
      </c>
    </row>
    <row r="294" spans="1:11" x14ac:dyDescent="0.25">
      <c r="A294" s="38">
        <f>Données!A288</f>
        <v>5919</v>
      </c>
      <c r="B294" s="27" t="str">
        <f>Données!B288</f>
        <v>Mathod</v>
      </c>
      <c r="C294" s="26">
        <f>Ecrêtage!C288</f>
        <v>20854.383912037036</v>
      </c>
      <c r="D294" s="12">
        <f>Données!Z288</f>
        <v>685</v>
      </c>
      <c r="E294" s="8">
        <f>Population!K291</f>
        <v>-88381.539235412449</v>
      </c>
      <c r="F294" s="236">
        <f>Solidarité!I288</f>
        <v>-255430.06515288117</v>
      </c>
      <c r="G294" s="8">
        <f>DT!O288</f>
        <v>0</v>
      </c>
      <c r="H294" s="236">
        <f>Effort!K288+Aide!I288+Taux!J288</f>
        <v>0</v>
      </c>
      <c r="I294" s="313">
        <f t="shared" si="13"/>
        <v>-343811.60438829364</v>
      </c>
      <c r="J294" s="387">
        <f t="shared" si="14"/>
        <v>400553.53316671273</v>
      </c>
      <c r="K294" s="513">
        <f t="shared" si="15"/>
        <v>56741.928778419096</v>
      </c>
    </row>
    <row r="295" spans="1:11" x14ac:dyDescent="0.25">
      <c r="A295" s="38">
        <f>Données!A289</f>
        <v>5921</v>
      </c>
      <c r="B295" s="27" t="str">
        <f>Données!B289</f>
        <v>Molondin</v>
      </c>
      <c r="C295" s="26">
        <f>Ecrêtage!C289</f>
        <v>5090.9675308641981</v>
      </c>
      <c r="D295" s="12">
        <f>Données!Z289</f>
        <v>258</v>
      </c>
      <c r="E295" s="8">
        <f>Population!K292</f>
        <v>-33288.229376257535</v>
      </c>
      <c r="F295" s="236">
        <f>Solidarité!I289</f>
        <v>-194231.46670520218</v>
      </c>
      <c r="G295" s="8">
        <f>DT!O289</f>
        <v>0</v>
      </c>
      <c r="H295" s="236">
        <f>Effort!K289+Aide!I289+Taux!J289</f>
        <v>13852.069030597719</v>
      </c>
      <c r="I295" s="313">
        <f t="shared" si="13"/>
        <v>-213667.62705086201</v>
      </c>
      <c r="J295" s="387">
        <f t="shared" si="14"/>
        <v>97783.038824160714</v>
      </c>
      <c r="K295" s="513">
        <f t="shared" si="15"/>
        <v>-115884.58822670129</v>
      </c>
    </row>
    <row r="296" spans="1:11" x14ac:dyDescent="0.25">
      <c r="A296" s="38">
        <f>Données!A290</f>
        <v>5922</v>
      </c>
      <c r="B296" s="27" t="str">
        <f>Données!B290</f>
        <v>Montagny-près-Yverdon</v>
      </c>
      <c r="C296" s="26">
        <f>Ecrêtage!C290</f>
        <v>39799.996472868217</v>
      </c>
      <c r="D296" s="12">
        <f>Données!Z290</f>
        <v>770</v>
      </c>
      <c r="E296" s="8">
        <f>Population!K293</f>
        <v>-99348.591549295757</v>
      </c>
      <c r="F296" s="236">
        <f>Solidarité!I290</f>
        <v>0</v>
      </c>
      <c r="G296" s="8">
        <f>DT!O290</f>
        <v>0</v>
      </c>
      <c r="H296" s="236">
        <f>Effort!K290+Aide!I290+Taux!J290</f>
        <v>0</v>
      </c>
      <c r="I296" s="313">
        <f t="shared" si="13"/>
        <v>-99348.591549295757</v>
      </c>
      <c r="J296" s="387">
        <f t="shared" si="14"/>
        <v>764444.98549911217</v>
      </c>
      <c r="K296" s="513">
        <f t="shared" si="15"/>
        <v>665096.39394981647</v>
      </c>
    </row>
    <row r="297" spans="1:11" x14ac:dyDescent="0.25">
      <c r="A297" s="38">
        <f>Données!A291</f>
        <v>5923</v>
      </c>
      <c r="B297" s="27" t="str">
        <f>Données!B291</f>
        <v>Oppens</v>
      </c>
      <c r="C297" s="26">
        <f>Ecrêtage!C291</f>
        <v>4459.4095061728403</v>
      </c>
      <c r="D297" s="12">
        <f>Données!Z291</f>
        <v>202</v>
      </c>
      <c r="E297" s="8">
        <f>Population!K294</f>
        <v>-26062.877263581482</v>
      </c>
      <c r="F297" s="236">
        <f>Solidarité!I291</f>
        <v>-139657.35102213919</v>
      </c>
      <c r="G297" s="8">
        <f>DT!O291</f>
        <v>0</v>
      </c>
      <c r="H297" s="236">
        <f>Effort!K291+Aide!I291+Taux!J291</f>
        <v>0</v>
      </c>
      <c r="I297" s="313">
        <f t="shared" si="13"/>
        <v>-165720.22828572069</v>
      </c>
      <c r="J297" s="387">
        <f t="shared" si="14"/>
        <v>85652.601441932478</v>
      </c>
      <c r="K297" s="513">
        <f t="shared" si="15"/>
        <v>-80067.62684378821</v>
      </c>
    </row>
    <row r="298" spans="1:11" x14ac:dyDescent="0.25">
      <c r="A298" s="38">
        <f>Données!A292</f>
        <v>5924</v>
      </c>
      <c r="B298" s="27" t="str">
        <f>Données!B292</f>
        <v>Orges</v>
      </c>
      <c r="C298" s="26">
        <f>Ecrêtage!C292</f>
        <v>11637.592027027025</v>
      </c>
      <c r="D298" s="12">
        <f>Données!Z292</f>
        <v>407</v>
      </c>
      <c r="E298" s="8">
        <f>Population!K295</f>
        <v>-52512.82696177061</v>
      </c>
      <c r="F298" s="236">
        <f>Solidarité!I292</f>
        <v>-176801.08128382685</v>
      </c>
      <c r="G298" s="8">
        <f>DT!O292</f>
        <v>0</v>
      </c>
      <c r="H298" s="236">
        <f>Effort!K292+Aide!I292+Taux!J292</f>
        <v>0</v>
      </c>
      <c r="I298" s="313">
        <f t="shared" si="13"/>
        <v>-229313.90824559744</v>
      </c>
      <c r="J298" s="387">
        <f t="shared" si="14"/>
        <v>223525.11700371362</v>
      </c>
      <c r="K298" s="513">
        <f t="shared" si="15"/>
        <v>-5788.7912418838241</v>
      </c>
    </row>
    <row r="299" spans="1:11" x14ac:dyDescent="0.25">
      <c r="A299" s="38">
        <f>Données!A293</f>
        <v>5925</v>
      </c>
      <c r="B299" s="27" t="str">
        <f>Données!B293</f>
        <v>Orzens</v>
      </c>
      <c r="C299" s="26">
        <f>Ecrêtage!C293</f>
        <v>5249.0272151898725</v>
      </c>
      <c r="D299" s="12">
        <f>Données!Z293</f>
        <v>212</v>
      </c>
      <c r="E299" s="8">
        <f>Population!K296</f>
        <v>-27353.118712273637</v>
      </c>
      <c r="F299" s="236">
        <f>Solidarité!I293</f>
        <v>-125232.99983046035</v>
      </c>
      <c r="G299" s="8">
        <f>DT!O293</f>
        <v>0</v>
      </c>
      <c r="H299" s="236">
        <f>Effort!K293+Aide!I293+Taux!J293</f>
        <v>0</v>
      </c>
      <c r="I299" s="313">
        <f t="shared" si="13"/>
        <v>-152586.11854273398</v>
      </c>
      <c r="J299" s="387">
        <f t="shared" si="14"/>
        <v>100818.91680909228</v>
      </c>
      <c r="K299" s="513">
        <f t="shared" si="15"/>
        <v>-51767.201733641705</v>
      </c>
    </row>
    <row r="300" spans="1:11" x14ac:dyDescent="0.25">
      <c r="A300" s="38">
        <f>Données!A294</f>
        <v>5926</v>
      </c>
      <c r="B300" s="27" t="str">
        <f>Données!B294</f>
        <v>Pomy</v>
      </c>
      <c r="C300" s="26">
        <f>Ecrêtage!C294</f>
        <v>26782.680140845066</v>
      </c>
      <c r="D300" s="12">
        <f>Données!Z294</f>
        <v>868</v>
      </c>
      <c r="E300" s="8">
        <f>Population!K297</f>
        <v>-111992.95774647885</v>
      </c>
      <c r="F300" s="236">
        <f>Solidarité!I294</f>
        <v>-307548.3940106894</v>
      </c>
      <c r="G300" s="8">
        <f>DT!O294</f>
        <v>0</v>
      </c>
      <c r="H300" s="236">
        <f>Effort!K294+Aide!I294+Taux!J294</f>
        <v>0</v>
      </c>
      <c r="I300" s="313">
        <f t="shared" si="13"/>
        <v>-419541.35175716825</v>
      </c>
      <c r="J300" s="387">
        <f t="shared" si="14"/>
        <v>514419.28005829791</v>
      </c>
      <c r="K300" s="513">
        <f t="shared" si="15"/>
        <v>94877.928301129665</v>
      </c>
    </row>
    <row r="301" spans="1:11" x14ac:dyDescent="0.25">
      <c r="A301" s="38">
        <f>Données!A295</f>
        <v>5928</v>
      </c>
      <c r="B301" s="27" t="str">
        <f>Données!B295</f>
        <v>Rovray</v>
      </c>
      <c r="C301" s="26">
        <f>Ecrêtage!C295</f>
        <v>5095.519580419581</v>
      </c>
      <c r="D301" s="12">
        <f>Données!Z295</f>
        <v>197</v>
      </c>
      <c r="E301" s="8">
        <f>Population!K298</f>
        <v>-25417.756539235408</v>
      </c>
      <c r="F301" s="236">
        <f>Solidarité!I295</f>
        <v>-90873.122781628117</v>
      </c>
      <c r="G301" s="8">
        <f>DT!O295</f>
        <v>0</v>
      </c>
      <c r="H301" s="236">
        <f>Effort!K295+Aide!I295+Taux!J295</f>
        <v>0</v>
      </c>
      <c r="I301" s="313">
        <f t="shared" si="13"/>
        <v>-116290.87932086352</v>
      </c>
      <c r="J301" s="387">
        <f t="shared" si="14"/>
        <v>97870.47077804865</v>
      </c>
      <c r="K301" s="513">
        <f t="shared" si="15"/>
        <v>-18420.408542814868</v>
      </c>
    </row>
    <row r="302" spans="1:11" x14ac:dyDescent="0.25">
      <c r="A302" s="38">
        <f>Données!A296</f>
        <v>5929</v>
      </c>
      <c r="B302" s="27" t="str">
        <f>Données!B296</f>
        <v>Suchy</v>
      </c>
      <c r="C302" s="26">
        <f>Ecrêtage!C296</f>
        <v>21603.071857142855</v>
      </c>
      <c r="D302" s="12">
        <f>Données!Z296</f>
        <v>671</v>
      </c>
      <c r="E302" s="8">
        <f>Population!K299</f>
        <v>-86575.201207243445</v>
      </c>
      <c r="F302" s="236">
        <f>Solidarité!I296</f>
        <v>-213492.60924518545</v>
      </c>
      <c r="G302" s="8">
        <f>DT!O296</f>
        <v>0</v>
      </c>
      <c r="H302" s="236">
        <f>Effort!K296+Aide!I296+Taux!J296</f>
        <v>0</v>
      </c>
      <c r="I302" s="313">
        <f t="shared" si="13"/>
        <v>-300067.81045242888</v>
      </c>
      <c r="J302" s="387">
        <f t="shared" si="14"/>
        <v>414933.70392200258</v>
      </c>
      <c r="K302" s="513">
        <f t="shared" si="15"/>
        <v>114865.8934695737</v>
      </c>
    </row>
    <row r="303" spans="1:11" x14ac:dyDescent="0.25">
      <c r="A303" s="38">
        <f>Données!A297</f>
        <v>5930</v>
      </c>
      <c r="B303" s="27" t="str">
        <f>Données!B297</f>
        <v>Suscévaz</v>
      </c>
      <c r="C303" s="26">
        <f>Ecrêtage!C297</f>
        <v>5749.1651388888886</v>
      </c>
      <c r="D303" s="12">
        <f>Données!Z297</f>
        <v>220</v>
      </c>
      <c r="E303" s="8">
        <f>Population!K300</f>
        <v>-28385.311871227357</v>
      </c>
      <c r="F303" s="236">
        <f>Solidarité!I297</f>
        <v>-101689.99077244352</v>
      </c>
      <c r="G303" s="8">
        <f>DT!O297</f>
        <v>0</v>
      </c>
      <c r="H303" s="236">
        <f>Effort!K297+Aide!I297+Taux!J297</f>
        <v>0</v>
      </c>
      <c r="I303" s="313">
        <f t="shared" si="13"/>
        <v>-130075.30264367088</v>
      </c>
      <c r="J303" s="387">
        <f t="shared" si="14"/>
        <v>110425.14700286339</v>
      </c>
      <c r="K303" s="513">
        <f t="shared" si="15"/>
        <v>-19650.155640807483</v>
      </c>
    </row>
    <row r="304" spans="1:11" x14ac:dyDescent="0.25">
      <c r="A304" s="38">
        <f>Données!A298</f>
        <v>5931</v>
      </c>
      <c r="B304" s="27" t="str">
        <f>Données!B298</f>
        <v>Treycovagnes</v>
      </c>
      <c r="C304" s="26">
        <f>Ecrêtage!C298</f>
        <v>16306.743466666663</v>
      </c>
      <c r="D304" s="12">
        <f>Données!Z298</f>
        <v>520</v>
      </c>
      <c r="E304" s="8">
        <f>Population!K301</f>
        <v>-67092.555331991942</v>
      </c>
      <c r="F304" s="236">
        <f>Solidarité!I298</f>
        <v>-199704.273648228</v>
      </c>
      <c r="G304" s="8">
        <f>DT!O298</f>
        <v>0</v>
      </c>
      <c r="H304" s="236">
        <f>Effort!K298+Aide!I298+Taux!J298</f>
        <v>0</v>
      </c>
      <c r="I304" s="313">
        <f t="shared" si="13"/>
        <v>-266796.82898021996</v>
      </c>
      <c r="J304" s="387">
        <f t="shared" si="14"/>
        <v>313206.26576968626</v>
      </c>
      <c r="K304" s="513">
        <f t="shared" si="15"/>
        <v>46409.436789466301</v>
      </c>
    </row>
    <row r="305" spans="1:11" x14ac:dyDescent="0.25">
      <c r="A305" s="38">
        <f>Données!A299</f>
        <v>5932</v>
      </c>
      <c r="B305" s="27" t="str">
        <f>Données!B299</f>
        <v>Ursins</v>
      </c>
      <c r="C305" s="26">
        <f>Ecrêtage!C299</f>
        <v>7945.6340000000009</v>
      </c>
      <c r="D305" s="12">
        <f>Données!Z299</f>
        <v>230</v>
      </c>
      <c r="E305" s="8">
        <f>Population!K302</f>
        <v>-29675.553319919509</v>
      </c>
      <c r="F305" s="236">
        <f>Solidarité!I299</f>
        <v>-71850.819805056512</v>
      </c>
      <c r="G305" s="8">
        <f>DT!O299</f>
        <v>0</v>
      </c>
      <c r="H305" s="236">
        <f>Effort!K299+Aide!I299+Taux!J299</f>
        <v>0</v>
      </c>
      <c r="I305" s="313">
        <f t="shared" si="13"/>
        <v>-101526.37312497602</v>
      </c>
      <c r="J305" s="387">
        <f t="shared" si="14"/>
        <v>152613.08055773115</v>
      </c>
      <c r="K305" s="513">
        <f t="shared" si="15"/>
        <v>51086.707432755138</v>
      </c>
    </row>
    <row r="306" spans="1:11" x14ac:dyDescent="0.25">
      <c r="A306" s="38">
        <f>Données!A300</f>
        <v>5933</v>
      </c>
      <c r="B306" s="27" t="str">
        <f>Données!B300</f>
        <v>Valeyres-sous-Montagny</v>
      </c>
      <c r="C306" s="26">
        <f>Ecrêtage!C300</f>
        <v>23478.314609929079</v>
      </c>
      <c r="D306" s="12">
        <f>Données!Z300</f>
        <v>703</v>
      </c>
      <c r="E306" s="8">
        <f>Population!K303</f>
        <v>-90703.973843058324</v>
      </c>
      <c r="F306" s="236">
        <f>Solidarité!I300</f>
        <v>-210095.1863995037</v>
      </c>
      <c r="G306" s="8">
        <f>DT!O300</f>
        <v>0</v>
      </c>
      <c r="H306" s="236">
        <f>Effort!K300+Aide!I300+Taux!J300</f>
        <v>0</v>
      </c>
      <c r="I306" s="313">
        <f t="shared" si="13"/>
        <v>-300799.16024256201</v>
      </c>
      <c r="J306" s="387">
        <f t="shared" si="14"/>
        <v>450951.79553008132</v>
      </c>
      <c r="K306" s="513">
        <f t="shared" si="15"/>
        <v>150152.63528751931</v>
      </c>
    </row>
    <row r="307" spans="1:11" x14ac:dyDescent="0.25">
      <c r="A307" s="38">
        <f>Données!A301</f>
        <v>5934</v>
      </c>
      <c r="B307" s="27" t="str">
        <f>Données!B301</f>
        <v>Valeyres-sous-Ursins</v>
      </c>
      <c r="C307" s="26">
        <f>Ecrêtage!C301</f>
        <v>16787.585844155841</v>
      </c>
      <c r="D307" s="12">
        <f>Données!Z301</f>
        <v>241</v>
      </c>
      <c r="E307" s="8">
        <f>Population!K304</f>
        <v>-31094.818913480878</v>
      </c>
      <c r="F307" s="236">
        <f>Solidarité!I301</f>
        <v>0</v>
      </c>
      <c r="G307" s="8">
        <f>DT!O301</f>
        <v>0</v>
      </c>
      <c r="H307" s="236">
        <f>Effort!K301+Aide!I301+Taux!J301</f>
        <v>0</v>
      </c>
      <c r="I307" s="313">
        <f t="shared" si="13"/>
        <v>-31094.818913480878</v>
      </c>
      <c r="J307" s="387">
        <f t="shared" si="14"/>
        <v>322441.88327878964</v>
      </c>
      <c r="K307" s="513">
        <f t="shared" si="15"/>
        <v>291347.06436530873</v>
      </c>
    </row>
    <row r="308" spans="1:11" x14ac:dyDescent="0.25">
      <c r="A308" s="38">
        <f>Données!A302</f>
        <v>5935</v>
      </c>
      <c r="B308" s="27" t="str">
        <f>Données!B302</f>
        <v>Villars-Epeney</v>
      </c>
      <c r="C308" s="26">
        <f>Ecrêtage!C302</f>
        <v>6724.4138235294122</v>
      </c>
      <c r="D308" s="12">
        <f>Données!Z302</f>
        <v>92</v>
      </c>
      <c r="E308" s="8">
        <f>Population!K305</f>
        <v>-11870.221327967804</v>
      </c>
      <c r="F308" s="236">
        <f>Solidarité!I302</f>
        <v>0</v>
      </c>
      <c r="G308" s="8">
        <f>DT!O302</f>
        <v>0</v>
      </c>
      <c r="H308" s="236">
        <f>Effort!K302+Aide!I302+Taux!J302</f>
        <v>0</v>
      </c>
      <c r="I308" s="313">
        <f t="shared" si="13"/>
        <v>-11870.221327967804</v>
      </c>
      <c r="J308" s="387">
        <f t="shared" si="14"/>
        <v>129156.90661737187</v>
      </c>
      <c r="K308" s="513">
        <f t="shared" si="15"/>
        <v>117286.68528940406</v>
      </c>
    </row>
    <row r="309" spans="1:11" x14ac:dyDescent="0.25">
      <c r="A309" s="38">
        <f>Données!A303</f>
        <v>5937</v>
      </c>
      <c r="B309" s="27" t="str">
        <f>Données!B303</f>
        <v>Vugelles-La Mothe</v>
      </c>
      <c r="C309" s="26">
        <f>Ecrêtage!C303</f>
        <v>3343.8941428571434</v>
      </c>
      <c r="D309" s="12">
        <f>Données!Z303</f>
        <v>142</v>
      </c>
      <c r="E309" s="8">
        <f>Population!K306</f>
        <v>-18321.428571428569</v>
      </c>
      <c r="F309" s="236">
        <f>Solidarité!I303</f>
        <v>-69226.453668163362</v>
      </c>
      <c r="G309" s="8">
        <f>DT!O303</f>
        <v>0</v>
      </c>
      <c r="H309" s="236">
        <f>Effort!K303+Aide!I303+Taux!J303</f>
        <v>0</v>
      </c>
      <c r="I309" s="313">
        <f t="shared" si="13"/>
        <v>-87547.882239591927</v>
      </c>
      <c r="J309" s="387">
        <f t="shared" si="14"/>
        <v>64226.716987012303</v>
      </c>
      <c r="K309" s="513">
        <f t="shared" si="15"/>
        <v>-23321.165252579623</v>
      </c>
    </row>
    <row r="310" spans="1:11" x14ac:dyDescent="0.25">
      <c r="A310" s="38">
        <f>Données!A304</f>
        <v>5938</v>
      </c>
      <c r="B310" s="27" t="str">
        <f>Données!B304</f>
        <v>Yverdon-les-Bains</v>
      </c>
      <c r="C310" s="26">
        <f>Ecrêtage!C304</f>
        <v>780594.69946666679</v>
      </c>
      <c r="D310" s="12">
        <f>Données!Z304</f>
        <v>29897</v>
      </c>
      <c r="E310" s="8">
        <f>Population!K307</f>
        <v>-26235098.69215291</v>
      </c>
      <c r="F310" s="236">
        <f>Solidarité!I304</f>
        <v>-15010328.189139638</v>
      </c>
      <c r="G310" s="8">
        <f>DT!O304</f>
        <v>0</v>
      </c>
      <c r="H310" s="236">
        <f>Effort!K304+Aide!I304+Taux!J304</f>
        <v>6650075.3243600708</v>
      </c>
      <c r="I310" s="313">
        <f t="shared" si="13"/>
        <v>-34595351.556932479</v>
      </c>
      <c r="J310" s="387">
        <f t="shared" si="14"/>
        <v>14993008.95971855</v>
      </c>
      <c r="K310" s="513">
        <f t="shared" si="15"/>
        <v>-19602342.597213931</v>
      </c>
    </row>
    <row r="311" spans="1:11" x14ac:dyDescent="0.25">
      <c r="A311" s="38">
        <f>Données!A305</f>
        <v>5939</v>
      </c>
      <c r="B311" s="27" t="str">
        <f>Données!B305</f>
        <v>Yvonand</v>
      </c>
      <c r="C311" s="26">
        <f>Ecrêtage!C305</f>
        <v>97394.348251748248</v>
      </c>
      <c r="D311" s="12">
        <f>Données!Z305</f>
        <v>3535</v>
      </c>
      <c r="E311" s="225">
        <f>Population!K308</f>
        <v>-1127671.0261569414</v>
      </c>
      <c r="F311" s="236">
        <f>Solidarité!I305</f>
        <v>-1508874.8584754791</v>
      </c>
      <c r="G311" s="225">
        <f>DT!O305</f>
        <v>0</v>
      </c>
      <c r="H311" s="236">
        <f>Effort!K305+Aide!I305+Taux!J305</f>
        <v>0</v>
      </c>
      <c r="I311" s="332">
        <f t="shared" si="13"/>
        <v>-2636545.8846324207</v>
      </c>
      <c r="J311" s="387">
        <f t="shared" si="14"/>
        <v>1870669.0385703363</v>
      </c>
      <c r="K311" s="514">
        <f t="shared" si="15"/>
        <v>-765876.84606208443</v>
      </c>
    </row>
    <row r="312" spans="1:11" x14ac:dyDescent="0.25">
      <c r="A312" s="25"/>
      <c r="B312" s="74">
        <f>COUNTA(B12:B311)</f>
        <v>300</v>
      </c>
      <c r="C312" s="75">
        <f t="shared" ref="C312:H312" si="16">SUM(C12:C311)</f>
        <v>40270921.104040481</v>
      </c>
      <c r="D312" s="9">
        <f t="shared" si="16"/>
        <v>831327</v>
      </c>
      <c r="E312" s="225">
        <f t="shared" si="16"/>
        <v>-460669638.98390323</v>
      </c>
      <c r="F312" s="9">
        <f t="shared" si="16"/>
        <v>-141045751.55889025</v>
      </c>
      <c r="G312" s="571">
        <f>-VPI!R306*4.5</f>
        <v>-181219144.96818218</v>
      </c>
      <c r="H312" s="9">
        <f t="shared" si="16"/>
        <v>9894424.264351014</v>
      </c>
      <c r="I312" s="314">
        <f t="shared" ref="I312" si="17">SUM(E312:H312)</f>
        <v>-773040111.24662471</v>
      </c>
      <c r="J312" s="314">
        <f t="shared" ref="J312" si="18">C312*$J$11</f>
        <v>773490111.24662483</v>
      </c>
      <c r="K312" s="515">
        <f t="shared" ref="K312" si="19">I312+J312</f>
        <v>450000.00000011921</v>
      </c>
    </row>
    <row r="313" spans="1:11" x14ac:dyDescent="0.25">
      <c r="C313" s="52"/>
      <c r="D313" s="52"/>
      <c r="E313" s="29"/>
      <c r="I313" s="29"/>
      <c r="J313" s="226"/>
    </row>
    <row r="314" spans="1:11" x14ac:dyDescent="0.25">
      <c r="C314" s="182"/>
      <c r="D314" s="4"/>
      <c r="E314" s="5"/>
      <c r="F314" s="5"/>
      <c r="G314" s="5"/>
      <c r="H314" s="5"/>
      <c r="I314" s="5"/>
      <c r="J314" s="5"/>
    </row>
    <row r="315" spans="1:11" x14ac:dyDescent="0.25">
      <c r="C315" s="237"/>
      <c r="G315" s="10"/>
      <c r="H315" s="10"/>
    </row>
    <row r="316" spans="1:11" x14ac:dyDescent="0.25">
      <c r="C316" s="216"/>
    </row>
    <row r="317" spans="1:11" x14ac:dyDescent="0.25">
      <c r="F317" s="10"/>
    </row>
    <row r="318" spans="1:11" x14ac:dyDescent="0.25">
      <c r="F318" s="10"/>
    </row>
    <row r="320" spans="1:11" x14ac:dyDescent="0.25">
      <c r="F320" s="71"/>
      <c r="G320" s="71"/>
      <c r="H320" s="71"/>
      <c r="I320" s="71"/>
      <c r="J320" s="71"/>
    </row>
    <row r="321" spans="3:10" x14ac:dyDescent="0.25">
      <c r="E321" s="71"/>
      <c r="F321" s="71"/>
      <c r="G321" s="71"/>
      <c r="H321" s="71"/>
      <c r="I321" s="71"/>
      <c r="J321" s="71"/>
    </row>
    <row r="322" spans="3:10" x14ac:dyDescent="0.25">
      <c r="E322" s="73"/>
      <c r="F322" s="73"/>
      <c r="G322" s="73"/>
      <c r="H322" s="73"/>
      <c r="I322" s="73"/>
      <c r="J322" s="73"/>
    </row>
    <row r="329" spans="3:10" x14ac:dyDescent="0.25">
      <c r="C329" s="37"/>
    </row>
    <row r="330" spans="3:10" x14ac:dyDescent="0.25">
      <c r="C330" s="37"/>
    </row>
    <row r="331" spans="3:10" x14ac:dyDescent="0.25">
      <c r="C331" s="37"/>
    </row>
  </sheetData>
  <sheetProtection sheet="1" objects="1" scenarios="1"/>
  <mergeCells count="8">
    <mergeCell ref="K10:K11"/>
    <mergeCell ref="A5:B5"/>
    <mergeCell ref="A6:B6"/>
    <mergeCell ref="A7:B7"/>
    <mergeCell ref="D10:D11"/>
    <mergeCell ref="C10:C11"/>
    <mergeCell ref="B10:B11"/>
    <mergeCell ref="A10:A11"/>
  </mergeCells>
  <phoneticPr fontId="21" type="noConversion"/>
  <hyperlinks>
    <hyperlink ref="C1" location="Ecrêtage!A1" display="← Précédent" xr:uid="{617DF37A-F812-48AD-A070-5ECCEB5FCAF3}"/>
    <hyperlink ref="E1" location="Population!A1" display="Suivant →" xr:uid="{88AC5A9E-3CD9-4E67-A12C-D58A70624CB5}"/>
    <hyperlink ref="D1" location="'Table des matières'!A1" display="Table des             matières" xr:uid="{0CC4E5F6-F04B-4697-A166-7DC7DA60803C}"/>
  </hyperlinks>
  <pageMargins left="0.25" right="0.25" top="0.75" bottom="0.75" header="0.3" footer="0.3"/>
  <pageSetup paperSize="9" orientation="landscape" horizontalDpi="4294967292" vertic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6" tint="0.39997558519241921"/>
  </sheetPr>
  <dimension ref="A1:L320"/>
  <sheetViews>
    <sheetView workbookViewId="0">
      <pane ySplit="8" topLeftCell="A9" activePane="bottomLeft" state="frozen"/>
      <selection activeCell="C3" sqref="C3:E3"/>
      <selection pane="bottomLeft" activeCell="C3" sqref="C3:E3"/>
    </sheetView>
  </sheetViews>
  <sheetFormatPr baseColWidth="10" defaultColWidth="11" defaultRowHeight="15" x14ac:dyDescent="0.25"/>
  <cols>
    <col min="1" max="1" width="7.25" style="11" customWidth="1"/>
    <col min="2" max="2" width="20.25" style="11" bestFit="1" customWidth="1"/>
    <col min="3" max="3" width="10.375" style="11" customWidth="1"/>
    <col min="4" max="10" width="10" style="11" customWidth="1"/>
    <col min="11" max="11" width="13" style="11" customWidth="1"/>
    <col min="12" max="12" width="3.625" style="11" customWidth="1"/>
    <col min="13" max="16384" width="11" style="11"/>
  </cols>
  <sheetData>
    <row r="1" spans="1:12" s="280" customFormat="1" ht="26.25" x14ac:dyDescent="0.4">
      <c r="A1" s="278" t="s">
        <v>357</v>
      </c>
      <c r="B1" s="279"/>
      <c r="C1" s="282"/>
      <c r="G1" s="404" t="s">
        <v>405</v>
      </c>
      <c r="H1" s="302" t="s">
        <v>397</v>
      </c>
      <c r="I1" s="496" t="s">
        <v>406</v>
      </c>
    </row>
    <row r="2" spans="1:12" s="217" customFormat="1" ht="15.75" customHeight="1" x14ac:dyDescent="0.25">
      <c r="A2" s="355" t="str">
        <f>Paramètres!B4</f>
        <v>Décompte 2022</v>
      </c>
      <c r="B2" s="32"/>
      <c r="C2" s="219"/>
      <c r="L2" s="384"/>
    </row>
    <row r="3" spans="1:12" x14ac:dyDescent="0.25">
      <c r="A3" s="22"/>
      <c r="B3" s="40"/>
      <c r="L3" s="384"/>
    </row>
    <row r="4" spans="1:12" ht="18.75" customHeight="1" x14ac:dyDescent="0.25">
      <c r="A4" s="22"/>
      <c r="B4" s="40"/>
      <c r="C4" s="683" t="s">
        <v>259</v>
      </c>
      <c r="D4" s="684"/>
      <c r="E4" s="684"/>
      <c r="F4" s="684"/>
      <c r="G4" s="684"/>
      <c r="H4" s="684"/>
      <c r="I4" s="684"/>
      <c r="J4" s="685"/>
      <c r="L4" s="384"/>
    </row>
    <row r="5" spans="1:12" x14ac:dyDescent="0.25">
      <c r="C5" s="78" t="s">
        <v>258</v>
      </c>
      <c r="D5" s="66">
        <f>Paramètres!B28</f>
        <v>0</v>
      </c>
      <c r="E5" s="66">
        <f>Paramètres!C28</f>
        <v>1000</v>
      </c>
      <c r="F5" s="66">
        <f>Paramètres!D28</f>
        <v>3000</v>
      </c>
      <c r="G5" s="66">
        <f>Paramètres!E28</f>
        <v>5000</v>
      </c>
      <c r="H5" s="66">
        <f>Paramètres!F28</f>
        <v>9000</v>
      </c>
      <c r="I5" s="66">
        <f>Paramètres!G28</f>
        <v>12000</v>
      </c>
      <c r="J5" s="66">
        <f>Paramètres!H28</f>
        <v>15000</v>
      </c>
      <c r="L5" s="384"/>
    </row>
    <row r="6" spans="1:12" x14ac:dyDescent="0.25">
      <c r="C6" s="69" t="s">
        <v>260</v>
      </c>
      <c r="D6" s="66">
        <f>Paramètres!B29</f>
        <v>1000</v>
      </c>
      <c r="E6" s="66">
        <f>Paramètres!C29</f>
        <v>3000</v>
      </c>
      <c r="F6" s="66">
        <f>Paramètres!D29</f>
        <v>5000</v>
      </c>
      <c r="G6" s="66">
        <f>Paramètres!E29</f>
        <v>9000</v>
      </c>
      <c r="H6" s="66">
        <f>Paramètres!F29</f>
        <v>12000</v>
      </c>
      <c r="I6" s="66">
        <f>Paramètres!G29</f>
        <v>15000</v>
      </c>
      <c r="J6" s="66"/>
    </row>
    <row r="7" spans="1:12" ht="30" customHeight="1" x14ac:dyDescent="0.25">
      <c r="A7" s="680" t="s">
        <v>44</v>
      </c>
      <c r="B7" s="680" t="s">
        <v>84</v>
      </c>
      <c r="C7" s="680" t="s">
        <v>257</v>
      </c>
      <c r="D7" s="683" t="s">
        <v>261</v>
      </c>
      <c r="E7" s="684"/>
      <c r="F7" s="684"/>
      <c r="G7" s="684"/>
      <c r="H7" s="684"/>
      <c r="I7" s="684"/>
      <c r="J7" s="685"/>
      <c r="K7" s="680" t="s">
        <v>501</v>
      </c>
    </row>
    <row r="8" spans="1:12" x14ac:dyDescent="0.25">
      <c r="A8" s="681"/>
      <c r="B8" s="682"/>
      <c r="C8" s="682"/>
      <c r="D8" s="160">
        <f>Paramètres!B33</f>
        <v>129.02414486921526</v>
      </c>
      <c r="E8" s="160">
        <f>Paramètres!C33</f>
        <v>361.26760563380276</v>
      </c>
      <c r="F8" s="160">
        <f>Paramètres!D33</f>
        <v>516.09657947686105</v>
      </c>
      <c r="G8" s="160">
        <f>Paramètres!E33</f>
        <v>619.31589537223329</v>
      </c>
      <c r="H8" s="160">
        <f>Paramètres!F33</f>
        <v>877.36418511066393</v>
      </c>
      <c r="I8" s="160">
        <f>Paramètres!G33</f>
        <v>1032.1931589537221</v>
      </c>
      <c r="J8" s="160">
        <f>Paramètres!H33</f>
        <v>1083.8028169014083</v>
      </c>
      <c r="K8" s="682"/>
    </row>
    <row r="9" spans="1:12" x14ac:dyDescent="0.25">
      <c r="A9" s="36">
        <f>Données!A6</f>
        <v>5401</v>
      </c>
      <c r="B9" s="169" t="str">
        <f>Données!B6</f>
        <v>Aigle</v>
      </c>
      <c r="C9" s="41">
        <f>Données!Z6</f>
        <v>10943</v>
      </c>
      <c r="D9" s="8">
        <f>IF($C9&gt;D$5,IF($C9&lt;D$6,$C9-D$5,D$6-D$5),0)</f>
        <v>1000</v>
      </c>
      <c r="E9" s="12">
        <f t="shared" ref="E9:I24" si="0">IF($C9&gt;E$5,IF($C9&lt;E$6,$C9-E$5,E$6-E$5),0)</f>
        <v>2000</v>
      </c>
      <c r="F9" s="8">
        <f t="shared" si="0"/>
        <v>2000</v>
      </c>
      <c r="G9" s="12">
        <f t="shared" si="0"/>
        <v>4000</v>
      </c>
      <c r="H9" s="31">
        <f t="shared" si="0"/>
        <v>1943</v>
      </c>
      <c r="I9" s="8">
        <f t="shared" si="0"/>
        <v>0</v>
      </c>
      <c r="J9" s="8">
        <f>IF(C9&gt;$J$5,C9-$J$5,0)</f>
        <v>0</v>
      </c>
      <c r="K9" s="72">
        <f>-((D9*D$8)+(E9*E$8)+(F9*F$8)+(G9*G$8)+(H9*H$8)+(I9*I$8)+(J9*J$8))</f>
        <v>-6065734.7082494954</v>
      </c>
    </row>
    <row r="10" spans="1:12" x14ac:dyDescent="0.25">
      <c r="A10" s="38">
        <f>Données!A7</f>
        <v>5402</v>
      </c>
      <c r="B10" s="169" t="str">
        <f>Données!B7</f>
        <v>Bex</v>
      </c>
      <c r="C10" s="8">
        <f>Données!Z7</f>
        <v>8165</v>
      </c>
      <c r="D10" s="8">
        <f t="shared" ref="D10:I64" si="1">IF($C10&gt;D$5,IF($C10&lt;D$6,$C10-D$5,D$6-D$5),0)</f>
        <v>1000</v>
      </c>
      <c r="E10" s="224">
        <f t="shared" si="0"/>
        <v>2000</v>
      </c>
      <c r="F10" s="8">
        <f t="shared" si="0"/>
        <v>2000</v>
      </c>
      <c r="G10" s="224">
        <f t="shared" si="0"/>
        <v>3165</v>
      </c>
      <c r="H10" s="31">
        <f t="shared" si="0"/>
        <v>0</v>
      </c>
      <c r="I10" s="8">
        <f t="shared" si="0"/>
        <v>0</v>
      </c>
      <c r="J10" s="8">
        <f t="shared" ref="J10:J73" si="2">IF(C10&gt;$J$5,C10-$J$5,0)</f>
        <v>0</v>
      </c>
      <c r="K10" s="72">
        <f t="shared" ref="K10:K73" si="3">-((D10*D$8)+(E10*E$8)+(F10*F$8)+(G10*G$8)+(H10*H$8)+(I10*I$8)+(J10*J$8))</f>
        <v>-3843887.3239436615</v>
      </c>
    </row>
    <row r="11" spans="1:12" s="217" customFormat="1" x14ac:dyDescent="0.25">
      <c r="A11" s="38">
        <f>Données!A8</f>
        <v>5403</v>
      </c>
      <c r="B11" s="169" t="str">
        <f>Données!B8</f>
        <v>Chessel</v>
      </c>
      <c r="C11" s="8">
        <f>Données!Z8</f>
        <v>528</v>
      </c>
      <c r="D11" s="8">
        <f t="shared" si="1"/>
        <v>528</v>
      </c>
      <c r="E11" s="236">
        <f t="shared" si="0"/>
        <v>0</v>
      </c>
      <c r="F11" s="8">
        <f t="shared" si="0"/>
        <v>0</v>
      </c>
      <c r="G11" s="236">
        <f t="shared" si="0"/>
        <v>0</v>
      </c>
      <c r="H11" s="31">
        <f t="shared" si="0"/>
        <v>0</v>
      </c>
      <c r="I11" s="8">
        <f t="shared" si="0"/>
        <v>0</v>
      </c>
      <c r="J11" s="8">
        <f t="shared" si="2"/>
        <v>0</v>
      </c>
      <c r="K11" s="72">
        <f t="shared" si="3"/>
        <v>-68124.748490945654</v>
      </c>
    </row>
    <row r="12" spans="1:12" s="217" customFormat="1" x14ac:dyDescent="0.25">
      <c r="A12" s="38">
        <f>Données!A9</f>
        <v>5404</v>
      </c>
      <c r="B12" s="169" t="str">
        <f>Données!B9</f>
        <v>Corbeyrier</v>
      </c>
      <c r="C12" s="8">
        <f>Données!Z9</f>
        <v>440</v>
      </c>
      <c r="D12" s="8">
        <f t="shared" si="1"/>
        <v>440</v>
      </c>
      <c r="E12" s="236">
        <f t="shared" si="0"/>
        <v>0</v>
      </c>
      <c r="F12" s="8">
        <f t="shared" si="0"/>
        <v>0</v>
      </c>
      <c r="G12" s="236">
        <f t="shared" si="0"/>
        <v>0</v>
      </c>
      <c r="H12" s="31">
        <f t="shared" si="0"/>
        <v>0</v>
      </c>
      <c r="I12" s="8">
        <f t="shared" si="0"/>
        <v>0</v>
      </c>
      <c r="J12" s="8">
        <f t="shared" si="2"/>
        <v>0</v>
      </c>
      <c r="K12" s="72">
        <f t="shared" si="3"/>
        <v>-56770.623742454714</v>
      </c>
    </row>
    <row r="13" spans="1:12" s="217" customFormat="1" x14ac:dyDescent="0.25">
      <c r="A13" s="38">
        <f>Données!A10</f>
        <v>5405</v>
      </c>
      <c r="B13" s="169" t="str">
        <f>Données!B10</f>
        <v>Gryon</v>
      </c>
      <c r="C13" s="8">
        <f>Données!Z10</f>
        <v>1390</v>
      </c>
      <c r="D13" s="8">
        <f t="shared" si="1"/>
        <v>1000</v>
      </c>
      <c r="E13" s="236">
        <f t="shared" si="0"/>
        <v>390</v>
      </c>
      <c r="F13" s="8">
        <f t="shared" si="0"/>
        <v>0</v>
      </c>
      <c r="G13" s="236">
        <f t="shared" si="0"/>
        <v>0</v>
      </c>
      <c r="H13" s="31">
        <f t="shared" si="0"/>
        <v>0</v>
      </c>
      <c r="I13" s="8">
        <f t="shared" si="0"/>
        <v>0</v>
      </c>
      <c r="J13" s="8">
        <f t="shared" si="2"/>
        <v>0</v>
      </c>
      <c r="K13" s="72">
        <f t="shared" si="3"/>
        <v>-269918.51106639835</v>
      </c>
    </row>
    <row r="14" spans="1:12" s="217" customFormat="1" x14ac:dyDescent="0.25">
      <c r="A14" s="38">
        <f>Données!A11</f>
        <v>5406</v>
      </c>
      <c r="B14" s="169" t="str">
        <f>Données!B11</f>
        <v>Lavey-Morcles</v>
      </c>
      <c r="C14" s="8">
        <f>Données!Z11</f>
        <v>977</v>
      </c>
      <c r="D14" s="8">
        <f t="shared" si="1"/>
        <v>977</v>
      </c>
      <c r="E14" s="236">
        <f t="shared" si="0"/>
        <v>0</v>
      </c>
      <c r="F14" s="8">
        <f t="shared" si="0"/>
        <v>0</v>
      </c>
      <c r="G14" s="236">
        <f t="shared" si="0"/>
        <v>0</v>
      </c>
      <c r="H14" s="31">
        <f t="shared" si="0"/>
        <v>0</v>
      </c>
      <c r="I14" s="8">
        <f t="shared" si="0"/>
        <v>0</v>
      </c>
      <c r="J14" s="8">
        <f t="shared" si="2"/>
        <v>0</v>
      </c>
      <c r="K14" s="72">
        <f t="shared" si="3"/>
        <v>-126056.58953722331</v>
      </c>
    </row>
    <row r="15" spans="1:12" s="217" customFormat="1" x14ac:dyDescent="0.25">
      <c r="A15" s="38">
        <f>Données!A12</f>
        <v>5407</v>
      </c>
      <c r="B15" s="169" t="str">
        <f>Données!B12</f>
        <v>Leysin</v>
      </c>
      <c r="C15" s="8">
        <f>Données!Z12</f>
        <v>3752</v>
      </c>
      <c r="D15" s="8">
        <f t="shared" si="1"/>
        <v>1000</v>
      </c>
      <c r="E15" s="236">
        <f t="shared" si="0"/>
        <v>2000</v>
      </c>
      <c r="F15" s="8">
        <f t="shared" si="0"/>
        <v>752</v>
      </c>
      <c r="G15" s="236">
        <f t="shared" si="0"/>
        <v>0</v>
      </c>
      <c r="H15" s="31">
        <f t="shared" si="0"/>
        <v>0</v>
      </c>
      <c r="I15" s="8">
        <f t="shared" si="0"/>
        <v>0</v>
      </c>
      <c r="J15" s="8">
        <f t="shared" si="2"/>
        <v>0</v>
      </c>
      <c r="K15" s="72">
        <f t="shared" si="3"/>
        <v>-1239663.9839034202</v>
      </c>
    </row>
    <row r="16" spans="1:12" s="217" customFormat="1" x14ac:dyDescent="0.25">
      <c r="A16" s="38">
        <f>Données!A13</f>
        <v>5408</v>
      </c>
      <c r="B16" s="169" t="str">
        <f>Données!B13</f>
        <v>Noville</v>
      </c>
      <c r="C16" s="8">
        <f>Données!Z13</f>
        <v>1169</v>
      </c>
      <c r="D16" s="8">
        <f t="shared" si="1"/>
        <v>1000</v>
      </c>
      <c r="E16" s="236">
        <f t="shared" si="0"/>
        <v>169</v>
      </c>
      <c r="F16" s="8">
        <f t="shared" si="0"/>
        <v>0</v>
      </c>
      <c r="G16" s="236">
        <f t="shared" si="0"/>
        <v>0</v>
      </c>
      <c r="H16" s="31">
        <f t="shared" si="0"/>
        <v>0</v>
      </c>
      <c r="I16" s="8">
        <f t="shared" si="0"/>
        <v>0</v>
      </c>
      <c r="J16" s="8">
        <f t="shared" si="2"/>
        <v>0</v>
      </c>
      <c r="K16" s="72">
        <f t="shared" si="3"/>
        <v>-190078.37022132793</v>
      </c>
    </row>
    <row r="17" spans="1:11" s="217" customFormat="1" x14ac:dyDescent="0.25">
      <c r="A17" s="38">
        <f>Données!A14</f>
        <v>5409</v>
      </c>
      <c r="B17" s="169" t="str">
        <f>Données!B14</f>
        <v>Ollon</v>
      </c>
      <c r="C17" s="8">
        <f>Données!Z14</f>
        <v>7971</v>
      </c>
      <c r="D17" s="8">
        <f t="shared" si="1"/>
        <v>1000</v>
      </c>
      <c r="E17" s="236">
        <f t="shared" si="0"/>
        <v>2000</v>
      </c>
      <c r="F17" s="8">
        <f t="shared" si="0"/>
        <v>2000</v>
      </c>
      <c r="G17" s="236">
        <f t="shared" si="0"/>
        <v>2971</v>
      </c>
      <c r="H17" s="31">
        <f t="shared" si="0"/>
        <v>0</v>
      </c>
      <c r="I17" s="8">
        <f t="shared" si="0"/>
        <v>0</v>
      </c>
      <c r="J17" s="8">
        <f t="shared" si="2"/>
        <v>0</v>
      </c>
      <c r="K17" s="72">
        <f t="shared" si="3"/>
        <v>-3723740.0402414482</v>
      </c>
    </row>
    <row r="18" spans="1:11" s="217" customFormat="1" x14ac:dyDescent="0.25">
      <c r="A18" s="38">
        <f>Données!A15</f>
        <v>5410</v>
      </c>
      <c r="B18" s="169" t="str">
        <f>Données!B15</f>
        <v>Ormont-Dessous</v>
      </c>
      <c r="C18" s="8">
        <f>Données!Z15</f>
        <v>1178</v>
      </c>
      <c r="D18" s="8">
        <f t="shared" si="1"/>
        <v>1000</v>
      </c>
      <c r="E18" s="236">
        <f t="shared" si="0"/>
        <v>178</v>
      </c>
      <c r="F18" s="8">
        <f t="shared" si="0"/>
        <v>0</v>
      </c>
      <c r="G18" s="236">
        <f t="shared" si="0"/>
        <v>0</v>
      </c>
      <c r="H18" s="31">
        <f t="shared" si="0"/>
        <v>0</v>
      </c>
      <c r="I18" s="8">
        <f t="shared" si="0"/>
        <v>0</v>
      </c>
      <c r="J18" s="8">
        <f t="shared" si="2"/>
        <v>0</v>
      </c>
      <c r="K18" s="72">
        <f t="shared" si="3"/>
        <v>-193329.77867203215</v>
      </c>
    </row>
    <row r="19" spans="1:11" x14ac:dyDescent="0.25">
      <c r="A19" s="38">
        <f>Données!A16</f>
        <v>5411</v>
      </c>
      <c r="B19" s="169" t="str">
        <f>Données!B16</f>
        <v>Ormont-Dessus</v>
      </c>
      <c r="C19" s="8">
        <f>Données!Z16</f>
        <v>1425</v>
      </c>
      <c r="D19" s="8">
        <f t="shared" si="1"/>
        <v>1000</v>
      </c>
      <c r="E19" s="224">
        <f t="shared" si="0"/>
        <v>425</v>
      </c>
      <c r="F19" s="8">
        <f t="shared" si="0"/>
        <v>0</v>
      </c>
      <c r="G19" s="224">
        <f t="shared" si="0"/>
        <v>0</v>
      </c>
      <c r="H19" s="31">
        <f t="shared" si="0"/>
        <v>0</v>
      </c>
      <c r="I19" s="8">
        <f t="shared" si="0"/>
        <v>0</v>
      </c>
      <c r="J19" s="8">
        <f t="shared" si="2"/>
        <v>0</v>
      </c>
      <c r="K19" s="72">
        <f t="shared" si="3"/>
        <v>-282562.87726358144</v>
      </c>
    </row>
    <row r="20" spans="1:11" x14ac:dyDescent="0.25">
      <c r="A20" s="38">
        <f>Données!A17</f>
        <v>5412</v>
      </c>
      <c r="B20" s="169" t="str">
        <f>Données!B17</f>
        <v>Rennaz</v>
      </c>
      <c r="C20" s="8">
        <f>Données!Z17</f>
        <v>929</v>
      </c>
      <c r="D20" s="8">
        <f t="shared" si="1"/>
        <v>929</v>
      </c>
      <c r="E20" s="224">
        <f t="shared" si="0"/>
        <v>0</v>
      </c>
      <c r="F20" s="8">
        <f t="shared" si="0"/>
        <v>0</v>
      </c>
      <c r="G20" s="224">
        <f t="shared" si="0"/>
        <v>0</v>
      </c>
      <c r="H20" s="31">
        <f t="shared" si="0"/>
        <v>0</v>
      </c>
      <c r="I20" s="8">
        <f t="shared" si="0"/>
        <v>0</v>
      </c>
      <c r="J20" s="8">
        <f t="shared" si="2"/>
        <v>0</v>
      </c>
      <c r="K20" s="72">
        <f t="shared" si="3"/>
        <v>-119863.43058350097</v>
      </c>
    </row>
    <row r="21" spans="1:11" x14ac:dyDescent="0.25">
      <c r="A21" s="38">
        <f>Données!A18</f>
        <v>5413</v>
      </c>
      <c r="B21" s="169" t="str">
        <f>Données!B18</f>
        <v>Roche</v>
      </c>
      <c r="C21" s="8">
        <f>Données!Z18</f>
        <v>1943</v>
      </c>
      <c r="D21" s="8">
        <f t="shared" si="1"/>
        <v>1000</v>
      </c>
      <c r="E21" s="224">
        <f t="shared" si="0"/>
        <v>943</v>
      </c>
      <c r="F21" s="8">
        <f t="shared" si="0"/>
        <v>0</v>
      </c>
      <c r="G21" s="224">
        <f t="shared" si="0"/>
        <v>0</v>
      </c>
      <c r="H21" s="31">
        <f t="shared" si="0"/>
        <v>0</v>
      </c>
      <c r="I21" s="8">
        <f t="shared" si="0"/>
        <v>0</v>
      </c>
      <c r="J21" s="8">
        <f t="shared" si="2"/>
        <v>0</v>
      </c>
      <c r="K21" s="72">
        <f t="shared" si="3"/>
        <v>-469699.49698189128</v>
      </c>
    </row>
    <row r="22" spans="1:11" x14ac:dyDescent="0.25">
      <c r="A22" s="38">
        <f>Données!A19</f>
        <v>5414</v>
      </c>
      <c r="B22" s="169" t="str">
        <f>Données!B19</f>
        <v>Villeneuve</v>
      </c>
      <c r="C22" s="8">
        <f>Données!Z19</f>
        <v>5980</v>
      </c>
      <c r="D22" s="8">
        <f t="shared" si="1"/>
        <v>1000</v>
      </c>
      <c r="E22" s="224">
        <f t="shared" si="0"/>
        <v>2000</v>
      </c>
      <c r="F22" s="8">
        <f t="shared" si="0"/>
        <v>2000</v>
      </c>
      <c r="G22" s="224">
        <f t="shared" si="0"/>
        <v>980</v>
      </c>
      <c r="H22" s="31">
        <f t="shared" si="0"/>
        <v>0</v>
      </c>
      <c r="I22" s="8">
        <f t="shared" si="0"/>
        <v>0</v>
      </c>
      <c r="J22" s="8">
        <f t="shared" si="2"/>
        <v>0</v>
      </c>
      <c r="K22" s="72">
        <f t="shared" si="3"/>
        <v>-2490682.0925553315</v>
      </c>
    </row>
    <row r="23" spans="1:11" x14ac:dyDescent="0.25">
      <c r="A23" s="38">
        <f>Données!A20</f>
        <v>5415</v>
      </c>
      <c r="B23" s="169" t="str">
        <f>Données!B20</f>
        <v>Yvorne</v>
      </c>
      <c r="C23" s="8">
        <f>Données!Z20</f>
        <v>1088</v>
      </c>
      <c r="D23" s="8">
        <f t="shared" si="1"/>
        <v>1000</v>
      </c>
      <c r="E23" s="224">
        <f t="shared" si="0"/>
        <v>88</v>
      </c>
      <c r="F23" s="8">
        <f t="shared" si="0"/>
        <v>0</v>
      </c>
      <c r="G23" s="224">
        <f t="shared" si="0"/>
        <v>0</v>
      </c>
      <c r="H23" s="31">
        <f t="shared" si="0"/>
        <v>0</v>
      </c>
      <c r="I23" s="8">
        <f t="shared" si="0"/>
        <v>0</v>
      </c>
      <c r="J23" s="8">
        <f t="shared" si="2"/>
        <v>0</v>
      </c>
      <c r="K23" s="72">
        <f t="shared" si="3"/>
        <v>-160815.69416498989</v>
      </c>
    </row>
    <row r="24" spans="1:11" x14ac:dyDescent="0.25">
      <c r="A24" s="38">
        <f>Données!A21</f>
        <v>5422</v>
      </c>
      <c r="B24" s="169" t="str">
        <f>Données!B21</f>
        <v>Aubonne</v>
      </c>
      <c r="C24" s="8">
        <f>Données!Z21</f>
        <v>3794</v>
      </c>
      <c r="D24" s="8">
        <f t="shared" si="1"/>
        <v>1000</v>
      </c>
      <c r="E24" s="224">
        <f t="shared" si="0"/>
        <v>2000</v>
      </c>
      <c r="F24" s="8">
        <f t="shared" si="0"/>
        <v>794</v>
      </c>
      <c r="G24" s="224">
        <f t="shared" si="0"/>
        <v>0</v>
      </c>
      <c r="H24" s="31">
        <f t="shared" si="0"/>
        <v>0</v>
      </c>
      <c r="I24" s="8">
        <f t="shared" si="0"/>
        <v>0</v>
      </c>
      <c r="J24" s="8">
        <f t="shared" si="2"/>
        <v>0</v>
      </c>
      <c r="K24" s="72">
        <f t="shared" si="3"/>
        <v>-1261340.0402414484</v>
      </c>
    </row>
    <row r="25" spans="1:11" x14ac:dyDescent="0.25">
      <c r="A25" s="38">
        <f>Données!A22</f>
        <v>5423</v>
      </c>
      <c r="B25" s="169" t="str">
        <f>Données!B22</f>
        <v>Ballens</v>
      </c>
      <c r="C25" s="8">
        <f>Données!Z22</f>
        <v>590</v>
      </c>
      <c r="D25" s="8">
        <f t="shared" si="1"/>
        <v>590</v>
      </c>
      <c r="E25" s="224">
        <f t="shared" si="1"/>
        <v>0</v>
      </c>
      <c r="F25" s="8">
        <f t="shared" si="1"/>
        <v>0</v>
      </c>
      <c r="G25" s="224">
        <f t="shared" si="1"/>
        <v>0</v>
      </c>
      <c r="H25" s="31">
        <f t="shared" si="1"/>
        <v>0</v>
      </c>
      <c r="I25" s="8">
        <f t="shared" si="1"/>
        <v>0</v>
      </c>
      <c r="J25" s="8">
        <f t="shared" si="2"/>
        <v>0</v>
      </c>
      <c r="K25" s="72">
        <f t="shared" si="3"/>
        <v>-76124.245472837007</v>
      </c>
    </row>
    <row r="26" spans="1:11" x14ac:dyDescent="0.25">
      <c r="A26" s="38">
        <f>Données!A23</f>
        <v>5424</v>
      </c>
      <c r="B26" s="169" t="str">
        <f>Données!B23</f>
        <v>Berolle</v>
      </c>
      <c r="C26" s="8">
        <f>Données!Z23</f>
        <v>305</v>
      </c>
      <c r="D26" s="8">
        <f t="shared" si="1"/>
        <v>305</v>
      </c>
      <c r="E26" s="224">
        <f t="shared" si="1"/>
        <v>0</v>
      </c>
      <c r="F26" s="8">
        <f t="shared" si="1"/>
        <v>0</v>
      </c>
      <c r="G26" s="224">
        <f t="shared" si="1"/>
        <v>0</v>
      </c>
      <c r="H26" s="31">
        <f t="shared" si="1"/>
        <v>0</v>
      </c>
      <c r="I26" s="8">
        <f t="shared" si="1"/>
        <v>0</v>
      </c>
      <c r="J26" s="8">
        <f t="shared" si="2"/>
        <v>0</v>
      </c>
      <c r="K26" s="72">
        <f t="shared" si="3"/>
        <v>-39352.364185110659</v>
      </c>
    </row>
    <row r="27" spans="1:11" x14ac:dyDescent="0.25">
      <c r="A27" s="38">
        <f>Données!A24</f>
        <v>5425</v>
      </c>
      <c r="B27" s="169" t="str">
        <f>Données!B24</f>
        <v>Bière</v>
      </c>
      <c r="C27" s="8">
        <f>Données!Z24</f>
        <v>1688</v>
      </c>
      <c r="D27" s="8">
        <f t="shared" si="1"/>
        <v>1000</v>
      </c>
      <c r="E27" s="224">
        <f t="shared" si="1"/>
        <v>688</v>
      </c>
      <c r="F27" s="8">
        <f t="shared" si="1"/>
        <v>0</v>
      </c>
      <c r="G27" s="224">
        <f t="shared" si="1"/>
        <v>0</v>
      </c>
      <c r="H27" s="31">
        <f t="shared" si="1"/>
        <v>0</v>
      </c>
      <c r="I27" s="8">
        <f t="shared" si="1"/>
        <v>0</v>
      </c>
      <c r="J27" s="8">
        <f t="shared" si="2"/>
        <v>0</v>
      </c>
      <c r="K27" s="72">
        <f t="shared" si="3"/>
        <v>-377576.25754527154</v>
      </c>
    </row>
    <row r="28" spans="1:11" x14ac:dyDescent="0.25">
      <c r="A28" s="38">
        <f>Données!A25</f>
        <v>5426</v>
      </c>
      <c r="B28" s="169" t="str">
        <f>Données!B25</f>
        <v>Bougy-Villars</v>
      </c>
      <c r="C28" s="8">
        <f>Données!Z25</f>
        <v>506</v>
      </c>
      <c r="D28" s="8">
        <f t="shared" si="1"/>
        <v>506</v>
      </c>
      <c r="E28" s="224">
        <f t="shared" si="1"/>
        <v>0</v>
      </c>
      <c r="F28" s="8">
        <f t="shared" si="1"/>
        <v>0</v>
      </c>
      <c r="G28" s="224">
        <f t="shared" si="1"/>
        <v>0</v>
      </c>
      <c r="H28" s="31">
        <f t="shared" si="1"/>
        <v>0</v>
      </c>
      <c r="I28" s="8">
        <f t="shared" si="1"/>
        <v>0</v>
      </c>
      <c r="J28" s="8">
        <f t="shared" si="2"/>
        <v>0</v>
      </c>
      <c r="K28" s="72">
        <f t="shared" si="3"/>
        <v>-65286.217303822923</v>
      </c>
    </row>
    <row r="29" spans="1:11" x14ac:dyDescent="0.25">
      <c r="A29" s="38">
        <f>Données!A26</f>
        <v>5427</v>
      </c>
      <c r="B29" s="169" t="str">
        <f>Données!B26</f>
        <v>Féchy</v>
      </c>
      <c r="C29" s="8">
        <f>Données!Z26</f>
        <v>887</v>
      </c>
      <c r="D29" s="8">
        <f t="shared" si="1"/>
        <v>887</v>
      </c>
      <c r="E29" s="224">
        <f t="shared" si="1"/>
        <v>0</v>
      </c>
      <c r="F29" s="8">
        <f t="shared" si="1"/>
        <v>0</v>
      </c>
      <c r="G29" s="224">
        <f t="shared" si="1"/>
        <v>0</v>
      </c>
      <c r="H29" s="31">
        <f t="shared" si="1"/>
        <v>0</v>
      </c>
      <c r="I29" s="8">
        <f t="shared" si="1"/>
        <v>0</v>
      </c>
      <c r="J29" s="8">
        <f t="shared" si="2"/>
        <v>0</v>
      </c>
      <c r="K29" s="72">
        <f t="shared" si="3"/>
        <v>-114444.41649899395</v>
      </c>
    </row>
    <row r="30" spans="1:11" x14ac:dyDescent="0.25">
      <c r="A30" s="38">
        <f>Données!A27</f>
        <v>5428</v>
      </c>
      <c r="B30" s="169" t="str">
        <f>Données!B27</f>
        <v>Gimel</v>
      </c>
      <c r="C30" s="8">
        <f>Données!Z27</f>
        <v>2414</v>
      </c>
      <c r="D30" s="8">
        <f t="shared" si="1"/>
        <v>1000</v>
      </c>
      <c r="E30" s="224">
        <f t="shared" si="1"/>
        <v>1414</v>
      </c>
      <c r="F30" s="8">
        <f t="shared" si="1"/>
        <v>0</v>
      </c>
      <c r="G30" s="224">
        <f t="shared" si="1"/>
        <v>0</v>
      </c>
      <c r="H30" s="31">
        <f t="shared" si="1"/>
        <v>0</v>
      </c>
      <c r="I30" s="8">
        <f t="shared" si="1"/>
        <v>0</v>
      </c>
      <c r="J30" s="8">
        <f t="shared" si="2"/>
        <v>0</v>
      </c>
      <c r="K30" s="72">
        <f t="shared" si="3"/>
        <v>-639856.53923541238</v>
      </c>
    </row>
    <row r="31" spans="1:11" x14ac:dyDescent="0.25">
      <c r="A31" s="38">
        <f>Données!A28</f>
        <v>5429</v>
      </c>
      <c r="B31" s="169" t="str">
        <f>Données!B28</f>
        <v>Longirod</v>
      </c>
      <c r="C31" s="8">
        <f>Données!Z28</f>
        <v>542</v>
      </c>
      <c r="D31" s="8">
        <f t="shared" si="1"/>
        <v>542</v>
      </c>
      <c r="E31" s="224">
        <f t="shared" si="1"/>
        <v>0</v>
      </c>
      <c r="F31" s="8">
        <f t="shared" si="1"/>
        <v>0</v>
      </c>
      <c r="G31" s="224">
        <f t="shared" si="1"/>
        <v>0</v>
      </c>
      <c r="H31" s="31">
        <f t="shared" si="1"/>
        <v>0</v>
      </c>
      <c r="I31" s="8">
        <f t="shared" si="1"/>
        <v>0</v>
      </c>
      <c r="J31" s="8">
        <f t="shared" si="2"/>
        <v>0</v>
      </c>
      <c r="K31" s="72">
        <f t="shared" si="3"/>
        <v>-69931.086519114673</v>
      </c>
    </row>
    <row r="32" spans="1:11" x14ac:dyDescent="0.25">
      <c r="A32" s="38">
        <f>Données!A29</f>
        <v>5430</v>
      </c>
      <c r="B32" s="169" t="str">
        <f>Données!B29</f>
        <v>Marchissy</v>
      </c>
      <c r="C32" s="8">
        <f>Données!Z29</f>
        <v>501</v>
      </c>
      <c r="D32" s="8">
        <f t="shared" si="1"/>
        <v>501</v>
      </c>
      <c r="E32" s="224">
        <f t="shared" si="1"/>
        <v>0</v>
      </c>
      <c r="F32" s="8">
        <f t="shared" si="1"/>
        <v>0</v>
      </c>
      <c r="G32" s="224">
        <f t="shared" si="1"/>
        <v>0</v>
      </c>
      <c r="H32" s="31">
        <f t="shared" si="1"/>
        <v>0</v>
      </c>
      <c r="I32" s="8">
        <f t="shared" si="1"/>
        <v>0</v>
      </c>
      <c r="J32" s="8">
        <f t="shared" si="2"/>
        <v>0</v>
      </c>
      <c r="K32" s="72">
        <f t="shared" si="3"/>
        <v>-64641.096579476849</v>
      </c>
    </row>
    <row r="33" spans="1:11" x14ac:dyDescent="0.25">
      <c r="A33" s="38">
        <f>Données!A30</f>
        <v>5431</v>
      </c>
      <c r="B33" s="169" t="str">
        <f>Données!B30</f>
        <v>Mollens</v>
      </c>
      <c r="C33" s="8">
        <f>Données!Z30</f>
        <v>324</v>
      </c>
      <c r="D33" s="8">
        <f t="shared" si="1"/>
        <v>324</v>
      </c>
      <c r="E33" s="224">
        <f t="shared" si="1"/>
        <v>0</v>
      </c>
      <c r="F33" s="8">
        <f t="shared" si="1"/>
        <v>0</v>
      </c>
      <c r="G33" s="224">
        <f t="shared" si="1"/>
        <v>0</v>
      </c>
      <c r="H33" s="31">
        <f t="shared" si="1"/>
        <v>0</v>
      </c>
      <c r="I33" s="8">
        <f t="shared" si="1"/>
        <v>0</v>
      </c>
      <c r="J33" s="8">
        <f t="shared" si="2"/>
        <v>0</v>
      </c>
      <c r="K33" s="72">
        <f t="shared" si="3"/>
        <v>-41803.822937625744</v>
      </c>
    </row>
    <row r="34" spans="1:11" x14ac:dyDescent="0.25">
      <c r="A34" s="38">
        <f>Données!A31</f>
        <v>5434</v>
      </c>
      <c r="B34" s="169" t="str">
        <f>Données!B31</f>
        <v>Saint-George</v>
      </c>
      <c r="C34" s="8">
        <f>Données!Z31</f>
        <v>1069</v>
      </c>
      <c r="D34" s="8">
        <f t="shared" si="1"/>
        <v>1000</v>
      </c>
      <c r="E34" s="224">
        <f t="shared" si="1"/>
        <v>69</v>
      </c>
      <c r="F34" s="8">
        <f t="shared" si="1"/>
        <v>0</v>
      </c>
      <c r="G34" s="224">
        <f t="shared" si="1"/>
        <v>0</v>
      </c>
      <c r="H34" s="31">
        <f t="shared" si="1"/>
        <v>0</v>
      </c>
      <c r="I34" s="8">
        <f t="shared" si="1"/>
        <v>0</v>
      </c>
      <c r="J34" s="8">
        <f t="shared" si="2"/>
        <v>0</v>
      </c>
      <c r="K34" s="72">
        <f t="shared" si="3"/>
        <v>-153951.60965794764</v>
      </c>
    </row>
    <row r="35" spans="1:11" x14ac:dyDescent="0.25">
      <c r="A35" s="38">
        <f>Données!A32</f>
        <v>5435</v>
      </c>
      <c r="B35" s="169" t="str">
        <f>Données!B32</f>
        <v>Saint-Livres</v>
      </c>
      <c r="C35" s="8">
        <f>Données!Z32</f>
        <v>698</v>
      </c>
      <c r="D35" s="8">
        <f t="shared" si="1"/>
        <v>698</v>
      </c>
      <c r="E35" s="224">
        <f t="shared" si="1"/>
        <v>0</v>
      </c>
      <c r="F35" s="8">
        <f t="shared" si="1"/>
        <v>0</v>
      </c>
      <c r="G35" s="224">
        <f t="shared" si="1"/>
        <v>0</v>
      </c>
      <c r="H35" s="31">
        <f t="shared" si="1"/>
        <v>0</v>
      </c>
      <c r="I35" s="8">
        <f t="shared" si="1"/>
        <v>0</v>
      </c>
      <c r="J35" s="8">
        <f t="shared" si="2"/>
        <v>0</v>
      </c>
      <c r="K35" s="72">
        <f t="shared" si="3"/>
        <v>-90058.853118712257</v>
      </c>
    </row>
    <row r="36" spans="1:11" x14ac:dyDescent="0.25">
      <c r="A36" s="38">
        <f>Données!A33</f>
        <v>5436</v>
      </c>
      <c r="B36" s="169" t="str">
        <f>Données!B33</f>
        <v>Saint-Oyens</v>
      </c>
      <c r="C36" s="8">
        <f>Données!Z33</f>
        <v>456</v>
      </c>
      <c r="D36" s="8">
        <f t="shared" si="1"/>
        <v>456</v>
      </c>
      <c r="E36" s="224">
        <f t="shared" si="1"/>
        <v>0</v>
      </c>
      <c r="F36" s="8">
        <f t="shared" si="1"/>
        <v>0</v>
      </c>
      <c r="G36" s="224">
        <f t="shared" si="1"/>
        <v>0</v>
      </c>
      <c r="H36" s="31">
        <f t="shared" si="1"/>
        <v>0</v>
      </c>
      <c r="I36" s="8">
        <f t="shared" si="1"/>
        <v>0</v>
      </c>
      <c r="J36" s="8">
        <f t="shared" si="2"/>
        <v>0</v>
      </c>
      <c r="K36" s="72">
        <f t="shared" si="3"/>
        <v>-58835.010060362161</v>
      </c>
    </row>
    <row r="37" spans="1:11" x14ac:dyDescent="0.25">
      <c r="A37" s="38">
        <f>Données!A34</f>
        <v>5437</v>
      </c>
      <c r="B37" s="169" t="str">
        <f>Données!B34</f>
        <v>Saubraz</v>
      </c>
      <c r="C37" s="8">
        <f>Données!Z34</f>
        <v>449</v>
      </c>
      <c r="D37" s="8">
        <f t="shared" si="1"/>
        <v>449</v>
      </c>
      <c r="E37" s="224">
        <f t="shared" si="1"/>
        <v>0</v>
      </c>
      <c r="F37" s="8">
        <f t="shared" si="1"/>
        <v>0</v>
      </c>
      <c r="G37" s="224">
        <f t="shared" si="1"/>
        <v>0</v>
      </c>
      <c r="H37" s="31">
        <f t="shared" si="1"/>
        <v>0</v>
      </c>
      <c r="I37" s="8">
        <f t="shared" si="1"/>
        <v>0</v>
      </c>
      <c r="J37" s="8">
        <f t="shared" si="2"/>
        <v>0</v>
      </c>
      <c r="K37" s="72">
        <f t="shared" si="3"/>
        <v>-57931.841046277652</v>
      </c>
    </row>
    <row r="38" spans="1:11" x14ac:dyDescent="0.25">
      <c r="A38" s="38">
        <f>Données!A35</f>
        <v>5451</v>
      </c>
      <c r="B38" s="169" t="str">
        <f>Données!B35</f>
        <v>Avenches</v>
      </c>
      <c r="C38" s="8">
        <f>Données!Z35</f>
        <v>4699</v>
      </c>
      <c r="D38" s="8">
        <f t="shared" si="1"/>
        <v>1000</v>
      </c>
      <c r="E38" s="224">
        <f t="shared" si="1"/>
        <v>2000</v>
      </c>
      <c r="F38" s="8">
        <f t="shared" si="1"/>
        <v>1699</v>
      </c>
      <c r="G38" s="224">
        <f t="shared" si="1"/>
        <v>0</v>
      </c>
      <c r="H38" s="31">
        <f t="shared" si="1"/>
        <v>0</v>
      </c>
      <c r="I38" s="8">
        <f t="shared" si="1"/>
        <v>0</v>
      </c>
      <c r="J38" s="8">
        <f t="shared" si="2"/>
        <v>0</v>
      </c>
      <c r="K38" s="72">
        <f t="shared" si="3"/>
        <v>-1728407.4446680075</v>
      </c>
    </row>
    <row r="39" spans="1:11" x14ac:dyDescent="0.25">
      <c r="A39" s="38">
        <f>Données!A36</f>
        <v>5456</v>
      </c>
      <c r="B39" s="169" t="str">
        <f>Données!B36</f>
        <v>Cudrefin</v>
      </c>
      <c r="C39" s="8">
        <f>Données!Z36</f>
        <v>1876</v>
      </c>
      <c r="D39" s="8">
        <f t="shared" si="1"/>
        <v>1000</v>
      </c>
      <c r="E39" s="224">
        <f t="shared" si="1"/>
        <v>876</v>
      </c>
      <c r="F39" s="8">
        <f t="shared" si="1"/>
        <v>0</v>
      </c>
      <c r="G39" s="224">
        <f t="shared" si="1"/>
        <v>0</v>
      </c>
      <c r="H39" s="31">
        <f t="shared" si="1"/>
        <v>0</v>
      </c>
      <c r="I39" s="8">
        <f t="shared" si="1"/>
        <v>0</v>
      </c>
      <c r="J39" s="8">
        <f t="shared" si="2"/>
        <v>0</v>
      </c>
      <c r="K39" s="72">
        <f t="shared" si="3"/>
        <v>-445494.56740442646</v>
      </c>
    </row>
    <row r="40" spans="1:11" x14ac:dyDescent="0.25">
      <c r="A40" s="38">
        <f>Données!A37</f>
        <v>5458</v>
      </c>
      <c r="B40" s="169" t="str">
        <f>Données!B37</f>
        <v>Faoug</v>
      </c>
      <c r="C40" s="8">
        <f>Données!Z37</f>
        <v>904</v>
      </c>
      <c r="D40" s="8">
        <f t="shared" si="1"/>
        <v>904</v>
      </c>
      <c r="E40" s="224">
        <f t="shared" si="1"/>
        <v>0</v>
      </c>
      <c r="F40" s="8">
        <f t="shared" si="1"/>
        <v>0</v>
      </c>
      <c r="G40" s="224">
        <f t="shared" si="1"/>
        <v>0</v>
      </c>
      <c r="H40" s="31">
        <f t="shared" si="1"/>
        <v>0</v>
      </c>
      <c r="I40" s="8">
        <f t="shared" si="1"/>
        <v>0</v>
      </c>
      <c r="J40" s="8">
        <f t="shared" si="2"/>
        <v>0</v>
      </c>
      <c r="K40" s="72">
        <f t="shared" si="3"/>
        <v>-116637.8269617706</v>
      </c>
    </row>
    <row r="41" spans="1:11" x14ac:dyDescent="0.25">
      <c r="A41" s="38">
        <f>Données!A38</f>
        <v>5464</v>
      </c>
      <c r="B41" s="169" t="str">
        <f>Données!B38</f>
        <v>Vully-les-Lacs</v>
      </c>
      <c r="C41" s="8">
        <f>Données!Z38</f>
        <v>3543</v>
      </c>
      <c r="D41" s="8">
        <f t="shared" si="1"/>
        <v>1000</v>
      </c>
      <c r="E41" s="224">
        <f t="shared" si="1"/>
        <v>2000</v>
      </c>
      <c r="F41" s="8">
        <f t="shared" si="1"/>
        <v>543</v>
      </c>
      <c r="G41" s="224">
        <f t="shared" si="1"/>
        <v>0</v>
      </c>
      <c r="H41" s="31">
        <f t="shared" si="1"/>
        <v>0</v>
      </c>
      <c r="I41" s="8">
        <f t="shared" si="1"/>
        <v>0</v>
      </c>
      <c r="J41" s="8">
        <f t="shared" si="2"/>
        <v>0</v>
      </c>
      <c r="K41" s="72">
        <f t="shared" si="3"/>
        <v>-1131799.7987927562</v>
      </c>
    </row>
    <row r="42" spans="1:11" x14ac:dyDescent="0.25">
      <c r="A42" s="38">
        <f>Données!A39</f>
        <v>5471</v>
      </c>
      <c r="B42" s="169" t="str">
        <f>Données!B39</f>
        <v>Bettens</v>
      </c>
      <c r="C42" s="8">
        <f>Données!Z39</f>
        <v>650</v>
      </c>
      <c r="D42" s="8">
        <f t="shared" si="1"/>
        <v>650</v>
      </c>
      <c r="E42" s="224">
        <f t="shared" si="1"/>
        <v>0</v>
      </c>
      <c r="F42" s="8">
        <f t="shared" si="1"/>
        <v>0</v>
      </c>
      <c r="G42" s="224">
        <f t="shared" si="1"/>
        <v>0</v>
      </c>
      <c r="H42" s="31">
        <f t="shared" si="1"/>
        <v>0</v>
      </c>
      <c r="I42" s="8">
        <f t="shared" si="1"/>
        <v>0</v>
      </c>
      <c r="J42" s="8">
        <f t="shared" si="2"/>
        <v>0</v>
      </c>
      <c r="K42" s="72">
        <f t="shared" si="3"/>
        <v>-83865.694164989924</v>
      </c>
    </row>
    <row r="43" spans="1:11" x14ac:dyDescent="0.25">
      <c r="A43" s="38">
        <f>Données!A40</f>
        <v>5472</v>
      </c>
      <c r="B43" s="169" t="str">
        <f>Données!B40</f>
        <v>Bournens</v>
      </c>
      <c r="C43" s="8">
        <f>Données!Z40</f>
        <v>514</v>
      </c>
      <c r="D43" s="8">
        <f t="shared" si="1"/>
        <v>514</v>
      </c>
      <c r="E43" s="224">
        <f t="shared" si="1"/>
        <v>0</v>
      </c>
      <c r="F43" s="8">
        <f t="shared" si="1"/>
        <v>0</v>
      </c>
      <c r="G43" s="224">
        <f t="shared" si="1"/>
        <v>0</v>
      </c>
      <c r="H43" s="31">
        <f t="shared" si="1"/>
        <v>0</v>
      </c>
      <c r="I43" s="8">
        <f t="shared" si="1"/>
        <v>0</v>
      </c>
      <c r="J43" s="8">
        <f t="shared" si="2"/>
        <v>0</v>
      </c>
      <c r="K43" s="72">
        <f t="shared" si="3"/>
        <v>-66318.41046277665</v>
      </c>
    </row>
    <row r="44" spans="1:11" x14ac:dyDescent="0.25">
      <c r="A44" s="38">
        <f>Données!A41</f>
        <v>5473</v>
      </c>
      <c r="B44" s="169" t="str">
        <f>Données!B41</f>
        <v>Boussens</v>
      </c>
      <c r="C44" s="8">
        <f>Données!Z41</f>
        <v>1010</v>
      </c>
      <c r="D44" s="8">
        <f t="shared" si="1"/>
        <v>1000</v>
      </c>
      <c r="E44" s="224">
        <f t="shared" si="1"/>
        <v>10</v>
      </c>
      <c r="F44" s="8">
        <f t="shared" si="1"/>
        <v>0</v>
      </c>
      <c r="G44" s="224">
        <f t="shared" si="1"/>
        <v>0</v>
      </c>
      <c r="H44" s="31">
        <f t="shared" si="1"/>
        <v>0</v>
      </c>
      <c r="I44" s="8">
        <f t="shared" si="1"/>
        <v>0</v>
      </c>
      <c r="J44" s="8">
        <f t="shared" si="2"/>
        <v>0</v>
      </c>
      <c r="K44" s="72">
        <f t="shared" si="3"/>
        <v>-132636.8209255533</v>
      </c>
    </row>
    <row r="45" spans="1:11" x14ac:dyDescent="0.25">
      <c r="A45" s="38">
        <f>Données!A42</f>
        <v>5474</v>
      </c>
      <c r="B45" s="169" t="str">
        <f>Données!B42</f>
        <v>La Chaux (Cossonay)</v>
      </c>
      <c r="C45" s="8">
        <f>Données!Z42</f>
        <v>412</v>
      </c>
      <c r="D45" s="8">
        <f t="shared" si="1"/>
        <v>412</v>
      </c>
      <c r="E45" s="224">
        <f t="shared" si="1"/>
        <v>0</v>
      </c>
      <c r="F45" s="8">
        <f t="shared" si="1"/>
        <v>0</v>
      </c>
      <c r="G45" s="224">
        <f t="shared" si="1"/>
        <v>0</v>
      </c>
      <c r="H45" s="31">
        <f t="shared" si="1"/>
        <v>0</v>
      </c>
      <c r="I45" s="8">
        <f t="shared" si="1"/>
        <v>0</v>
      </c>
      <c r="J45" s="8">
        <f t="shared" si="2"/>
        <v>0</v>
      </c>
      <c r="K45" s="72">
        <f t="shared" si="3"/>
        <v>-53157.947686116691</v>
      </c>
    </row>
    <row r="46" spans="1:11" x14ac:dyDescent="0.25">
      <c r="A46" s="38">
        <f>Données!A43</f>
        <v>5475</v>
      </c>
      <c r="B46" s="169" t="str">
        <f>Données!B43</f>
        <v>Chavannes-le-Veyron</v>
      </c>
      <c r="C46" s="8">
        <f>Données!Z43</f>
        <v>163</v>
      </c>
      <c r="D46" s="8">
        <f t="shared" si="1"/>
        <v>163</v>
      </c>
      <c r="E46" s="224">
        <f t="shared" si="1"/>
        <v>0</v>
      </c>
      <c r="F46" s="8">
        <f t="shared" si="1"/>
        <v>0</v>
      </c>
      <c r="G46" s="224">
        <f t="shared" si="1"/>
        <v>0</v>
      </c>
      <c r="H46" s="31">
        <f t="shared" si="1"/>
        <v>0</v>
      </c>
      <c r="I46" s="8">
        <f t="shared" si="1"/>
        <v>0</v>
      </c>
      <c r="J46" s="8">
        <f t="shared" si="2"/>
        <v>0</v>
      </c>
      <c r="K46" s="72">
        <f t="shared" si="3"/>
        <v>-21030.935613682086</v>
      </c>
    </row>
    <row r="47" spans="1:11" x14ac:dyDescent="0.25">
      <c r="A47" s="38">
        <f>Données!A44</f>
        <v>5476</v>
      </c>
      <c r="B47" s="169" t="str">
        <f>Données!B44</f>
        <v>Chevilly</v>
      </c>
      <c r="C47" s="8">
        <f>Données!Z44</f>
        <v>331</v>
      </c>
      <c r="D47" s="8">
        <f t="shared" si="1"/>
        <v>331</v>
      </c>
      <c r="E47" s="224">
        <f t="shared" si="1"/>
        <v>0</v>
      </c>
      <c r="F47" s="8">
        <f t="shared" si="1"/>
        <v>0</v>
      </c>
      <c r="G47" s="224">
        <f t="shared" si="1"/>
        <v>0</v>
      </c>
      <c r="H47" s="31">
        <f t="shared" si="1"/>
        <v>0</v>
      </c>
      <c r="I47" s="8">
        <f t="shared" si="1"/>
        <v>0</v>
      </c>
      <c r="J47" s="8">
        <f t="shared" si="2"/>
        <v>0</v>
      </c>
      <c r="K47" s="72">
        <f t="shared" si="3"/>
        <v>-42706.991951710253</v>
      </c>
    </row>
    <row r="48" spans="1:11" x14ac:dyDescent="0.25">
      <c r="A48" s="38">
        <f>Données!A45</f>
        <v>5477</v>
      </c>
      <c r="B48" s="169" t="str">
        <f>Données!B45</f>
        <v>Cossonay</v>
      </c>
      <c r="C48" s="8">
        <f>Données!Z45</f>
        <v>4390</v>
      </c>
      <c r="D48" s="8">
        <f t="shared" si="1"/>
        <v>1000</v>
      </c>
      <c r="E48" s="224">
        <f t="shared" si="1"/>
        <v>2000</v>
      </c>
      <c r="F48" s="8">
        <f t="shared" si="1"/>
        <v>1390</v>
      </c>
      <c r="G48" s="224">
        <f t="shared" si="1"/>
        <v>0</v>
      </c>
      <c r="H48" s="31">
        <f t="shared" si="1"/>
        <v>0</v>
      </c>
      <c r="I48" s="8">
        <f t="shared" si="1"/>
        <v>0</v>
      </c>
      <c r="J48" s="8">
        <f t="shared" si="2"/>
        <v>0</v>
      </c>
      <c r="K48" s="72">
        <f t="shared" si="3"/>
        <v>-1568933.6016096575</v>
      </c>
    </row>
    <row r="49" spans="1:11" x14ac:dyDescent="0.25">
      <c r="A49" s="38">
        <f>Données!A46</f>
        <v>5479</v>
      </c>
      <c r="B49" s="169" t="str">
        <f>Données!B46</f>
        <v>Cuarnens</v>
      </c>
      <c r="C49" s="8">
        <f>Données!Z46</f>
        <v>545</v>
      </c>
      <c r="D49" s="8">
        <f t="shared" si="1"/>
        <v>545</v>
      </c>
      <c r="E49" s="224">
        <f t="shared" si="1"/>
        <v>0</v>
      </c>
      <c r="F49" s="8">
        <f t="shared" si="1"/>
        <v>0</v>
      </c>
      <c r="G49" s="224">
        <f t="shared" si="1"/>
        <v>0</v>
      </c>
      <c r="H49" s="31">
        <f t="shared" si="1"/>
        <v>0</v>
      </c>
      <c r="I49" s="8">
        <f t="shared" si="1"/>
        <v>0</v>
      </c>
      <c r="J49" s="8">
        <f t="shared" si="2"/>
        <v>0</v>
      </c>
      <c r="K49" s="72">
        <f t="shared" si="3"/>
        <v>-70318.158953722319</v>
      </c>
    </row>
    <row r="50" spans="1:11" x14ac:dyDescent="0.25">
      <c r="A50" s="38">
        <f>Données!A47</f>
        <v>5480</v>
      </c>
      <c r="B50" s="169" t="str">
        <f>Données!B47</f>
        <v>Daillens</v>
      </c>
      <c r="C50" s="8">
        <f>Données!Z47</f>
        <v>1057</v>
      </c>
      <c r="D50" s="8">
        <f t="shared" si="1"/>
        <v>1000</v>
      </c>
      <c r="E50" s="224">
        <f t="shared" si="1"/>
        <v>57</v>
      </c>
      <c r="F50" s="8">
        <f t="shared" si="1"/>
        <v>0</v>
      </c>
      <c r="G50" s="224">
        <f t="shared" si="1"/>
        <v>0</v>
      </c>
      <c r="H50" s="31">
        <f t="shared" si="1"/>
        <v>0</v>
      </c>
      <c r="I50" s="8">
        <f t="shared" si="1"/>
        <v>0</v>
      </c>
      <c r="J50" s="8">
        <f t="shared" si="2"/>
        <v>0</v>
      </c>
      <c r="K50" s="72">
        <f t="shared" si="3"/>
        <v>-149616.39839034202</v>
      </c>
    </row>
    <row r="51" spans="1:11" x14ac:dyDescent="0.25">
      <c r="A51" s="38">
        <f>Données!A48</f>
        <v>5481</v>
      </c>
      <c r="B51" s="169" t="str">
        <f>Données!B48</f>
        <v>Dizy</v>
      </c>
      <c r="C51" s="8">
        <f>Données!Z48</f>
        <v>232</v>
      </c>
      <c r="D51" s="8">
        <f t="shared" si="1"/>
        <v>232</v>
      </c>
      <c r="E51" s="224">
        <f t="shared" si="1"/>
        <v>0</v>
      </c>
      <c r="F51" s="8">
        <f t="shared" si="1"/>
        <v>0</v>
      </c>
      <c r="G51" s="224">
        <f t="shared" si="1"/>
        <v>0</v>
      </c>
      <c r="H51" s="31">
        <f t="shared" si="1"/>
        <v>0</v>
      </c>
      <c r="I51" s="8">
        <f t="shared" si="1"/>
        <v>0</v>
      </c>
      <c r="J51" s="8">
        <f t="shared" si="2"/>
        <v>0</v>
      </c>
      <c r="K51" s="72">
        <f t="shared" si="3"/>
        <v>-29933.601609657941</v>
      </c>
    </row>
    <row r="52" spans="1:11" x14ac:dyDescent="0.25">
      <c r="A52" s="38">
        <f>Données!A49</f>
        <v>5482</v>
      </c>
      <c r="B52" s="169" t="str">
        <f>Données!B49</f>
        <v>Eclépens</v>
      </c>
      <c r="C52" s="8">
        <f>Données!Z49</f>
        <v>1199</v>
      </c>
      <c r="D52" s="8">
        <f t="shared" si="1"/>
        <v>1000</v>
      </c>
      <c r="E52" s="224">
        <f t="shared" si="1"/>
        <v>199</v>
      </c>
      <c r="F52" s="8">
        <f t="shared" si="1"/>
        <v>0</v>
      </c>
      <c r="G52" s="224">
        <f t="shared" si="1"/>
        <v>0</v>
      </c>
      <c r="H52" s="31">
        <f t="shared" si="1"/>
        <v>0</v>
      </c>
      <c r="I52" s="8">
        <f t="shared" si="1"/>
        <v>0</v>
      </c>
      <c r="J52" s="8">
        <f t="shared" si="2"/>
        <v>0</v>
      </c>
      <c r="K52" s="72">
        <f t="shared" si="3"/>
        <v>-200916.39839034202</v>
      </c>
    </row>
    <row r="53" spans="1:11" x14ac:dyDescent="0.25">
      <c r="A53" s="38">
        <f>Données!A50</f>
        <v>5483</v>
      </c>
      <c r="B53" s="169" t="str">
        <f>Données!B50</f>
        <v>Ferreyres</v>
      </c>
      <c r="C53" s="8">
        <f>Données!Z50</f>
        <v>308</v>
      </c>
      <c r="D53" s="8">
        <f t="shared" si="1"/>
        <v>308</v>
      </c>
      <c r="E53" s="224">
        <f t="shared" si="1"/>
        <v>0</v>
      </c>
      <c r="F53" s="8">
        <f t="shared" si="1"/>
        <v>0</v>
      </c>
      <c r="G53" s="224">
        <f t="shared" si="1"/>
        <v>0</v>
      </c>
      <c r="H53" s="31">
        <f t="shared" si="1"/>
        <v>0</v>
      </c>
      <c r="I53" s="8">
        <f t="shared" si="1"/>
        <v>0</v>
      </c>
      <c r="J53" s="8">
        <f t="shared" si="2"/>
        <v>0</v>
      </c>
      <c r="K53" s="72">
        <f t="shared" si="3"/>
        <v>-39739.436619718304</v>
      </c>
    </row>
    <row r="54" spans="1:11" x14ac:dyDescent="0.25">
      <c r="A54" s="38">
        <f>Données!A51</f>
        <v>5484</v>
      </c>
      <c r="B54" s="169" t="str">
        <f>Données!B51</f>
        <v>Gollion</v>
      </c>
      <c r="C54" s="8">
        <f>Données!Z51</f>
        <v>1037</v>
      </c>
      <c r="D54" s="8">
        <f t="shared" si="1"/>
        <v>1000</v>
      </c>
      <c r="E54" s="224">
        <f t="shared" si="1"/>
        <v>37</v>
      </c>
      <c r="F54" s="8">
        <f t="shared" si="1"/>
        <v>0</v>
      </c>
      <c r="G54" s="224">
        <f t="shared" si="1"/>
        <v>0</v>
      </c>
      <c r="H54" s="31">
        <f t="shared" si="1"/>
        <v>0</v>
      </c>
      <c r="I54" s="8">
        <f t="shared" si="1"/>
        <v>0</v>
      </c>
      <c r="J54" s="8">
        <f t="shared" si="2"/>
        <v>0</v>
      </c>
      <c r="K54" s="72">
        <f t="shared" si="3"/>
        <v>-142391.04627766597</v>
      </c>
    </row>
    <row r="55" spans="1:11" x14ac:dyDescent="0.25">
      <c r="A55" s="38">
        <f>Données!A52</f>
        <v>5485</v>
      </c>
      <c r="B55" s="169" t="str">
        <f>Données!B52</f>
        <v>Grancy</v>
      </c>
      <c r="C55" s="8">
        <f>Données!Z52</f>
        <v>490</v>
      </c>
      <c r="D55" s="8">
        <f t="shared" si="1"/>
        <v>490</v>
      </c>
      <c r="E55" s="224">
        <f t="shared" si="1"/>
        <v>0</v>
      </c>
      <c r="F55" s="8">
        <f t="shared" si="1"/>
        <v>0</v>
      </c>
      <c r="G55" s="224">
        <f t="shared" si="1"/>
        <v>0</v>
      </c>
      <c r="H55" s="31">
        <f t="shared" si="1"/>
        <v>0</v>
      </c>
      <c r="I55" s="8">
        <f t="shared" si="1"/>
        <v>0</v>
      </c>
      <c r="J55" s="8">
        <f t="shared" si="2"/>
        <v>0</v>
      </c>
      <c r="K55" s="72">
        <f t="shared" si="3"/>
        <v>-63221.830985915476</v>
      </c>
    </row>
    <row r="56" spans="1:11" x14ac:dyDescent="0.25">
      <c r="A56" s="38">
        <f>Données!A53</f>
        <v>5486</v>
      </c>
      <c r="B56" s="169" t="str">
        <f>Données!B53</f>
        <v>L'Isle</v>
      </c>
      <c r="C56" s="8">
        <f>Données!Z53</f>
        <v>1095</v>
      </c>
      <c r="D56" s="8">
        <f t="shared" si="1"/>
        <v>1000</v>
      </c>
      <c r="E56" s="224">
        <f t="shared" si="1"/>
        <v>95</v>
      </c>
      <c r="F56" s="8">
        <f t="shared" si="1"/>
        <v>0</v>
      </c>
      <c r="G56" s="224">
        <f t="shared" si="1"/>
        <v>0</v>
      </c>
      <c r="H56" s="31">
        <f t="shared" si="1"/>
        <v>0</v>
      </c>
      <c r="I56" s="8">
        <f t="shared" si="1"/>
        <v>0</v>
      </c>
      <c r="J56" s="8">
        <f t="shared" si="2"/>
        <v>0</v>
      </c>
      <c r="K56" s="72">
        <f t="shared" si="3"/>
        <v>-163344.56740442652</v>
      </c>
    </row>
    <row r="57" spans="1:11" x14ac:dyDescent="0.25">
      <c r="A57" s="38">
        <f>Données!A54</f>
        <v>5487</v>
      </c>
      <c r="B57" s="169" t="str">
        <f>Données!B54</f>
        <v>Lussery-Villars</v>
      </c>
      <c r="C57" s="8">
        <f>Données!Z54</f>
        <v>482</v>
      </c>
      <c r="D57" s="8">
        <f t="shared" si="1"/>
        <v>482</v>
      </c>
      <c r="E57" s="224">
        <f t="shared" si="1"/>
        <v>0</v>
      </c>
      <c r="F57" s="8">
        <f t="shared" si="1"/>
        <v>0</v>
      </c>
      <c r="G57" s="224">
        <f t="shared" si="1"/>
        <v>0</v>
      </c>
      <c r="H57" s="31">
        <f t="shared" si="1"/>
        <v>0</v>
      </c>
      <c r="I57" s="8">
        <f t="shared" si="1"/>
        <v>0</v>
      </c>
      <c r="J57" s="8">
        <f t="shared" si="2"/>
        <v>0</v>
      </c>
      <c r="K57" s="72">
        <f t="shared" si="3"/>
        <v>-62189.637826961756</v>
      </c>
    </row>
    <row r="58" spans="1:11" x14ac:dyDescent="0.25">
      <c r="A58" s="38">
        <f>Données!A55</f>
        <v>5488</v>
      </c>
      <c r="B58" s="169" t="str">
        <f>Données!B55</f>
        <v>Mauraz</v>
      </c>
      <c r="C58" s="8">
        <f>Données!Z55</f>
        <v>65</v>
      </c>
      <c r="D58" s="8">
        <f t="shared" si="1"/>
        <v>65</v>
      </c>
      <c r="E58" s="224">
        <f t="shared" si="1"/>
        <v>0</v>
      </c>
      <c r="F58" s="8">
        <f t="shared" si="1"/>
        <v>0</v>
      </c>
      <c r="G58" s="224">
        <f t="shared" si="1"/>
        <v>0</v>
      </c>
      <c r="H58" s="31">
        <f t="shared" si="1"/>
        <v>0</v>
      </c>
      <c r="I58" s="8">
        <f t="shared" si="1"/>
        <v>0</v>
      </c>
      <c r="J58" s="8">
        <f t="shared" si="2"/>
        <v>0</v>
      </c>
      <c r="K58" s="72">
        <f t="shared" si="3"/>
        <v>-8386.5694164989927</v>
      </c>
    </row>
    <row r="59" spans="1:11" x14ac:dyDescent="0.25">
      <c r="A59" s="38">
        <f>Données!A56</f>
        <v>5489</v>
      </c>
      <c r="B59" s="169" t="str">
        <f>Données!B56</f>
        <v>Mex</v>
      </c>
      <c r="C59" s="8">
        <f>Données!Z56</f>
        <v>817</v>
      </c>
      <c r="D59" s="8">
        <f t="shared" si="1"/>
        <v>817</v>
      </c>
      <c r="E59" s="224">
        <f t="shared" si="1"/>
        <v>0</v>
      </c>
      <c r="F59" s="8">
        <f t="shared" si="1"/>
        <v>0</v>
      </c>
      <c r="G59" s="224">
        <f t="shared" si="1"/>
        <v>0</v>
      </c>
      <c r="H59" s="31">
        <f t="shared" si="1"/>
        <v>0</v>
      </c>
      <c r="I59" s="8">
        <f t="shared" si="1"/>
        <v>0</v>
      </c>
      <c r="J59" s="8">
        <f t="shared" si="2"/>
        <v>0</v>
      </c>
      <c r="K59" s="72">
        <f t="shared" si="3"/>
        <v>-105412.72635814887</v>
      </c>
    </row>
    <row r="60" spans="1:11" x14ac:dyDescent="0.25">
      <c r="A60" s="38">
        <f>Données!A57</f>
        <v>5490</v>
      </c>
      <c r="B60" s="169" t="str">
        <f>Données!B57</f>
        <v>Moiry</v>
      </c>
      <c r="C60" s="8">
        <f>Données!Z57</f>
        <v>296</v>
      </c>
      <c r="D60" s="8">
        <f t="shared" si="1"/>
        <v>296</v>
      </c>
      <c r="E60" s="224">
        <f t="shared" si="1"/>
        <v>0</v>
      </c>
      <c r="F60" s="8">
        <f t="shared" si="1"/>
        <v>0</v>
      </c>
      <c r="G60" s="224">
        <f t="shared" si="1"/>
        <v>0</v>
      </c>
      <c r="H60" s="31">
        <f t="shared" si="1"/>
        <v>0</v>
      </c>
      <c r="I60" s="8">
        <f t="shared" si="1"/>
        <v>0</v>
      </c>
      <c r="J60" s="8">
        <f t="shared" si="2"/>
        <v>0</v>
      </c>
      <c r="K60" s="72">
        <f t="shared" si="3"/>
        <v>-38191.146881287721</v>
      </c>
    </row>
    <row r="61" spans="1:11" x14ac:dyDescent="0.25">
      <c r="A61" s="38">
        <f>Données!A58</f>
        <v>5491</v>
      </c>
      <c r="B61" s="169" t="str">
        <f>Données!B58</f>
        <v>Mont-la-Ville</v>
      </c>
      <c r="C61" s="8">
        <f>Données!Z58</f>
        <v>502</v>
      </c>
      <c r="D61" s="8">
        <f t="shared" si="1"/>
        <v>502</v>
      </c>
      <c r="E61" s="224">
        <f t="shared" si="1"/>
        <v>0</v>
      </c>
      <c r="F61" s="8">
        <f t="shared" si="1"/>
        <v>0</v>
      </c>
      <c r="G61" s="224">
        <f t="shared" si="1"/>
        <v>0</v>
      </c>
      <c r="H61" s="31">
        <f t="shared" si="1"/>
        <v>0</v>
      </c>
      <c r="I61" s="8">
        <f t="shared" si="1"/>
        <v>0</v>
      </c>
      <c r="J61" s="8">
        <f t="shared" si="2"/>
        <v>0</v>
      </c>
      <c r="K61" s="72">
        <f t="shared" si="3"/>
        <v>-64770.120724346059</v>
      </c>
    </row>
    <row r="62" spans="1:11" x14ac:dyDescent="0.25">
      <c r="A62" s="38">
        <f>Données!A59</f>
        <v>5492</v>
      </c>
      <c r="B62" s="169" t="str">
        <f>Données!B59</f>
        <v>Montricher</v>
      </c>
      <c r="C62" s="8">
        <f>Données!Z59</f>
        <v>979</v>
      </c>
      <c r="D62" s="8">
        <f t="shared" si="1"/>
        <v>979</v>
      </c>
      <c r="E62" s="224">
        <f t="shared" si="1"/>
        <v>0</v>
      </c>
      <c r="F62" s="8">
        <f t="shared" si="1"/>
        <v>0</v>
      </c>
      <c r="G62" s="224">
        <f t="shared" si="1"/>
        <v>0</v>
      </c>
      <c r="H62" s="31">
        <f t="shared" si="1"/>
        <v>0</v>
      </c>
      <c r="I62" s="8">
        <f t="shared" si="1"/>
        <v>0</v>
      </c>
      <c r="J62" s="8">
        <f t="shared" si="2"/>
        <v>0</v>
      </c>
      <c r="K62" s="72">
        <f t="shared" si="3"/>
        <v>-126314.63782696174</v>
      </c>
    </row>
    <row r="63" spans="1:11" x14ac:dyDescent="0.25">
      <c r="A63" s="38">
        <f>Données!A60</f>
        <v>5493</v>
      </c>
      <c r="B63" s="169" t="str">
        <f>Données!B60</f>
        <v>Orny</v>
      </c>
      <c r="C63" s="8">
        <f>Données!Z60</f>
        <v>484</v>
      </c>
      <c r="D63" s="8">
        <f t="shared" si="1"/>
        <v>484</v>
      </c>
      <c r="E63" s="224">
        <f t="shared" si="1"/>
        <v>0</v>
      </c>
      <c r="F63" s="8">
        <f t="shared" si="1"/>
        <v>0</v>
      </c>
      <c r="G63" s="224">
        <f t="shared" si="1"/>
        <v>0</v>
      </c>
      <c r="H63" s="31">
        <f t="shared" si="1"/>
        <v>0</v>
      </c>
      <c r="I63" s="8">
        <f t="shared" si="1"/>
        <v>0</v>
      </c>
      <c r="J63" s="8">
        <f t="shared" si="2"/>
        <v>0</v>
      </c>
      <c r="K63" s="72">
        <f t="shared" si="3"/>
        <v>-62447.686116700184</v>
      </c>
    </row>
    <row r="64" spans="1:11" x14ac:dyDescent="0.25">
      <c r="A64" s="38">
        <f>Données!A61</f>
        <v>5495</v>
      </c>
      <c r="B64" s="169" t="str">
        <f>Données!B61</f>
        <v>Penthalaz</v>
      </c>
      <c r="C64" s="8">
        <f>Données!Z61</f>
        <v>3216</v>
      </c>
      <c r="D64" s="8">
        <f t="shared" si="1"/>
        <v>1000</v>
      </c>
      <c r="E64" s="224">
        <f t="shared" si="1"/>
        <v>2000</v>
      </c>
      <c r="F64" s="8">
        <f t="shared" si="1"/>
        <v>216</v>
      </c>
      <c r="G64" s="224">
        <f t="shared" si="1"/>
        <v>0</v>
      </c>
      <c r="H64" s="31">
        <f t="shared" si="1"/>
        <v>0</v>
      </c>
      <c r="I64" s="8">
        <f t="shared" si="1"/>
        <v>0</v>
      </c>
      <c r="J64" s="8">
        <f t="shared" si="2"/>
        <v>0</v>
      </c>
      <c r="K64" s="72">
        <f t="shared" si="3"/>
        <v>-963036.21730382275</v>
      </c>
    </row>
    <row r="65" spans="1:11" x14ac:dyDescent="0.25">
      <c r="A65" s="38">
        <f>Données!A62</f>
        <v>5496</v>
      </c>
      <c r="B65" s="169" t="str">
        <f>Données!B62</f>
        <v>Penthaz</v>
      </c>
      <c r="C65" s="8">
        <f>Données!Z62</f>
        <v>1923</v>
      </c>
      <c r="D65" s="8">
        <f t="shared" ref="D65:I107" si="4">IF($C65&gt;D$5,IF($C65&lt;D$6,$C65-D$5,D$6-D$5),0)</f>
        <v>1000</v>
      </c>
      <c r="E65" s="224">
        <f t="shared" si="4"/>
        <v>923</v>
      </c>
      <c r="F65" s="8">
        <f t="shared" si="4"/>
        <v>0</v>
      </c>
      <c r="G65" s="224">
        <f t="shared" si="4"/>
        <v>0</v>
      </c>
      <c r="H65" s="31">
        <f t="shared" si="4"/>
        <v>0</v>
      </c>
      <c r="I65" s="8">
        <f t="shared" si="4"/>
        <v>0</v>
      </c>
      <c r="J65" s="8">
        <f t="shared" si="2"/>
        <v>0</v>
      </c>
      <c r="K65" s="72">
        <f t="shared" si="3"/>
        <v>-462474.1448692152</v>
      </c>
    </row>
    <row r="66" spans="1:11" x14ac:dyDescent="0.25">
      <c r="A66" s="38">
        <f>Données!A63</f>
        <v>5497</v>
      </c>
      <c r="B66" s="169" t="str">
        <f>Données!B63</f>
        <v>Pompaples</v>
      </c>
      <c r="C66" s="8">
        <f>Données!Z63</f>
        <v>860</v>
      </c>
      <c r="D66" s="8">
        <f t="shared" si="4"/>
        <v>860</v>
      </c>
      <c r="E66" s="224">
        <f t="shared" si="4"/>
        <v>0</v>
      </c>
      <c r="F66" s="8">
        <f t="shared" si="4"/>
        <v>0</v>
      </c>
      <c r="G66" s="224">
        <f t="shared" si="4"/>
        <v>0</v>
      </c>
      <c r="H66" s="31">
        <f t="shared" si="4"/>
        <v>0</v>
      </c>
      <c r="I66" s="8">
        <f t="shared" si="4"/>
        <v>0</v>
      </c>
      <c r="J66" s="8">
        <f t="shared" si="2"/>
        <v>0</v>
      </c>
      <c r="K66" s="72">
        <f t="shared" si="3"/>
        <v>-110960.76458752513</v>
      </c>
    </row>
    <row r="67" spans="1:11" x14ac:dyDescent="0.25">
      <c r="A67" s="38">
        <f>Données!A64</f>
        <v>5498</v>
      </c>
      <c r="B67" s="169" t="str">
        <f>Données!B64</f>
        <v>La Sarraz</v>
      </c>
      <c r="C67" s="8">
        <f>Données!Z64</f>
        <v>2609</v>
      </c>
      <c r="D67" s="8">
        <f t="shared" si="4"/>
        <v>1000</v>
      </c>
      <c r="E67" s="224">
        <f t="shared" si="4"/>
        <v>1609</v>
      </c>
      <c r="F67" s="8">
        <f t="shared" si="4"/>
        <v>0</v>
      </c>
      <c r="G67" s="224">
        <f t="shared" si="4"/>
        <v>0</v>
      </c>
      <c r="H67" s="31">
        <f t="shared" si="4"/>
        <v>0</v>
      </c>
      <c r="I67" s="8">
        <f t="shared" si="4"/>
        <v>0</v>
      </c>
      <c r="J67" s="8">
        <f t="shared" si="2"/>
        <v>0</v>
      </c>
      <c r="K67" s="72">
        <f t="shared" si="3"/>
        <v>-710303.72233400401</v>
      </c>
    </row>
    <row r="68" spans="1:11" x14ac:dyDescent="0.25">
      <c r="A68" s="38">
        <f>Données!A65</f>
        <v>5499</v>
      </c>
      <c r="B68" s="169" t="str">
        <f>Données!B65</f>
        <v>Senarclens</v>
      </c>
      <c r="C68" s="8">
        <f>Données!Z65</f>
        <v>496</v>
      </c>
      <c r="D68" s="8">
        <f t="shared" si="4"/>
        <v>496</v>
      </c>
      <c r="E68" s="224">
        <f t="shared" si="4"/>
        <v>0</v>
      </c>
      <c r="F68" s="8">
        <f t="shared" si="4"/>
        <v>0</v>
      </c>
      <c r="G68" s="224">
        <f t="shared" si="4"/>
        <v>0</v>
      </c>
      <c r="H68" s="31">
        <f t="shared" si="4"/>
        <v>0</v>
      </c>
      <c r="I68" s="8">
        <f t="shared" si="4"/>
        <v>0</v>
      </c>
      <c r="J68" s="8">
        <f t="shared" si="2"/>
        <v>0</v>
      </c>
      <c r="K68" s="72">
        <f t="shared" si="3"/>
        <v>-63995.975855130768</v>
      </c>
    </row>
    <row r="69" spans="1:11" x14ac:dyDescent="0.25">
      <c r="A69" s="38">
        <f>Données!A66</f>
        <v>5501</v>
      </c>
      <c r="B69" s="169" t="str">
        <f>Données!B66</f>
        <v>Sullens</v>
      </c>
      <c r="C69" s="8">
        <f>Données!Z66</f>
        <v>1170</v>
      </c>
      <c r="D69" s="8">
        <f t="shared" si="4"/>
        <v>1000</v>
      </c>
      <c r="E69" s="224">
        <f t="shared" si="4"/>
        <v>170</v>
      </c>
      <c r="F69" s="8">
        <f t="shared" si="4"/>
        <v>0</v>
      </c>
      <c r="G69" s="224">
        <f t="shared" si="4"/>
        <v>0</v>
      </c>
      <c r="H69" s="31">
        <f t="shared" si="4"/>
        <v>0</v>
      </c>
      <c r="I69" s="8">
        <f t="shared" si="4"/>
        <v>0</v>
      </c>
      <c r="J69" s="8">
        <f t="shared" si="2"/>
        <v>0</v>
      </c>
      <c r="K69" s="72">
        <f t="shared" si="3"/>
        <v>-190439.63782696173</v>
      </c>
    </row>
    <row r="70" spans="1:11" x14ac:dyDescent="0.25">
      <c r="A70" s="38">
        <f>Données!A67</f>
        <v>5503</v>
      </c>
      <c r="B70" s="169" t="str">
        <f>Données!B67</f>
        <v>Vufflens-la-Ville</v>
      </c>
      <c r="C70" s="8">
        <f>Données!Z67</f>
        <v>1334</v>
      </c>
      <c r="D70" s="8">
        <f t="shared" si="4"/>
        <v>1000</v>
      </c>
      <c r="E70" s="224">
        <f t="shared" si="4"/>
        <v>334</v>
      </c>
      <c r="F70" s="8">
        <f t="shared" si="4"/>
        <v>0</v>
      </c>
      <c r="G70" s="224">
        <f t="shared" si="4"/>
        <v>0</v>
      </c>
      <c r="H70" s="31">
        <f t="shared" si="4"/>
        <v>0</v>
      </c>
      <c r="I70" s="8">
        <f t="shared" si="4"/>
        <v>0</v>
      </c>
      <c r="J70" s="8">
        <f t="shared" si="2"/>
        <v>0</v>
      </c>
      <c r="K70" s="72">
        <f t="shared" si="3"/>
        <v>-249687.52515090536</v>
      </c>
    </row>
    <row r="71" spans="1:11" x14ac:dyDescent="0.25">
      <c r="A71" s="38">
        <f>Données!A68</f>
        <v>5511</v>
      </c>
      <c r="B71" s="169" t="str">
        <f>Données!B68</f>
        <v>Assens</v>
      </c>
      <c r="C71" s="8">
        <f>Données!Z68</f>
        <v>1669</v>
      </c>
      <c r="D71" s="8">
        <f t="shared" si="4"/>
        <v>1000</v>
      </c>
      <c r="E71" s="224">
        <f t="shared" si="4"/>
        <v>669</v>
      </c>
      <c r="F71" s="8">
        <f t="shared" si="4"/>
        <v>0</v>
      </c>
      <c r="G71" s="224">
        <f t="shared" si="4"/>
        <v>0</v>
      </c>
      <c r="H71" s="31">
        <f t="shared" si="4"/>
        <v>0</v>
      </c>
      <c r="I71" s="8">
        <f t="shared" si="4"/>
        <v>0</v>
      </c>
      <c r="J71" s="8">
        <f t="shared" si="2"/>
        <v>0</v>
      </c>
      <c r="K71" s="72">
        <f t="shared" si="3"/>
        <v>-370712.17303822935</v>
      </c>
    </row>
    <row r="72" spans="1:11" x14ac:dyDescent="0.25">
      <c r="A72" s="38">
        <f>Données!A69</f>
        <v>5512</v>
      </c>
      <c r="B72" s="169" t="str">
        <f>Données!B69</f>
        <v>Bercher</v>
      </c>
      <c r="C72" s="8">
        <f>Données!Z69</f>
        <v>1359</v>
      </c>
      <c r="D72" s="8">
        <f t="shared" si="4"/>
        <v>1000</v>
      </c>
      <c r="E72" s="224">
        <f t="shared" si="4"/>
        <v>359</v>
      </c>
      <c r="F72" s="8">
        <f t="shared" si="4"/>
        <v>0</v>
      </c>
      <c r="G72" s="224">
        <f t="shared" si="4"/>
        <v>0</v>
      </c>
      <c r="H72" s="31">
        <f t="shared" si="4"/>
        <v>0</v>
      </c>
      <c r="I72" s="8">
        <f t="shared" si="4"/>
        <v>0</v>
      </c>
      <c r="J72" s="8">
        <f t="shared" si="2"/>
        <v>0</v>
      </c>
      <c r="K72" s="72">
        <f t="shared" si="3"/>
        <v>-258719.21529175044</v>
      </c>
    </row>
    <row r="73" spans="1:11" x14ac:dyDescent="0.25">
      <c r="A73" s="38">
        <f>Données!A70</f>
        <v>5514</v>
      </c>
      <c r="B73" s="169" t="str">
        <f>Données!B70</f>
        <v>Bottens</v>
      </c>
      <c r="C73" s="8">
        <f>Données!Z70</f>
        <v>1356</v>
      </c>
      <c r="D73" s="8">
        <f t="shared" si="4"/>
        <v>1000</v>
      </c>
      <c r="E73" s="224">
        <f t="shared" si="4"/>
        <v>356</v>
      </c>
      <c r="F73" s="8">
        <f t="shared" si="4"/>
        <v>0</v>
      </c>
      <c r="G73" s="224">
        <f t="shared" si="4"/>
        <v>0</v>
      </c>
      <c r="H73" s="31">
        <f t="shared" si="4"/>
        <v>0</v>
      </c>
      <c r="I73" s="8">
        <f t="shared" si="4"/>
        <v>0</v>
      </c>
      <c r="J73" s="8">
        <f t="shared" si="2"/>
        <v>0</v>
      </c>
      <c r="K73" s="72">
        <f t="shared" si="3"/>
        <v>-257635.41247484903</v>
      </c>
    </row>
    <row r="74" spans="1:11" x14ac:dyDescent="0.25">
      <c r="A74" s="38">
        <f>Données!A71</f>
        <v>5515</v>
      </c>
      <c r="B74" s="169" t="str">
        <f>Données!B71</f>
        <v>Bretigny-sur-Morrens</v>
      </c>
      <c r="C74" s="8">
        <f>Données!Z71</f>
        <v>878</v>
      </c>
      <c r="D74" s="8">
        <f t="shared" si="4"/>
        <v>878</v>
      </c>
      <c r="E74" s="224">
        <f t="shared" si="4"/>
        <v>0</v>
      </c>
      <c r="F74" s="8">
        <f t="shared" si="4"/>
        <v>0</v>
      </c>
      <c r="G74" s="224">
        <f t="shared" si="4"/>
        <v>0</v>
      </c>
      <c r="H74" s="31">
        <f t="shared" si="4"/>
        <v>0</v>
      </c>
      <c r="I74" s="8">
        <f t="shared" si="4"/>
        <v>0</v>
      </c>
      <c r="J74" s="8">
        <f t="shared" ref="J74:J137" si="5">IF(C74&gt;$J$5,C74-$J$5,0)</f>
        <v>0</v>
      </c>
      <c r="K74" s="72">
        <f t="shared" ref="K74:K137" si="6">-((D74*D$8)+(E74*E$8)+(F74*F$8)+(G74*G$8)+(H74*H$8)+(I74*I$8)+(J74*J$8))</f>
        <v>-113283.19919517101</v>
      </c>
    </row>
    <row r="75" spans="1:11" x14ac:dyDescent="0.25">
      <c r="A75" s="38">
        <f>Données!A72</f>
        <v>5516</v>
      </c>
      <c r="B75" s="169" t="str">
        <f>Données!B72</f>
        <v>Cugy</v>
      </c>
      <c r="C75" s="8">
        <f>Données!Z72</f>
        <v>2699</v>
      </c>
      <c r="D75" s="8">
        <f t="shared" si="4"/>
        <v>1000</v>
      </c>
      <c r="E75" s="224">
        <f t="shared" si="4"/>
        <v>1699</v>
      </c>
      <c r="F75" s="8">
        <f t="shared" si="4"/>
        <v>0</v>
      </c>
      <c r="G75" s="224">
        <f t="shared" si="4"/>
        <v>0</v>
      </c>
      <c r="H75" s="31">
        <f t="shared" si="4"/>
        <v>0</v>
      </c>
      <c r="I75" s="8">
        <f t="shared" si="4"/>
        <v>0</v>
      </c>
      <c r="J75" s="8">
        <f t="shared" si="5"/>
        <v>0</v>
      </c>
      <c r="K75" s="72">
        <f t="shared" si="6"/>
        <v>-742817.80684104608</v>
      </c>
    </row>
    <row r="76" spans="1:11" x14ac:dyDescent="0.25">
      <c r="A76" s="38">
        <f>Données!A73</f>
        <v>5518</v>
      </c>
      <c r="B76" s="169" t="str">
        <f>Données!B73</f>
        <v>Echallens</v>
      </c>
      <c r="C76" s="8">
        <f>Données!Z73</f>
        <v>5817</v>
      </c>
      <c r="D76" s="8">
        <f t="shared" si="4"/>
        <v>1000</v>
      </c>
      <c r="E76" s="224">
        <f t="shared" si="4"/>
        <v>2000</v>
      </c>
      <c r="F76" s="8">
        <f t="shared" si="4"/>
        <v>2000</v>
      </c>
      <c r="G76" s="224">
        <f t="shared" si="4"/>
        <v>817</v>
      </c>
      <c r="H76" s="31">
        <f t="shared" si="4"/>
        <v>0</v>
      </c>
      <c r="I76" s="8">
        <f t="shared" si="4"/>
        <v>0</v>
      </c>
      <c r="J76" s="8">
        <f t="shared" si="5"/>
        <v>0</v>
      </c>
      <c r="K76" s="72">
        <f t="shared" si="6"/>
        <v>-2389733.6016096575</v>
      </c>
    </row>
    <row r="77" spans="1:11" x14ac:dyDescent="0.25">
      <c r="A77" s="38">
        <f>Données!A74</f>
        <v>5520</v>
      </c>
      <c r="B77" s="169" t="str">
        <f>Données!B74</f>
        <v>Essertines-sur-Yverdon</v>
      </c>
      <c r="C77" s="8">
        <f>Données!Z74</f>
        <v>1081</v>
      </c>
      <c r="D77" s="8">
        <f t="shared" si="4"/>
        <v>1000</v>
      </c>
      <c r="E77" s="224">
        <f t="shared" si="4"/>
        <v>81</v>
      </c>
      <c r="F77" s="8">
        <f t="shared" si="4"/>
        <v>0</v>
      </c>
      <c r="G77" s="224">
        <f t="shared" si="4"/>
        <v>0</v>
      </c>
      <c r="H77" s="31">
        <f t="shared" si="4"/>
        <v>0</v>
      </c>
      <c r="I77" s="8">
        <f t="shared" si="4"/>
        <v>0</v>
      </c>
      <c r="J77" s="8">
        <f t="shared" si="5"/>
        <v>0</v>
      </c>
      <c r="K77" s="72">
        <f t="shared" si="6"/>
        <v>-158286.82092555327</v>
      </c>
    </row>
    <row r="78" spans="1:11" x14ac:dyDescent="0.25">
      <c r="A78" s="38">
        <f>Données!A75</f>
        <v>5521</v>
      </c>
      <c r="B78" s="169" t="str">
        <f>Données!B75</f>
        <v>Etagnières</v>
      </c>
      <c r="C78" s="8">
        <f>Données!Z75</f>
        <v>1151</v>
      </c>
      <c r="D78" s="8">
        <f t="shared" si="4"/>
        <v>1000</v>
      </c>
      <c r="E78" s="224">
        <f t="shared" si="4"/>
        <v>151</v>
      </c>
      <c r="F78" s="8">
        <f t="shared" si="4"/>
        <v>0</v>
      </c>
      <c r="G78" s="224">
        <f t="shared" si="4"/>
        <v>0</v>
      </c>
      <c r="H78" s="31">
        <f t="shared" si="4"/>
        <v>0</v>
      </c>
      <c r="I78" s="8">
        <f t="shared" si="4"/>
        <v>0</v>
      </c>
      <c r="J78" s="8">
        <f t="shared" si="5"/>
        <v>0</v>
      </c>
      <c r="K78" s="72">
        <f t="shared" si="6"/>
        <v>-183575.55331991948</v>
      </c>
    </row>
    <row r="79" spans="1:11" x14ac:dyDescent="0.25">
      <c r="A79" s="38">
        <f>Données!A76</f>
        <v>5522</v>
      </c>
      <c r="B79" s="169" t="str">
        <f>Données!B76</f>
        <v>Fey</v>
      </c>
      <c r="C79" s="8">
        <f>Données!Z76</f>
        <v>736</v>
      </c>
      <c r="D79" s="8">
        <f t="shared" si="4"/>
        <v>736</v>
      </c>
      <c r="E79" s="224">
        <f t="shared" si="4"/>
        <v>0</v>
      </c>
      <c r="F79" s="8">
        <f t="shared" si="4"/>
        <v>0</v>
      </c>
      <c r="G79" s="224">
        <f t="shared" si="4"/>
        <v>0</v>
      </c>
      <c r="H79" s="31">
        <f t="shared" si="4"/>
        <v>0</v>
      </c>
      <c r="I79" s="8">
        <f t="shared" si="4"/>
        <v>0</v>
      </c>
      <c r="J79" s="8">
        <f t="shared" si="5"/>
        <v>0</v>
      </c>
      <c r="K79" s="72">
        <f t="shared" si="6"/>
        <v>-94961.770623742428</v>
      </c>
    </row>
    <row r="80" spans="1:11" x14ac:dyDescent="0.25">
      <c r="A80" s="38">
        <f>Données!A77</f>
        <v>5523</v>
      </c>
      <c r="B80" s="169" t="str">
        <f>Données!B77</f>
        <v>Froideville</v>
      </c>
      <c r="C80" s="8">
        <f>Données!Z77</f>
        <v>2720</v>
      </c>
      <c r="D80" s="8">
        <f t="shared" si="4"/>
        <v>1000</v>
      </c>
      <c r="E80" s="224">
        <f t="shared" si="4"/>
        <v>1720</v>
      </c>
      <c r="F80" s="8">
        <f t="shared" si="4"/>
        <v>0</v>
      </c>
      <c r="G80" s="224">
        <f t="shared" si="4"/>
        <v>0</v>
      </c>
      <c r="H80" s="31">
        <f t="shared" si="4"/>
        <v>0</v>
      </c>
      <c r="I80" s="8">
        <f t="shared" si="4"/>
        <v>0</v>
      </c>
      <c r="J80" s="8">
        <f t="shared" si="5"/>
        <v>0</v>
      </c>
      <c r="K80" s="72">
        <f t="shared" si="6"/>
        <v>-750404.42655935604</v>
      </c>
    </row>
    <row r="81" spans="1:11" x14ac:dyDescent="0.25">
      <c r="A81" s="38">
        <f>Données!A78</f>
        <v>5527</v>
      </c>
      <c r="B81" s="169" t="str">
        <f>Données!B78</f>
        <v>Morrens</v>
      </c>
      <c r="C81" s="8">
        <f>Données!Z78</f>
        <v>1172</v>
      </c>
      <c r="D81" s="8">
        <f t="shared" si="4"/>
        <v>1000</v>
      </c>
      <c r="E81" s="224">
        <f t="shared" si="4"/>
        <v>172</v>
      </c>
      <c r="F81" s="8">
        <f t="shared" si="4"/>
        <v>0</v>
      </c>
      <c r="G81" s="224">
        <f t="shared" si="4"/>
        <v>0</v>
      </c>
      <c r="H81" s="31">
        <f t="shared" si="4"/>
        <v>0</v>
      </c>
      <c r="I81" s="8">
        <f t="shared" si="4"/>
        <v>0</v>
      </c>
      <c r="J81" s="8">
        <f t="shared" si="5"/>
        <v>0</v>
      </c>
      <c r="K81" s="72">
        <f t="shared" si="6"/>
        <v>-191162.17303822935</v>
      </c>
    </row>
    <row r="82" spans="1:11" x14ac:dyDescent="0.25">
      <c r="A82" s="38">
        <f>Données!A79</f>
        <v>5529</v>
      </c>
      <c r="B82" s="169" t="str">
        <f>Données!B79</f>
        <v>Oulens-sous-Echallens</v>
      </c>
      <c r="C82" s="8">
        <f>Données!Z79</f>
        <v>606</v>
      </c>
      <c r="D82" s="8">
        <f t="shared" si="4"/>
        <v>606</v>
      </c>
      <c r="E82" s="224">
        <f t="shared" si="4"/>
        <v>0</v>
      </c>
      <c r="F82" s="8">
        <f t="shared" si="4"/>
        <v>0</v>
      </c>
      <c r="G82" s="224">
        <f t="shared" si="4"/>
        <v>0</v>
      </c>
      <c r="H82" s="31">
        <f t="shared" si="4"/>
        <v>0</v>
      </c>
      <c r="I82" s="8">
        <f t="shared" si="4"/>
        <v>0</v>
      </c>
      <c r="J82" s="8">
        <f t="shared" si="5"/>
        <v>0</v>
      </c>
      <c r="K82" s="72">
        <f t="shared" si="6"/>
        <v>-78188.631790744446</v>
      </c>
    </row>
    <row r="83" spans="1:11" x14ac:dyDescent="0.25">
      <c r="A83" s="38">
        <f>Données!A80</f>
        <v>5530</v>
      </c>
      <c r="B83" s="169" t="str">
        <f>Données!B80</f>
        <v>Pailly</v>
      </c>
      <c r="C83" s="8">
        <f>Données!Z80</f>
        <v>566</v>
      </c>
      <c r="D83" s="8">
        <f t="shared" si="4"/>
        <v>566</v>
      </c>
      <c r="E83" s="224">
        <f t="shared" si="4"/>
        <v>0</v>
      </c>
      <c r="F83" s="8">
        <f t="shared" si="4"/>
        <v>0</v>
      </c>
      <c r="G83" s="224">
        <f t="shared" si="4"/>
        <v>0</v>
      </c>
      <c r="H83" s="31">
        <f t="shared" si="4"/>
        <v>0</v>
      </c>
      <c r="I83" s="8">
        <f t="shared" si="4"/>
        <v>0</v>
      </c>
      <c r="J83" s="8">
        <f t="shared" si="5"/>
        <v>0</v>
      </c>
      <c r="K83" s="72">
        <f t="shared" si="6"/>
        <v>-73027.66599597584</v>
      </c>
    </row>
    <row r="84" spans="1:11" x14ac:dyDescent="0.25">
      <c r="A84" s="38">
        <f>Données!A81</f>
        <v>5531</v>
      </c>
      <c r="B84" s="169" t="str">
        <f>Données!B81</f>
        <v>Penthéréaz</v>
      </c>
      <c r="C84" s="8">
        <f>Données!Z81</f>
        <v>433</v>
      </c>
      <c r="D84" s="8">
        <f t="shared" si="4"/>
        <v>433</v>
      </c>
      <c r="E84" s="224">
        <f t="shared" si="4"/>
        <v>0</v>
      </c>
      <c r="F84" s="8">
        <f t="shared" si="4"/>
        <v>0</v>
      </c>
      <c r="G84" s="224">
        <f t="shared" si="4"/>
        <v>0</v>
      </c>
      <c r="H84" s="31">
        <f t="shared" si="4"/>
        <v>0</v>
      </c>
      <c r="I84" s="8">
        <f t="shared" si="4"/>
        <v>0</v>
      </c>
      <c r="J84" s="8">
        <f t="shared" si="5"/>
        <v>0</v>
      </c>
      <c r="K84" s="72">
        <f t="shared" si="6"/>
        <v>-55867.454728370212</v>
      </c>
    </row>
    <row r="85" spans="1:11" x14ac:dyDescent="0.25">
      <c r="A85" s="38">
        <f>Données!A82</f>
        <v>5533</v>
      </c>
      <c r="B85" s="169" t="str">
        <f>Données!B82</f>
        <v>Poliez-Pittet</v>
      </c>
      <c r="C85" s="8">
        <f>Données!Z82</f>
        <v>847</v>
      </c>
      <c r="D85" s="8">
        <f t="shared" si="4"/>
        <v>847</v>
      </c>
      <c r="E85" s="224">
        <f t="shared" si="4"/>
        <v>0</v>
      </c>
      <c r="F85" s="8">
        <f t="shared" si="4"/>
        <v>0</v>
      </c>
      <c r="G85" s="224">
        <f t="shared" si="4"/>
        <v>0</v>
      </c>
      <c r="H85" s="31">
        <f t="shared" si="4"/>
        <v>0</v>
      </c>
      <c r="I85" s="8">
        <f t="shared" si="4"/>
        <v>0</v>
      </c>
      <c r="J85" s="8">
        <f t="shared" si="5"/>
        <v>0</v>
      </c>
      <c r="K85" s="72">
        <f t="shared" si="6"/>
        <v>-109283.45070422532</v>
      </c>
    </row>
    <row r="86" spans="1:11" x14ac:dyDescent="0.25">
      <c r="A86" s="38">
        <f>Données!A83</f>
        <v>5534</v>
      </c>
      <c r="B86" s="169" t="str">
        <f>Données!B83</f>
        <v>Rueyres</v>
      </c>
      <c r="C86" s="8">
        <f>Données!Z83</f>
        <v>303</v>
      </c>
      <c r="D86" s="8">
        <f t="shared" si="4"/>
        <v>303</v>
      </c>
      <c r="E86" s="224">
        <f t="shared" si="4"/>
        <v>0</v>
      </c>
      <c r="F86" s="8">
        <f t="shared" si="4"/>
        <v>0</v>
      </c>
      <c r="G86" s="224">
        <f t="shared" si="4"/>
        <v>0</v>
      </c>
      <c r="H86" s="31">
        <f t="shared" si="4"/>
        <v>0</v>
      </c>
      <c r="I86" s="8">
        <f t="shared" si="4"/>
        <v>0</v>
      </c>
      <c r="J86" s="8">
        <f t="shared" si="5"/>
        <v>0</v>
      </c>
      <c r="K86" s="72">
        <f t="shared" si="6"/>
        <v>-39094.315895372223</v>
      </c>
    </row>
    <row r="87" spans="1:11" x14ac:dyDescent="0.25">
      <c r="A87" s="38">
        <f>Données!A84</f>
        <v>5535</v>
      </c>
      <c r="B87" s="169" t="str">
        <f>Données!B84</f>
        <v>Saint-Barthélemy</v>
      </c>
      <c r="C87" s="8">
        <f>Données!Z84</f>
        <v>814</v>
      </c>
      <c r="D87" s="8">
        <f t="shared" si="4"/>
        <v>814</v>
      </c>
      <c r="E87" s="224">
        <f t="shared" si="4"/>
        <v>0</v>
      </c>
      <c r="F87" s="8">
        <f t="shared" si="4"/>
        <v>0</v>
      </c>
      <c r="G87" s="224">
        <f t="shared" si="4"/>
        <v>0</v>
      </c>
      <c r="H87" s="31">
        <f t="shared" si="4"/>
        <v>0</v>
      </c>
      <c r="I87" s="8">
        <f t="shared" si="4"/>
        <v>0</v>
      </c>
      <c r="J87" s="8">
        <f t="shared" si="5"/>
        <v>0</v>
      </c>
      <c r="K87" s="72">
        <f t="shared" si="6"/>
        <v>-105025.65392354122</v>
      </c>
    </row>
    <row r="88" spans="1:11" x14ac:dyDescent="0.25">
      <c r="A88" s="38">
        <f>Données!A85</f>
        <v>5537</v>
      </c>
      <c r="B88" s="169" t="str">
        <f>Données!B85</f>
        <v>Villars-le-Terroir</v>
      </c>
      <c r="C88" s="8">
        <f>Données!Z85</f>
        <v>1310</v>
      </c>
      <c r="D88" s="8">
        <f t="shared" si="4"/>
        <v>1000</v>
      </c>
      <c r="E88" s="224">
        <f t="shared" si="4"/>
        <v>310</v>
      </c>
      <c r="F88" s="8">
        <f t="shared" si="4"/>
        <v>0</v>
      </c>
      <c r="G88" s="224">
        <f t="shared" si="4"/>
        <v>0</v>
      </c>
      <c r="H88" s="31">
        <f t="shared" si="4"/>
        <v>0</v>
      </c>
      <c r="I88" s="8">
        <f t="shared" si="4"/>
        <v>0</v>
      </c>
      <c r="J88" s="8">
        <f t="shared" si="5"/>
        <v>0</v>
      </c>
      <c r="K88" s="72">
        <f t="shared" si="6"/>
        <v>-241017.10261569411</v>
      </c>
    </row>
    <row r="89" spans="1:11" x14ac:dyDescent="0.25">
      <c r="A89" s="38">
        <f>Données!A86</f>
        <v>5539</v>
      </c>
      <c r="B89" s="169" t="str">
        <f>Données!B86</f>
        <v>Vuarrens</v>
      </c>
      <c r="C89" s="8">
        <f>Données!Z86</f>
        <v>1106</v>
      </c>
      <c r="D89" s="8">
        <f t="shared" si="4"/>
        <v>1000</v>
      </c>
      <c r="E89" s="224">
        <f t="shared" si="4"/>
        <v>106</v>
      </c>
      <c r="F89" s="8">
        <f t="shared" si="4"/>
        <v>0</v>
      </c>
      <c r="G89" s="224">
        <f t="shared" si="4"/>
        <v>0</v>
      </c>
      <c r="H89" s="31">
        <f t="shared" si="4"/>
        <v>0</v>
      </c>
      <c r="I89" s="8">
        <f t="shared" si="4"/>
        <v>0</v>
      </c>
      <c r="J89" s="8">
        <f t="shared" si="5"/>
        <v>0</v>
      </c>
      <c r="K89" s="72">
        <f t="shared" si="6"/>
        <v>-167318.51106639835</v>
      </c>
    </row>
    <row r="90" spans="1:11" x14ac:dyDescent="0.25">
      <c r="A90" s="38">
        <f>Données!A87</f>
        <v>5540</v>
      </c>
      <c r="B90" s="169" t="str">
        <f>Données!B87</f>
        <v>Montilliez</v>
      </c>
      <c r="C90" s="8">
        <f>Données!Z87</f>
        <v>1895</v>
      </c>
      <c r="D90" s="8">
        <f t="shared" si="4"/>
        <v>1000</v>
      </c>
      <c r="E90" s="224">
        <f t="shared" si="4"/>
        <v>895</v>
      </c>
      <c r="F90" s="8">
        <f t="shared" si="4"/>
        <v>0</v>
      </c>
      <c r="G90" s="224">
        <f t="shared" si="4"/>
        <v>0</v>
      </c>
      <c r="H90" s="31">
        <f t="shared" si="4"/>
        <v>0</v>
      </c>
      <c r="I90" s="8">
        <f t="shared" si="4"/>
        <v>0</v>
      </c>
      <c r="J90" s="8">
        <f t="shared" si="5"/>
        <v>0</v>
      </c>
      <c r="K90" s="72">
        <f t="shared" si="6"/>
        <v>-452358.65191146871</v>
      </c>
    </row>
    <row r="91" spans="1:11" x14ac:dyDescent="0.25">
      <c r="A91" s="38">
        <f>Données!A88</f>
        <v>5541</v>
      </c>
      <c r="B91" s="169" t="str">
        <f>Données!B88</f>
        <v>Goumoëns</v>
      </c>
      <c r="C91" s="8">
        <f>Données!Z88</f>
        <v>1175</v>
      </c>
      <c r="D91" s="8">
        <f t="shared" si="4"/>
        <v>1000</v>
      </c>
      <c r="E91" s="224">
        <f t="shared" si="4"/>
        <v>175</v>
      </c>
      <c r="F91" s="8">
        <f t="shared" si="4"/>
        <v>0</v>
      </c>
      <c r="G91" s="224">
        <f t="shared" si="4"/>
        <v>0</v>
      </c>
      <c r="H91" s="31">
        <f t="shared" si="4"/>
        <v>0</v>
      </c>
      <c r="I91" s="8">
        <f t="shared" si="4"/>
        <v>0</v>
      </c>
      <c r="J91" s="8">
        <f t="shared" si="5"/>
        <v>0</v>
      </c>
      <c r="K91" s="72">
        <f t="shared" si="6"/>
        <v>-192245.97585513076</v>
      </c>
    </row>
    <row r="92" spans="1:11" x14ac:dyDescent="0.25">
      <c r="A92" s="38">
        <f>Données!A89</f>
        <v>5551</v>
      </c>
      <c r="B92" s="169" t="str">
        <f>Données!B89</f>
        <v>Bonvillars</v>
      </c>
      <c r="C92" s="8">
        <f>Données!Z89</f>
        <v>501</v>
      </c>
      <c r="D92" s="8">
        <f t="shared" si="4"/>
        <v>501</v>
      </c>
      <c r="E92" s="224">
        <f t="shared" si="4"/>
        <v>0</v>
      </c>
      <c r="F92" s="8">
        <f t="shared" si="4"/>
        <v>0</v>
      </c>
      <c r="G92" s="224">
        <f t="shared" si="4"/>
        <v>0</v>
      </c>
      <c r="H92" s="31">
        <f t="shared" si="4"/>
        <v>0</v>
      </c>
      <c r="I92" s="8">
        <f t="shared" si="4"/>
        <v>0</v>
      </c>
      <c r="J92" s="8">
        <f t="shared" si="5"/>
        <v>0</v>
      </c>
      <c r="K92" s="72">
        <f t="shared" si="6"/>
        <v>-64641.096579476849</v>
      </c>
    </row>
    <row r="93" spans="1:11" x14ac:dyDescent="0.25">
      <c r="A93" s="38">
        <f>Données!A90</f>
        <v>5552</v>
      </c>
      <c r="B93" s="169" t="str">
        <f>Données!B90</f>
        <v>Bullet</v>
      </c>
      <c r="C93" s="8">
        <f>Données!Z90</f>
        <v>651</v>
      </c>
      <c r="D93" s="8">
        <f t="shared" si="4"/>
        <v>651</v>
      </c>
      <c r="E93" s="224">
        <f t="shared" si="4"/>
        <v>0</v>
      </c>
      <c r="F93" s="8">
        <f t="shared" si="4"/>
        <v>0</v>
      </c>
      <c r="G93" s="224">
        <f t="shared" si="4"/>
        <v>0</v>
      </c>
      <c r="H93" s="31">
        <f t="shared" si="4"/>
        <v>0</v>
      </c>
      <c r="I93" s="8">
        <f t="shared" si="4"/>
        <v>0</v>
      </c>
      <c r="J93" s="8">
        <f t="shared" si="5"/>
        <v>0</v>
      </c>
      <c r="K93" s="72">
        <f t="shared" si="6"/>
        <v>-83994.718309859134</v>
      </c>
    </row>
    <row r="94" spans="1:11" x14ac:dyDescent="0.25">
      <c r="A94" s="38">
        <f>Données!A91</f>
        <v>5553</v>
      </c>
      <c r="B94" s="169" t="str">
        <f>Données!B91</f>
        <v>Champagne</v>
      </c>
      <c r="C94" s="8">
        <f>Données!Z91</f>
        <v>1077</v>
      </c>
      <c r="D94" s="8">
        <f t="shared" si="4"/>
        <v>1000</v>
      </c>
      <c r="E94" s="224">
        <f t="shared" si="4"/>
        <v>77</v>
      </c>
      <c r="F94" s="8">
        <f t="shared" si="4"/>
        <v>0</v>
      </c>
      <c r="G94" s="224">
        <f t="shared" si="4"/>
        <v>0</v>
      </c>
      <c r="H94" s="31">
        <f t="shared" si="4"/>
        <v>0</v>
      </c>
      <c r="I94" s="8">
        <f t="shared" si="4"/>
        <v>0</v>
      </c>
      <c r="J94" s="8">
        <f t="shared" si="5"/>
        <v>0</v>
      </c>
      <c r="K94" s="72">
        <f t="shared" si="6"/>
        <v>-156841.75050301809</v>
      </c>
    </row>
    <row r="95" spans="1:11" x14ac:dyDescent="0.25">
      <c r="A95" s="38">
        <f>Données!A92</f>
        <v>5554</v>
      </c>
      <c r="B95" s="169" t="str">
        <f>Données!B92</f>
        <v>Concise</v>
      </c>
      <c r="C95" s="8">
        <f>Données!Z92</f>
        <v>1002</v>
      </c>
      <c r="D95" s="8">
        <f t="shared" si="4"/>
        <v>1000</v>
      </c>
      <c r="E95" s="224">
        <f t="shared" si="4"/>
        <v>2</v>
      </c>
      <c r="F95" s="8">
        <f t="shared" si="4"/>
        <v>0</v>
      </c>
      <c r="G95" s="224">
        <f t="shared" si="4"/>
        <v>0</v>
      </c>
      <c r="H95" s="31">
        <f t="shared" si="4"/>
        <v>0</v>
      </c>
      <c r="I95" s="8">
        <f t="shared" si="4"/>
        <v>0</v>
      </c>
      <c r="J95" s="8">
        <f t="shared" si="5"/>
        <v>0</v>
      </c>
      <c r="K95" s="72">
        <f t="shared" si="6"/>
        <v>-129746.68008048287</v>
      </c>
    </row>
    <row r="96" spans="1:11" x14ac:dyDescent="0.25">
      <c r="A96" s="38">
        <f>Données!A93</f>
        <v>5555</v>
      </c>
      <c r="B96" s="169" t="str">
        <f>Données!B93</f>
        <v>Corcelles-près-Concise</v>
      </c>
      <c r="C96" s="8">
        <f>Données!Z93</f>
        <v>412</v>
      </c>
      <c r="D96" s="8">
        <f t="shared" si="4"/>
        <v>412</v>
      </c>
      <c r="E96" s="224">
        <f t="shared" si="4"/>
        <v>0</v>
      </c>
      <c r="F96" s="8">
        <f t="shared" si="4"/>
        <v>0</v>
      </c>
      <c r="G96" s="224">
        <f t="shared" si="4"/>
        <v>0</v>
      </c>
      <c r="H96" s="31">
        <f t="shared" si="4"/>
        <v>0</v>
      </c>
      <c r="I96" s="8">
        <f t="shared" si="4"/>
        <v>0</v>
      </c>
      <c r="J96" s="8">
        <f t="shared" si="5"/>
        <v>0</v>
      </c>
      <c r="K96" s="72">
        <f t="shared" si="6"/>
        <v>-53157.947686116691</v>
      </c>
    </row>
    <row r="97" spans="1:11" x14ac:dyDescent="0.25">
      <c r="A97" s="38">
        <f>Données!A94</f>
        <v>5556</v>
      </c>
      <c r="B97" s="169" t="str">
        <f>Données!B94</f>
        <v>Fiez</v>
      </c>
      <c r="C97" s="8">
        <f>Données!Z94</f>
        <v>436</v>
      </c>
      <c r="D97" s="8">
        <f t="shared" si="4"/>
        <v>436</v>
      </c>
      <c r="E97" s="224">
        <f t="shared" si="4"/>
        <v>0</v>
      </c>
      <c r="F97" s="8">
        <f t="shared" si="4"/>
        <v>0</v>
      </c>
      <c r="G97" s="224">
        <f t="shared" si="4"/>
        <v>0</v>
      </c>
      <c r="H97" s="31">
        <f t="shared" si="4"/>
        <v>0</v>
      </c>
      <c r="I97" s="8">
        <f t="shared" si="4"/>
        <v>0</v>
      </c>
      <c r="J97" s="8">
        <f t="shared" si="5"/>
        <v>0</v>
      </c>
      <c r="K97" s="72">
        <f t="shared" si="6"/>
        <v>-56254.527162977858</v>
      </c>
    </row>
    <row r="98" spans="1:11" x14ac:dyDescent="0.25">
      <c r="A98" s="38">
        <f>Données!A95</f>
        <v>5557</v>
      </c>
      <c r="B98" s="169" t="str">
        <f>Données!B95</f>
        <v>Fontaines-sur-Grandson</v>
      </c>
      <c r="C98" s="8">
        <f>Données!Z95</f>
        <v>214</v>
      </c>
      <c r="D98" s="8">
        <f t="shared" si="4"/>
        <v>214</v>
      </c>
      <c r="E98" s="224">
        <f t="shared" si="4"/>
        <v>0</v>
      </c>
      <c r="F98" s="8">
        <f t="shared" si="4"/>
        <v>0</v>
      </c>
      <c r="G98" s="224">
        <f t="shared" si="4"/>
        <v>0</v>
      </c>
      <c r="H98" s="31">
        <f t="shared" si="4"/>
        <v>0</v>
      </c>
      <c r="I98" s="8">
        <f t="shared" si="4"/>
        <v>0</v>
      </c>
      <c r="J98" s="8">
        <f t="shared" si="5"/>
        <v>0</v>
      </c>
      <c r="K98" s="72">
        <f t="shared" si="6"/>
        <v>-27611.167002012065</v>
      </c>
    </row>
    <row r="99" spans="1:11" x14ac:dyDescent="0.25">
      <c r="A99" s="38">
        <f>Données!A96</f>
        <v>5559</v>
      </c>
      <c r="B99" s="169" t="str">
        <f>Données!B96</f>
        <v>Giez</v>
      </c>
      <c r="C99" s="8">
        <f>Données!Z96</f>
        <v>450</v>
      </c>
      <c r="D99" s="8">
        <f t="shared" si="4"/>
        <v>450</v>
      </c>
      <c r="E99" s="224">
        <f t="shared" si="4"/>
        <v>0</v>
      </c>
      <c r="F99" s="8">
        <f t="shared" si="4"/>
        <v>0</v>
      </c>
      <c r="G99" s="224">
        <f t="shared" si="4"/>
        <v>0</v>
      </c>
      <c r="H99" s="31">
        <f t="shared" si="4"/>
        <v>0</v>
      </c>
      <c r="I99" s="8">
        <f t="shared" si="4"/>
        <v>0</v>
      </c>
      <c r="J99" s="8">
        <f t="shared" si="5"/>
        <v>0</v>
      </c>
      <c r="K99" s="72">
        <f t="shared" si="6"/>
        <v>-58060.86519114687</v>
      </c>
    </row>
    <row r="100" spans="1:11" x14ac:dyDescent="0.25">
      <c r="A100" s="38">
        <f>Données!A97</f>
        <v>5560</v>
      </c>
      <c r="B100" s="169" t="str">
        <f>Données!B97</f>
        <v>Grandevent</v>
      </c>
      <c r="C100" s="8">
        <f>Données!Z97</f>
        <v>237</v>
      </c>
      <c r="D100" s="8">
        <f t="shared" si="4"/>
        <v>237</v>
      </c>
      <c r="E100" s="224">
        <f t="shared" si="4"/>
        <v>0</v>
      </c>
      <c r="F100" s="8">
        <f t="shared" si="4"/>
        <v>0</v>
      </c>
      <c r="G100" s="224">
        <f t="shared" si="4"/>
        <v>0</v>
      </c>
      <c r="H100" s="31">
        <f t="shared" si="4"/>
        <v>0</v>
      </c>
      <c r="I100" s="8">
        <f t="shared" si="4"/>
        <v>0</v>
      </c>
      <c r="J100" s="8">
        <f t="shared" si="5"/>
        <v>0</v>
      </c>
      <c r="K100" s="72">
        <f t="shared" si="6"/>
        <v>-30578.722334004018</v>
      </c>
    </row>
    <row r="101" spans="1:11" x14ac:dyDescent="0.25">
      <c r="A101" s="38">
        <f>Données!A98</f>
        <v>5561</v>
      </c>
      <c r="B101" s="169" t="str">
        <f>Données!B98</f>
        <v>Grandson</v>
      </c>
      <c r="C101" s="8">
        <f>Données!Z98</f>
        <v>3359</v>
      </c>
      <c r="D101" s="8">
        <f t="shared" si="4"/>
        <v>1000</v>
      </c>
      <c r="E101" s="224">
        <f t="shared" si="4"/>
        <v>2000</v>
      </c>
      <c r="F101" s="8">
        <f t="shared" si="4"/>
        <v>359</v>
      </c>
      <c r="G101" s="224">
        <f t="shared" si="4"/>
        <v>0</v>
      </c>
      <c r="H101" s="31">
        <f t="shared" si="4"/>
        <v>0</v>
      </c>
      <c r="I101" s="8">
        <f t="shared" si="4"/>
        <v>0</v>
      </c>
      <c r="J101" s="8">
        <f t="shared" si="5"/>
        <v>0</v>
      </c>
      <c r="K101" s="72">
        <f t="shared" si="6"/>
        <v>-1036838.0281690138</v>
      </c>
    </row>
    <row r="102" spans="1:11" x14ac:dyDescent="0.25">
      <c r="A102" s="38">
        <f>Données!A99</f>
        <v>5562</v>
      </c>
      <c r="B102" s="169" t="str">
        <f>Données!B99</f>
        <v>Mauborget</v>
      </c>
      <c r="C102" s="8">
        <f>Données!Z99</f>
        <v>138</v>
      </c>
      <c r="D102" s="8">
        <f t="shared" si="4"/>
        <v>138</v>
      </c>
      <c r="E102" s="224">
        <f t="shared" si="4"/>
        <v>0</v>
      </c>
      <c r="F102" s="8">
        <f t="shared" si="4"/>
        <v>0</v>
      </c>
      <c r="G102" s="224">
        <f t="shared" si="4"/>
        <v>0</v>
      </c>
      <c r="H102" s="31">
        <f t="shared" si="4"/>
        <v>0</v>
      </c>
      <c r="I102" s="8">
        <f t="shared" si="4"/>
        <v>0</v>
      </c>
      <c r="J102" s="8">
        <f t="shared" si="5"/>
        <v>0</v>
      </c>
      <c r="K102" s="72">
        <f t="shared" si="6"/>
        <v>-17805.331991951705</v>
      </c>
    </row>
    <row r="103" spans="1:11" x14ac:dyDescent="0.25">
      <c r="A103" s="38">
        <f>Données!A100</f>
        <v>5563</v>
      </c>
      <c r="B103" s="169" t="str">
        <f>Données!B100</f>
        <v>Mutrux</v>
      </c>
      <c r="C103" s="8">
        <f>Données!Z100</f>
        <v>151</v>
      </c>
      <c r="D103" s="8">
        <f t="shared" si="4"/>
        <v>151</v>
      </c>
      <c r="E103" s="224">
        <f t="shared" si="4"/>
        <v>0</v>
      </c>
      <c r="F103" s="8">
        <f t="shared" si="4"/>
        <v>0</v>
      </c>
      <c r="G103" s="224">
        <f t="shared" si="4"/>
        <v>0</v>
      </c>
      <c r="H103" s="31">
        <f t="shared" si="4"/>
        <v>0</v>
      </c>
      <c r="I103" s="8">
        <f t="shared" si="4"/>
        <v>0</v>
      </c>
      <c r="J103" s="8">
        <f t="shared" si="5"/>
        <v>0</v>
      </c>
      <c r="K103" s="72">
        <f t="shared" si="6"/>
        <v>-19482.645875251506</v>
      </c>
    </row>
    <row r="104" spans="1:11" x14ac:dyDescent="0.25">
      <c r="A104" s="38">
        <f>Données!A101</f>
        <v>5564</v>
      </c>
      <c r="B104" s="169" t="str">
        <f>Données!B101</f>
        <v>Novalles</v>
      </c>
      <c r="C104" s="8">
        <f>Données!Z101</f>
        <v>99</v>
      </c>
      <c r="D104" s="8">
        <f t="shared" si="4"/>
        <v>99</v>
      </c>
      <c r="E104" s="224">
        <f t="shared" si="4"/>
        <v>0</v>
      </c>
      <c r="F104" s="8">
        <f t="shared" si="4"/>
        <v>0</v>
      </c>
      <c r="G104" s="224">
        <f t="shared" si="4"/>
        <v>0</v>
      </c>
      <c r="H104" s="31">
        <f t="shared" si="4"/>
        <v>0</v>
      </c>
      <c r="I104" s="8">
        <f t="shared" si="4"/>
        <v>0</v>
      </c>
      <c r="J104" s="8">
        <f t="shared" si="5"/>
        <v>0</v>
      </c>
      <c r="K104" s="72">
        <f t="shared" si="6"/>
        <v>-12773.390342052311</v>
      </c>
    </row>
    <row r="105" spans="1:11" x14ac:dyDescent="0.25">
      <c r="A105" s="38">
        <f>Données!A102</f>
        <v>5565</v>
      </c>
      <c r="B105" s="169" t="str">
        <f>Données!B102</f>
        <v>Onnens</v>
      </c>
      <c r="C105" s="8">
        <f>Données!Z102</f>
        <v>496</v>
      </c>
      <c r="D105" s="8">
        <f t="shared" si="4"/>
        <v>496</v>
      </c>
      <c r="E105" s="224">
        <f t="shared" si="4"/>
        <v>0</v>
      </c>
      <c r="F105" s="8">
        <f t="shared" si="4"/>
        <v>0</v>
      </c>
      <c r="G105" s="224">
        <f t="shared" si="4"/>
        <v>0</v>
      </c>
      <c r="H105" s="31">
        <f t="shared" si="4"/>
        <v>0</v>
      </c>
      <c r="I105" s="8">
        <f t="shared" si="4"/>
        <v>0</v>
      </c>
      <c r="J105" s="8">
        <f t="shared" si="5"/>
        <v>0</v>
      </c>
      <c r="K105" s="72">
        <f t="shared" si="6"/>
        <v>-63995.975855130768</v>
      </c>
    </row>
    <row r="106" spans="1:11" x14ac:dyDescent="0.25">
      <c r="A106" s="38">
        <f>Données!A103</f>
        <v>5566</v>
      </c>
      <c r="B106" s="169" t="str">
        <f>Données!B103</f>
        <v>Provence</v>
      </c>
      <c r="C106" s="8">
        <f>Données!Z103</f>
        <v>403</v>
      </c>
      <c r="D106" s="8">
        <f t="shared" si="4"/>
        <v>403</v>
      </c>
      <c r="E106" s="224">
        <f t="shared" si="4"/>
        <v>0</v>
      </c>
      <c r="F106" s="8">
        <f t="shared" si="4"/>
        <v>0</v>
      </c>
      <c r="G106" s="224">
        <f t="shared" si="4"/>
        <v>0</v>
      </c>
      <c r="H106" s="31">
        <f t="shared" si="4"/>
        <v>0</v>
      </c>
      <c r="I106" s="8">
        <f t="shared" si="4"/>
        <v>0</v>
      </c>
      <c r="J106" s="8">
        <f t="shared" si="5"/>
        <v>0</v>
      </c>
      <c r="K106" s="72">
        <f t="shared" si="6"/>
        <v>-51996.730382293754</v>
      </c>
    </row>
    <row r="107" spans="1:11" x14ac:dyDescent="0.25">
      <c r="A107" s="38">
        <f>Données!A104</f>
        <v>5568</v>
      </c>
      <c r="B107" s="169" t="str">
        <f>Données!B104</f>
        <v>Sainte-Croix</v>
      </c>
      <c r="C107" s="8">
        <f>Données!Z104</f>
        <v>4869</v>
      </c>
      <c r="D107" s="8">
        <f t="shared" si="4"/>
        <v>1000</v>
      </c>
      <c r="E107" s="224">
        <f t="shared" si="4"/>
        <v>2000</v>
      </c>
      <c r="F107" s="8">
        <f t="shared" si="4"/>
        <v>1869</v>
      </c>
      <c r="G107" s="224">
        <f t="shared" ref="E107:I158" si="7">IF($C107&gt;G$5,IF($C107&lt;G$6,$C107-G$5,G$6-G$5),0)</f>
        <v>0</v>
      </c>
      <c r="H107" s="31">
        <f t="shared" si="7"/>
        <v>0</v>
      </c>
      <c r="I107" s="8">
        <f t="shared" si="7"/>
        <v>0</v>
      </c>
      <c r="J107" s="8">
        <f t="shared" si="5"/>
        <v>0</v>
      </c>
      <c r="K107" s="72">
        <f t="shared" si="6"/>
        <v>-1816143.8631790741</v>
      </c>
    </row>
    <row r="108" spans="1:11" x14ac:dyDescent="0.25">
      <c r="A108" s="38">
        <f>Données!A105</f>
        <v>5571</v>
      </c>
      <c r="B108" s="169" t="str">
        <f>Données!B105</f>
        <v>Tévenon</v>
      </c>
      <c r="C108" s="8">
        <f>Données!Z105</f>
        <v>867</v>
      </c>
      <c r="D108" s="8">
        <f t="shared" ref="D108:D171" si="8">IF($C108&gt;D$5,IF($C108&lt;D$6,$C108-D$5,D$6-D$5),0)</f>
        <v>867</v>
      </c>
      <c r="E108" s="224">
        <f t="shared" si="7"/>
        <v>0</v>
      </c>
      <c r="F108" s="8">
        <f t="shared" si="7"/>
        <v>0</v>
      </c>
      <c r="G108" s="224">
        <f t="shared" si="7"/>
        <v>0</v>
      </c>
      <c r="H108" s="31">
        <f t="shared" si="7"/>
        <v>0</v>
      </c>
      <c r="I108" s="8">
        <f t="shared" si="7"/>
        <v>0</v>
      </c>
      <c r="J108" s="8">
        <f t="shared" si="5"/>
        <v>0</v>
      </c>
      <c r="K108" s="72">
        <f t="shared" si="6"/>
        <v>-111863.93360160963</v>
      </c>
    </row>
    <row r="109" spans="1:11" x14ac:dyDescent="0.25">
      <c r="A109" s="38">
        <f>Données!A106</f>
        <v>5581</v>
      </c>
      <c r="B109" s="169" t="str">
        <f>Données!B106</f>
        <v>Belmont-sur-Lausanne</v>
      </c>
      <c r="C109" s="8">
        <f>Données!Z106</f>
        <v>3838</v>
      </c>
      <c r="D109" s="8">
        <f t="shared" si="8"/>
        <v>1000</v>
      </c>
      <c r="E109" s="224">
        <f t="shared" si="7"/>
        <v>2000</v>
      </c>
      <c r="F109" s="8">
        <f t="shared" si="7"/>
        <v>838</v>
      </c>
      <c r="G109" s="224">
        <f t="shared" si="7"/>
        <v>0</v>
      </c>
      <c r="H109" s="31">
        <f t="shared" si="7"/>
        <v>0</v>
      </c>
      <c r="I109" s="8">
        <f t="shared" si="7"/>
        <v>0</v>
      </c>
      <c r="J109" s="8">
        <f t="shared" si="5"/>
        <v>0</v>
      </c>
      <c r="K109" s="72">
        <f t="shared" si="6"/>
        <v>-1284048.2897384302</v>
      </c>
    </row>
    <row r="110" spans="1:11" x14ac:dyDescent="0.25">
      <c r="A110" s="38">
        <f>Données!A107</f>
        <v>5582</v>
      </c>
      <c r="B110" s="169" t="str">
        <f>Données!B107</f>
        <v>Cheseaux-sur-Lausanne</v>
      </c>
      <c r="C110" s="8">
        <f>Données!Z107</f>
        <v>4527</v>
      </c>
      <c r="D110" s="8">
        <f t="shared" si="8"/>
        <v>1000</v>
      </c>
      <c r="E110" s="224">
        <f t="shared" si="7"/>
        <v>2000</v>
      </c>
      <c r="F110" s="8">
        <f t="shared" si="7"/>
        <v>1527</v>
      </c>
      <c r="G110" s="224">
        <f t="shared" si="7"/>
        <v>0</v>
      </c>
      <c r="H110" s="31">
        <f t="shared" si="7"/>
        <v>0</v>
      </c>
      <c r="I110" s="8">
        <f t="shared" si="7"/>
        <v>0</v>
      </c>
      <c r="J110" s="8">
        <f t="shared" si="5"/>
        <v>0</v>
      </c>
      <c r="K110" s="72">
        <f t="shared" si="6"/>
        <v>-1639638.8329979875</v>
      </c>
    </row>
    <row r="111" spans="1:11" x14ac:dyDescent="0.25">
      <c r="A111" s="38">
        <f>Données!A108</f>
        <v>5583</v>
      </c>
      <c r="B111" s="169" t="str">
        <f>Données!B108</f>
        <v>Crissier</v>
      </c>
      <c r="C111" s="8">
        <f>Données!Z108</f>
        <v>9165</v>
      </c>
      <c r="D111" s="8">
        <f t="shared" si="8"/>
        <v>1000</v>
      </c>
      <c r="E111" s="224">
        <f t="shared" si="7"/>
        <v>2000</v>
      </c>
      <c r="F111" s="8">
        <f t="shared" si="7"/>
        <v>2000</v>
      </c>
      <c r="G111" s="224">
        <f t="shared" si="7"/>
        <v>4000</v>
      </c>
      <c r="H111" s="31">
        <f t="shared" si="7"/>
        <v>165</v>
      </c>
      <c r="I111" s="8">
        <f t="shared" si="7"/>
        <v>0</v>
      </c>
      <c r="J111" s="8">
        <f t="shared" si="5"/>
        <v>0</v>
      </c>
      <c r="K111" s="72">
        <f t="shared" si="6"/>
        <v>-4505781.1871227352</v>
      </c>
    </row>
    <row r="112" spans="1:11" x14ac:dyDescent="0.25">
      <c r="A112" s="38">
        <f>Données!A109</f>
        <v>5584</v>
      </c>
      <c r="B112" s="169" t="str">
        <f>Données!B109</f>
        <v>Epalinges</v>
      </c>
      <c r="C112" s="8">
        <f>Données!Z109</f>
        <v>9828</v>
      </c>
      <c r="D112" s="8">
        <f t="shared" si="8"/>
        <v>1000</v>
      </c>
      <c r="E112" s="224">
        <f t="shared" si="7"/>
        <v>2000</v>
      </c>
      <c r="F112" s="8">
        <f t="shared" si="7"/>
        <v>2000</v>
      </c>
      <c r="G112" s="224">
        <f t="shared" si="7"/>
        <v>4000</v>
      </c>
      <c r="H112" s="31">
        <f t="shared" si="7"/>
        <v>828</v>
      </c>
      <c r="I112" s="8">
        <f t="shared" si="7"/>
        <v>0</v>
      </c>
      <c r="J112" s="8">
        <f t="shared" si="5"/>
        <v>0</v>
      </c>
      <c r="K112" s="72">
        <f t="shared" si="6"/>
        <v>-5087473.6418511048</v>
      </c>
    </row>
    <row r="113" spans="1:11" x14ac:dyDescent="0.25">
      <c r="A113" s="38">
        <f>Données!A110</f>
        <v>5585</v>
      </c>
      <c r="B113" s="169" t="str">
        <f>Données!B110</f>
        <v>Jouxtens-Mézery</v>
      </c>
      <c r="C113" s="8">
        <f>Données!Z110</f>
        <v>1469</v>
      </c>
      <c r="D113" s="8">
        <f t="shared" si="8"/>
        <v>1000</v>
      </c>
      <c r="E113" s="224">
        <f t="shared" si="7"/>
        <v>469</v>
      </c>
      <c r="F113" s="8">
        <f t="shared" si="7"/>
        <v>0</v>
      </c>
      <c r="G113" s="224">
        <f t="shared" si="7"/>
        <v>0</v>
      </c>
      <c r="H113" s="31">
        <f t="shared" si="7"/>
        <v>0</v>
      </c>
      <c r="I113" s="8">
        <f t="shared" si="7"/>
        <v>0</v>
      </c>
      <c r="J113" s="8">
        <f t="shared" si="5"/>
        <v>0</v>
      </c>
      <c r="K113" s="72">
        <f t="shared" si="6"/>
        <v>-298458.65191146877</v>
      </c>
    </row>
    <row r="114" spans="1:11" x14ac:dyDescent="0.25">
      <c r="A114" s="38">
        <f>Données!A111</f>
        <v>5586</v>
      </c>
      <c r="B114" s="169" t="str">
        <f>Données!B111</f>
        <v>Lausanne</v>
      </c>
      <c r="C114" s="8">
        <f>Données!Z111</f>
        <v>141616</v>
      </c>
      <c r="D114" s="8">
        <f t="shared" si="8"/>
        <v>1000</v>
      </c>
      <c r="E114" s="224">
        <f t="shared" si="7"/>
        <v>2000</v>
      </c>
      <c r="F114" s="8">
        <f t="shared" si="7"/>
        <v>2000</v>
      </c>
      <c r="G114" s="224">
        <f t="shared" si="7"/>
        <v>4000</v>
      </c>
      <c r="H114" s="31">
        <f t="shared" si="7"/>
        <v>3000</v>
      </c>
      <c r="I114" s="8">
        <f t="shared" si="7"/>
        <v>3000</v>
      </c>
      <c r="J114" s="8">
        <f t="shared" si="5"/>
        <v>126616</v>
      </c>
      <c r="K114" s="72">
        <f t="shared" si="6"/>
        <v>-147316465.59356135</v>
      </c>
    </row>
    <row r="115" spans="1:11" x14ac:dyDescent="0.25">
      <c r="A115" s="38">
        <f>Données!A112</f>
        <v>5587</v>
      </c>
      <c r="B115" s="169" t="str">
        <f>Données!B112</f>
        <v>Le Mont-sur-Lausanne</v>
      </c>
      <c r="C115" s="8">
        <f>Données!Z112</f>
        <v>9301</v>
      </c>
      <c r="D115" s="8">
        <f t="shared" si="8"/>
        <v>1000</v>
      </c>
      <c r="E115" s="224">
        <f t="shared" si="7"/>
        <v>2000</v>
      </c>
      <c r="F115" s="8">
        <f t="shared" si="7"/>
        <v>2000</v>
      </c>
      <c r="G115" s="224">
        <f t="shared" si="7"/>
        <v>4000</v>
      </c>
      <c r="H115" s="31">
        <f t="shared" si="7"/>
        <v>301</v>
      </c>
      <c r="I115" s="8">
        <f t="shared" si="7"/>
        <v>0</v>
      </c>
      <c r="J115" s="8">
        <f t="shared" si="5"/>
        <v>0</v>
      </c>
      <c r="K115" s="72">
        <f t="shared" si="6"/>
        <v>-4625102.7162977848</v>
      </c>
    </row>
    <row r="116" spans="1:11" x14ac:dyDescent="0.25">
      <c r="A116" s="38">
        <f>Données!A113</f>
        <v>5588</v>
      </c>
      <c r="B116" s="169" t="str">
        <f>Données!B113</f>
        <v>Paudex</v>
      </c>
      <c r="C116" s="8">
        <f>Données!Z113</f>
        <v>1549</v>
      </c>
      <c r="D116" s="8">
        <f t="shared" si="8"/>
        <v>1000</v>
      </c>
      <c r="E116" s="224">
        <f t="shared" si="7"/>
        <v>549</v>
      </c>
      <c r="F116" s="8">
        <f t="shared" si="7"/>
        <v>0</v>
      </c>
      <c r="G116" s="224">
        <f t="shared" si="7"/>
        <v>0</v>
      </c>
      <c r="H116" s="31">
        <f t="shared" si="7"/>
        <v>0</v>
      </c>
      <c r="I116" s="8">
        <f t="shared" si="7"/>
        <v>0</v>
      </c>
      <c r="J116" s="8">
        <f t="shared" si="5"/>
        <v>0</v>
      </c>
      <c r="K116" s="72">
        <f t="shared" si="6"/>
        <v>-327360.06036217301</v>
      </c>
    </row>
    <row r="117" spans="1:11" x14ac:dyDescent="0.25">
      <c r="A117" s="38">
        <f>Données!A114</f>
        <v>5589</v>
      </c>
      <c r="B117" s="169" t="str">
        <f>Données!B114</f>
        <v>Prilly</v>
      </c>
      <c r="C117" s="8">
        <f>Données!Z114</f>
        <v>12323</v>
      </c>
      <c r="D117" s="8">
        <f t="shared" si="8"/>
        <v>1000</v>
      </c>
      <c r="E117" s="224">
        <f t="shared" si="7"/>
        <v>2000</v>
      </c>
      <c r="F117" s="8">
        <f t="shared" si="7"/>
        <v>2000</v>
      </c>
      <c r="G117" s="224">
        <f t="shared" si="7"/>
        <v>4000</v>
      </c>
      <c r="H117" s="31">
        <f t="shared" si="7"/>
        <v>3000</v>
      </c>
      <c r="I117" s="8">
        <f t="shared" si="7"/>
        <v>323</v>
      </c>
      <c r="J117" s="8">
        <f t="shared" si="5"/>
        <v>0</v>
      </c>
      <c r="K117" s="72">
        <f t="shared" si="6"/>
        <v>-7326507.0422535194</v>
      </c>
    </row>
    <row r="118" spans="1:11" x14ac:dyDescent="0.25">
      <c r="A118" s="38">
        <f>Données!A115</f>
        <v>5590</v>
      </c>
      <c r="B118" s="169" t="str">
        <f>Données!B115</f>
        <v>Pully</v>
      </c>
      <c r="C118" s="8">
        <f>Données!Z115</f>
        <v>19014</v>
      </c>
      <c r="D118" s="8">
        <f t="shared" si="8"/>
        <v>1000</v>
      </c>
      <c r="E118" s="224">
        <f t="shared" si="7"/>
        <v>2000</v>
      </c>
      <c r="F118" s="8">
        <f t="shared" si="7"/>
        <v>2000</v>
      </c>
      <c r="G118" s="224">
        <f t="shared" si="7"/>
        <v>4000</v>
      </c>
      <c r="H118" s="31">
        <f t="shared" si="7"/>
        <v>3000</v>
      </c>
      <c r="I118" s="8">
        <f t="shared" si="7"/>
        <v>3000</v>
      </c>
      <c r="J118" s="8">
        <f t="shared" si="5"/>
        <v>4014</v>
      </c>
      <c r="K118" s="72">
        <f t="shared" si="6"/>
        <v>-14440072.635814887</v>
      </c>
    </row>
    <row r="119" spans="1:11" x14ac:dyDescent="0.25">
      <c r="A119" s="38">
        <f>Données!A116</f>
        <v>5591</v>
      </c>
      <c r="B119" s="169" t="str">
        <f>Données!B116</f>
        <v>Renens</v>
      </c>
      <c r="C119" s="8">
        <f>Données!Z116</f>
        <v>21128</v>
      </c>
      <c r="D119" s="8">
        <f t="shared" si="8"/>
        <v>1000</v>
      </c>
      <c r="E119" s="224">
        <f t="shared" si="7"/>
        <v>2000</v>
      </c>
      <c r="F119" s="8">
        <f t="shared" si="7"/>
        <v>2000</v>
      </c>
      <c r="G119" s="224">
        <f t="shared" si="7"/>
        <v>4000</v>
      </c>
      <c r="H119" s="31">
        <f t="shared" si="7"/>
        <v>3000</v>
      </c>
      <c r="I119" s="8">
        <f t="shared" si="7"/>
        <v>3000</v>
      </c>
      <c r="J119" s="8">
        <f t="shared" si="5"/>
        <v>6128</v>
      </c>
      <c r="K119" s="72">
        <f t="shared" si="6"/>
        <v>-16731231.790744463</v>
      </c>
    </row>
    <row r="120" spans="1:11" x14ac:dyDescent="0.25">
      <c r="A120" s="38">
        <f>Données!A117</f>
        <v>5592</v>
      </c>
      <c r="B120" s="169" t="str">
        <f>Données!B117</f>
        <v>Romanel-sur-Lausanne</v>
      </c>
      <c r="C120" s="8">
        <f>Données!Z117</f>
        <v>3796</v>
      </c>
      <c r="D120" s="8">
        <f t="shared" si="8"/>
        <v>1000</v>
      </c>
      <c r="E120" s="224">
        <f t="shared" si="7"/>
        <v>2000</v>
      </c>
      <c r="F120" s="8">
        <f t="shared" si="7"/>
        <v>796</v>
      </c>
      <c r="G120" s="224">
        <f t="shared" si="7"/>
        <v>0</v>
      </c>
      <c r="H120" s="31">
        <f t="shared" si="7"/>
        <v>0</v>
      </c>
      <c r="I120" s="8">
        <f t="shared" si="7"/>
        <v>0</v>
      </c>
      <c r="J120" s="8">
        <f t="shared" si="5"/>
        <v>0</v>
      </c>
      <c r="K120" s="72">
        <f t="shared" si="6"/>
        <v>-1262372.2334004021</v>
      </c>
    </row>
    <row r="121" spans="1:11" x14ac:dyDescent="0.25">
      <c r="A121" s="38">
        <f>Données!A118</f>
        <v>5601</v>
      </c>
      <c r="B121" s="169" t="str">
        <f>Données!B118</f>
        <v>Chexbres</v>
      </c>
      <c r="C121" s="8">
        <f>Données!Z118</f>
        <v>2207</v>
      </c>
      <c r="D121" s="8">
        <f t="shared" si="8"/>
        <v>1000</v>
      </c>
      <c r="E121" s="224">
        <f t="shared" si="7"/>
        <v>1207</v>
      </c>
      <c r="F121" s="8">
        <f t="shared" si="7"/>
        <v>0</v>
      </c>
      <c r="G121" s="224">
        <f t="shared" si="7"/>
        <v>0</v>
      </c>
      <c r="H121" s="31">
        <f t="shared" si="7"/>
        <v>0</v>
      </c>
      <c r="I121" s="8">
        <f t="shared" si="7"/>
        <v>0</v>
      </c>
      <c r="J121" s="8">
        <f t="shared" si="5"/>
        <v>0</v>
      </c>
      <c r="K121" s="72">
        <f t="shared" si="6"/>
        <v>-565074.1448692152</v>
      </c>
    </row>
    <row r="122" spans="1:11" x14ac:dyDescent="0.25">
      <c r="A122" s="38">
        <f>Données!A119</f>
        <v>5604</v>
      </c>
      <c r="B122" s="169" t="str">
        <f>Données!B119</f>
        <v>Forel (Lavaux)</v>
      </c>
      <c r="C122" s="8">
        <f>Données!Z119</f>
        <v>2071</v>
      </c>
      <c r="D122" s="8">
        <f t="shared" si="8"/>
        <v>1000</v>
      </c>
      <c r="E122" s="224">
        <f t="shared" si="7"/>
        <v>1071</v>
      </c>
      <c r="F122" s="8">
        <f t="shared" si="7"/>
        <v>0</v>
      </c>
      <c r="G122" s="224">
        <f t="shared" si="7"/>
        <v>0</v>
      </c>
      <c r="H122" s="31">
        <f t="shared" si="7"/>
        <v>0</v>
      </c>
      <c r="I122" s="8">
        <f t="shared" si="7"/>
        <v>0</v>
      </c>
      <c r="J122" s="8">
        <f t="shared" si="5"/>
        <v>0</v>
      </c>
      <c r="K122" s="72">
        <f t="shared" si="6"/>
        <v>-515941.75050301803</v>
      </c>
    </row>
    <row r="123" spans="1:11" x14ac:dyDescent="0.25">
      <c r="A123" s="38">
        <f>Données!A120</f>
        <v>5606</v>
      </c>
      <c r="B123" s="169" t="str">
        <f>Données!B120</f>
        <v>Lutry</v>
      </c>
      <c r="C123" s="8">
        <f>Données!Z120</f>
        <v>10718</v>
      </c>
      <c r="D123" s="8">
        <f t="shared" si="8"/>
        <v>1000</v>
      </c>
      <c r="E123" s="224">
        <f t="shared" si="7"/>
        <v>2000</v>
      </c>
      <c r="F123" s="8">
        <f t="shared" si="7"/>
        <v>2000</v>
      </c>
      <c r="G123" s="224">
        <f t="shared" si="7"/>
        <v>4000</v>
      </c>
      <c r="H123" s="31">
        <f t="shared" si="7"/>
        <v>1718</v>
      </c>
      <c r="I123" s="8">
        <f t="shared" si="7"/>
        <v>0</v>
      </c>
      <c r="J123" s="8">
        <f t="shared" si="5"/>
        <v>0</v>
      </c>
      <c r="K123" s="72">
        <f t="shared" si="6"/>
        <v>-5868327.7665995955</v>
      </c>
    </row>
    <row r="124" spans="1:11" x14ac:dyDescent="0.25">
      <c r="A124" s="38">
        <f>Données!A121</f>
        <v>5607</v>
      </c>
      <c r="B124" s="169" t="str">
        <f>Données!B121</f>
        <v>Puidoux</v>
      </c>
      <c r="C124" s="8">
        <f>Données!Z121</f>
        <v>2994</v>
      </c>
      <c r="D124" s="8">
        <f t="shared" si="8"/>
        <v>1000</v>
      </c>
      <c r="E124" s="224">
        <f t="shared" si="7"/>
        <v>1994</v>
      </c>
      <c r="F124" s="8">
        <f t="shared" si="7"/>
        <v>0</v>
      </c>
      <c r="G124" s="224">
        <f t="shared" si="7"/>
        <v>0</v>
      </c>
      <c r="H124" s="31">
        <f t="shared" si="7"/>
        <v>0</v>
      </c>
      <c r="I124" s="8">
        <f t="shared" si="7"/>
        <v>0</v>
      </c>
      <c r="J124" s="8">
        <f t="shared" si="5"/>
        <v>0</v>
      </c>
      <c r="K124" s="72">
        <f t="shared" si="6"/>
        <v>-849391.75050301803</v>
      </c>
    </row>
    <row r="125" spans="1:11" x14ac:dyDescent="0.25">
      <c r="A125" s="38">
        <f>Données!A122</f>
        <v>5609</v>
      </c>
      <c r="B125" s="169" t="str">
        <f>Données!B122</f>
        <v>Rivaz</v>
      </c>
      <c r="C125" s="8">
        <f>Données!Z122</f>
        <v>332</v>
      </c>
      <c r="D125" s="8">
        <f t="shared" si="8"/>
        <v>332</v>
      </c>
      <c r="E125" s="224">
        <f t="shared" si="7"/>
        <v>0</v>
      </c>
      <c r="F125" s="8">
        <f t="shared" si="7"/>
        <v>0</v>
      </c>
      <c r="G125" s="224">
        <f t="shared" si="7"/>
        <v>0</v>
      </c>
      <c r="H125" s="31">
        <f t="shared" si="7"/>
        <v>0</v>
      </c>
      <c r="I125" s="8">
        <f t="shared" si="7"/>
        <v>0</v>
      </c>
      <c r="J125" s="8">
        <f t="shared" si="5"/>
        <v>0</v>
      </c>
      <c r="K125" s="72">
        <f t="shared" si="6"/>
        <v>-42836.016096579464</v>
      </c>
    </row>
    <row r="126" spans="1:11" x14ac:dyDescent="0.25">
      <c r="A126" s="38">
        <f>Données!A123</f>
        <v>5610</v>
      </c>
      <c r="B126" s="169" t="str">
        <f>Données!B123</f>
        <v>St-Saphorin (Lavaux)</v>
      </c>
      <c r="C126" s="8">
        <f>Données!Z123</f>
        <v>402</v>
      </c>
      <c r="D126" s="8">
        <f t="shared" si="8"/>
        <v>402</v>
      </c>
      <c r="E126" s="224">
        <f t="shared" si="7"/>
        <v>0</v>
      </c>
      <c r="F126" s="8">
        <f t="shared" si="7"/>
        <v>0</v>
      </c>
      <c r="G126" s="224">
        <f t="shared" si="7"/>
        <v>0</v>
      </c>
      <c r="H126" s="31">
        <f t="shared" si="7"/>
        <v>0</v>
      </c>
      <c r="I126" s="8">
        <f t="shared" si="7"/>
        <v>0</v>
      </c>
      <c r="J126" s="8">
        <f t="shared" si="5"/>
        <v>0</v>
      </c>
      <c r="K126" s="72">
        <f t="shared" si="6"/>
        <v>-51867.706237424536</v>
      </c>
    </row>
    <row r="127" spans="1:11" x14ac:dyDescent="0.25">
      <c r="A127" s="38">
        <f>Données!A124</f>
        <v>5611</v>
      </c>
      <c r="B127" s="169" t="str">
        <f>Données!B124</f>
        <v>Savigny</v>
      </c>
      <c r="C127" s="8">
        <f>Données!Z124</f>
        <v>3421</v>
      </c>
      <c r="D127" s="8">
        <f t="shared" si="8"/>
        <v>1000</v>
      </c>
      <c r="E127" s="224">
        <f t="shared" si="7"/>
        <v>2000</v>
      </c>
      <c r="F127" s="8">
        <f t="shared" si="7"/>
        <v>421</v>
      </c>
      <c r="G127" s="224">
        <f t="shared" si="7"/>
        <v>0</v>
      </c>
      <c r="H127" s="31">
        <f t="shared" si="7"/>
        <v>0</v>
      </c>
      <c r="I127" s="8">
        <f t="shared" si="7"/>
        <v>0</v>
      </c>
      <c r="J127" s="8">
        <f t="shared" si="5"/>
        <v>0</v>
      </c>
      <c r="K127" s="72">
        <f t="shared" si="6"/>
        <v>-1068836.0160965794</v>
      </c>
    </row>
    <row r="128" spans="1:11" x14ac:dyDescent="0.25">
      <c r="A128" s="38">
        <f>Données!A125</f>
        <v>5613</v>
      </c>
      <c r="B128" s="169" t="str">
        <f>Données!B125</f>
        <v>Bourg-en-Lavaux</v>
      </c>
      <c r="C128" s="8">
        <f>Données!Z125</f>
        <v>5394</v>
      </c>
      <c r="D128" s="8">
        <f t="shared" si="8"/>
        <v>1000</v>
      </c>
      <c r="E128" s="224">
        <f t="shared" si="7"/>
        <v>2000</v>
      </c>
      <c r="F128" s="8">
        <f t="shared" si="7"/>
        <v>2000</v>
      </c>
      <c r="G128" s="224">
        <f t="shared" si="7"/>
        <v>394</v>
      </c>
      <c r="H128" s="31">
        <f t="shared" si="7"/>
        <v>0</v>
      </c>
      <c r="I128" s="8">
        <f t="shared" si="7"/>
        <v>0</v>
      </c>
      <c r="J128" s="8">
        <f t="shared" si="5"/>
        <v>0</v>
      </c>
      <c r="K128" s="72">
        <f t="shared" si="6"/>
        <v>-2127762.9778672028</v>
      </c>
    </row>
    <row r="129" spans="1:11" x14ac:dyDescent="0.25">
      <c r="A129" s="38">
        <f>Données!A126</f>
        <v>5621</v>
      </c>
      <c r="B129" s="169" t="str">
        <f>Données!B126</f>
        <v>Aclens</v>
      </c>
      <c r="C129" s="8">
        <f>Données!Z126</f>
        <v>557</v>
      </c>
      <c r="D129" s="8">
        <f t="shared" si="8"/>
        <v>557</v>
      </c>
      <c r="E129" s="224">
        <f t="shared" si="7"/>
        <v>0</v>
      </c>
      <c r="F129" s="8">
        <f t="shared" si="7"/>
        <v>0</v>
      </c>
      <c r="G129" s="224">
        <f t="shared" si="7"/>
        <v>0</v>
      </c>
      <c r="H129" s="31">
        <f t="shared" si="7"/>
        <v>0</v>
      </c>
      <c r="I129" s="8">
        <f t="shared" si="7"/>
        <v>0</v>
      </c>
      <c r="J129" s="8">
        <f t="shared" si="5"/>
        <v>0</v>
      </c>
      <c r="K129" s="72">
        <f t="shared" si="6"/>
        <v>-71866.448692152902</v>
      </c>
    </row>
    <row r="130" spans="1:11" x14ac:dyDescent="0.25">
      <c r="A130" s="38">
        <f>Données!A127</f>
        <v>5622</v>
      </c>
      <c r="B130" s="169" t="str">
        <f>Données!B127</f>
        <v>Bremblens</v>
      </c>
      <c r="C130" s="8">
        <f>Données!Z127</f>
        <v>604</v>
      </c>
      <c r="D130" s="8">
        <f t="shared" si="8"/>
        <v>604</v>
      </c>
      <c r="E130" s="224">
        <f t="shared" si="7"/>
        <v>0</v>
      </c>
      <c r="F130" s="8">
        <f t="shared" si="7"/>
        <v>0</v>
      </c>
      <c r="G130" s="224">
        <f t="shared" si="7"/>
        <v>0</v>
      </c>
      <c r="H130" s="31">
        <f t="shared" si="7"/>
        <v>0</v>
      </c>
      <c r="I130" s="8">
        <f t="shared" si="7"/>
        <v>0</v>
      </c>
      <c r="J130" s="8">
        <f t="shared" si="5"/>
        <v>0</v>
      </c>
      <c r="K130" s="72">
        <f t="shared" si="6"/>
        <v>-77930.583501006025</v>
      </c>
    </row>
    <row r="131" spans="1:11" x14ac:dyDescent="0.25">
      <c r="A131" s="38">
        <f>Données!A128</f>
        <v>5623</v>
      </c>
      <c r="B131" s="169" t="str">
        <f>Données!B128</f>
        <v>Buchillon</v>
      </c>
      <c r="C131" s="8">
        <f>Données!Z128</f>
        <v>670</v>
      </c>
      <c r="D131" s="8">
        <f t="shared" si="8"/>
        <v>670</v>
      </c>
      <c r="E131" s="224">
        <f t="shared" si="7"/>
        <v>0</v>
      </c>
      <c r="F131" s="8">
        <f t="shared" si="7"/>
        <v>0</v>
      </c>
      <c r="G131" s="224">
        <f t="shared" si="7"/>
        <v>0</v>
      </c>
      <c r="H131" s="31">
        <f t="shared" si="7"/>
        <v>0</v>
      </c>
      <c r="I131" s="8">
        <f t="shared" si="7"/>
        <v>0</v>
      </c>
      <c r="J131" s="8">
        <f t="shared" si="5"/>
        <v>0</v>
      </c>
      <c r="K131" s="72">
        <f t="shared" si="6"/>
        <v>-86446.17706237422</v>
      </c>
    </row>
    <row r="132" spans="1:11" x14ac:dyDescent="0.25">
      <c r="A132" s="38">
        <f>Données!A129</f>
        <v>5624</v>
      </c>
      <c r="B132" s="169" t="str">
        <f>Données!B129</f>
        <v>Bussigny</v>
      </c>
      <c r="C132" s="8">
        <f>Données!Z129</f>
        <v>10397</v>
      </c>
      <c r="D132" s="8">
        <f t="shared" si="8"/>
        <v>1000</v>
      </c>
      <c r="E132" s="224">
        <f t="shared" si="7"/>
        <v>2000</v>
      </c>
      <c r="F132" s="8">
        <f t="shared" si="7"/>
        <v>2000</v>
      </c>
      <c r="G132" s="224">
        <f t="shared" si="7"/>
        <v>4000</v>
      </c>
      <c r="H132" s="31">
        <f t="shared" si="7"/>
        <v>1397</v>
      </c>
      <c r="I132" s="8">
        <f t="shared" si="7"/>
        <v>0</v>
      </c>
      <c r="J132" s="8">
        <f t="shared" si="5"/>
        <v>0</v>
      </c>
      <c r="K132" s="72">
        <f t="shared" si="6"/>
        <v>-5586693.8631790727</v>
      </c>
    </row>
    <row r="133" spans="1:11" x14ac:dyDescent="0.25">
      <c r="A133" s="38">
        <f>Données!A130</f>
        <v>5627</v>
      </c>
      <c r="B133" s="169" t="str">
        <f>Données!B130</f>
        <v>Chavannes-près-Renens</v>
      </c>
      <c r="C133" s="8">
        <f>Données!Z130</f>
        <v>8734</v>
      </c>
      <c r="D133" s="8">
        <f t="shared" si="8"/>
        <v>1000</v>
      </c>
      <c r="E133" s="224">
        <f t="shared" si="7"/>
        <v>2000</v>
      </c>
      <c r="F133" s="8">
        <f t="shared" si="7"/>
        <v>2000</v>
      </c>
      <c r="G133" s="224">
        <f t="shared" si="7"/>
        <v>3734</v>
      </c>
      <c r="H133" s="31">
        <f t="shared" si="7"/>
        <v>0</v>
      </c>
      <c r="I133" s="8">
        <f t="shared" si="7"/>
        <v>0</v>
      </c>
      <c r="J133" s="8">
        <f t="shared" si="5"/>
        <v>0</v>
      </c>
      <c r="K133" s="72">
        <f t="shared" si="6"/>
        <v>-4196278.0684104618</v>
      </c>
    </row>
    <row r="134" spans="1:11" x14ac:dyDescent="0.25">
      <c r="A134" s="38">
        <f>Données!A131</f>
        <v>5628</v>
      </c>
      <c r="B134" s="169" t="str">
        <f>Données!B131</f>
        <v>Chigny</v>
      </c>
      <c r="C134" s="8">
        <f>Données!Z131</f>
        <v>419</v>
      </c>
      <c r="D134" s="8">
        <f t="shared" si="8"/>
        <v>419</v>
      </c>
      <c r="E134" s="224">
        <f t="shared" si="7"/>
        <v>0</v>
      </c>
      <c r="F134" s="8">
        <f t="shared" si="7"/>
        <v>0</v>
      </c>
      <c r="G134" s="224">
        <f t="shared" si="7"/>
        <v>0</v>
      </c>
      <c r="H134" s="31">
        <f t="shared" si="7"/>
        <v>0</v>
      </c>
      <c r="I134" s="8">
        <f t="shared" si="7"/>
        <v>0</v>
      </c>
      <c r="J134" s="8">
        <f t="shared" si="5"/>
        <v>0</v>
      </c>
      <c r="K134" s="72">
        <f t="shared" si="6"/>
        <v>-54061.116700201193</v>
      </c>
    </row>
    <row r="135" spans="1:11" x14ac:dyDescent="0.25">
      <c r="A135" s="38">
        <f>Données!A132</f>
        <v>5629</v>
      </c>
      <c r="B135" s="169" t="str">
        <f>Données!B132</f>
        <v>Clarmont</v>
      </c>
      <c r="C135" s="8">
        <f>Données!Z132</f>
        <v>218</v>
      </c>
      <c r="D135" s="8">
        <f t="shared" si="8"/>
        <v>218</v>
      </c>
      <c r="E135" s="224">
        <f t="shared" si="7"/>
        <v>0</v>
      </c>
      <c r="F135" s="8">
        <f t="shared" si="7"/>
        <v>0</v>
      </c>
      <c r="G135" s="224">
        <f t="shared" si="7"/>
        <v>0</v>
      </c>
      <c r="H135" s="31">
        <f t="shared" si="7"/>
        <v>0</v>
      </c>
      <c r="I135" s="8">
        <f t="shared" si="7"/>
        <v>0</v>
      </c>
      <c r="J135" s="8">
        <f t="shared" si="5"/>
        <v>0</v>
      </c>
      <c r="K135" s="72">
        <f t="shared" si="6"/>
        <v>-28127.263581488929</v>
      </c>
    </row>
    <row r="136" spans="1:11" x14ac:dyDescent="0.25">
      <c r="A136" s="38">
        <f>Données!A133</f>
        <v>5631</v>
      </c>
      <c r="B136" s="169" t="str">
        <f>Données!B133</f>
        <v>Denens</v>
      </c>
      <c r="C136" s="8">
        <f>Données!Z133</f>
        <v>716</v>
      </c>
      <c r="D136" s="8">
        <f t="shared" si="8"/>
        <v>716</v>
      </c>
      <c r="E136" s="224">
        <f t="shared" si="7"/>
        <v>0</v>
      </c>
      <c r="F136" s="8">
        <f t="shared" si="7"/>
        <v>0</v>
      </c>
      <c r="G136" s="224">
        <f t="shared" si="7"/>
        <v>0</v>
      </c>
      <c r="H136" s="31">
        <f t="shared" si="7"/>
        <v>0</v>
      </c>
      <c r="I136" s="8">
        <f t="shared" si="7"/>
        <v>0</v>
      </c>
      <c r="J136" s="8">
        <f t="shared" si="5"/>
        <v>0</v>
      </c>
      <c r="K136" s="72">
        <f t="shared" si="6"/>
        <v>-92381.287726358132</v>
      </c>
    </row>
    <row r="137" spans="1:11" x14ac:dyDescent="0.25">
      <c r="A137" s="38">
        <f>Données!A134</f>
        <v>5632</v>
      </c>
      <c r="B137" s="169" t="str">
        <f>Données!B134</f>
        <v>Denges</v>
      </c>
      <c r="C137" s="8">
        <f>Données!Z134</f>
        <v>1777</v>
      </c>
      <c r="D137" s="8">
        <f t="shared" si="8"/>
        <v>1000</v>
      </c>
      <c r="E137" s="224">
        <f t="shared" si="7"/>
        <v>777</v>
      </c>
      <c r="F137" s="8">
        <f t="shared" si="7"/>
        <v>0</v>
      </c>
      <c r="G137" s="224">
        <f t="shared" si="7"/>
        <v>0</v>
      </c>
      <c r="H137" s="31">
        <f t="shared" si="7"/>
        <v>0</v>
      </c>
      <c r="I137" s="8">
        <f t="shared" si="7"/>
        <v>0</v>
      </c>
      <c r="J137" s="8">
        <f t="shared" si="5"/>
        <v>0</v>
      </c>
      <c r="K137" s="72">
        <f t="shared" si="6"/>
        <v>-409729.07444668002</v>
      </c>
    </row>
    <row r="138" spans="1:11" x14ac:dyDescent="0.25">
      <c r="A138" s="38">
        <f>Données!A135</f>
        <v>5633</v>
      </c>
      <c r="B138" s="169" t="str">
        <f>Données!B135</f>
        <v>Echandens</v>
      </c>
      <c r="C138" s="8">
        <f>Données!Z135</f>
        <v>2891</v>
      </c>
      <c r="D138" s="8">
        <f t="shared" si="8"/>
        <v>1000</v>
      </c>
      <c r="E138" s="224">
        <f t="shared" si="7"/>
        <v>1891</v>
      </c>
      <c r="F138" s="8">
        <f t="shared" si="7"/>
        <v>0</v>
      </c>
      <c r="G138" s="224">
        <f t="shared" si="7"/>
        <v>0</v>
      </c>
      <c r="H138" s="31">
        <f t="shared" si="7"/>
        <v>0</v>
      </c>
      <c r="I138" s="8">
        <f t="shared" si="7"/>
        <v>0</v>
      </c>
      <c r="J138" s="8">
        <f t="shared" ref="J138:J201" si="9">IF(C138&gt;$J$5,C138-$J$5,0)</f>
        <v>0</v>
      </c>
      <c r="K138" s="72">
        <f t="shared" ref="K138:K201" si="10">-((D138*D$8)+(E138*E$8)+(F138*F$8)+(G138*G$8)+(H138*H$8)+(I138*I$8)+(J138*J$8))</f>
        <v>-812181.18712273636</v>
      </c>
    </row>
    <row r="139" spans="1:11" x14ac:dyDescent="0.25">
      <c r="A139" s="38">
        <f>Données!A136</f>
        <v>5634</v>
      </c>
      <c r="B139" s="169" t="str">
        <f>Données!B136</f>
        <v>Echichens</v>
      </c>
      <c r="C139" s="8">
        <f>Données!Z136</f>
        <v>3214</v>
      </c>
      <c r="D139" s="8">
        <f t="shared" si="8"/>
        <v>1000</v>
      </c>
      <c r="E139" s="224">
        <f t="shared" si="7"/>
        <v>2000</v>
      </c>
      <c r="F139" s="8">
        <f t="shared" si="7"/>
        <v>214</v>
      </c>
      <c r="G139" s="224">
        <f t="shared" si="7"/>
        <v>0</v>
      </c>
      <c r="H139" s="31">
        <f t="shared" si="7"/>
        <v>0</v>
      </c>
      <c r="I139" s="8">
        <f t="shared" si="7"/>
        <v>0</v>
      </c>
      <c r="J139" s="8">
        <f t="shared" si="9"/>
        <v>0</v>
      </c>
      <c r="K139" s="72">
        <f t="shared" si="10"/>
        <v>-962004.02414486906</v>
      </c>
    </row>
    <row r="140" spans="1:11" x14ac:dyDescent="0.25">
      <c r="A140" s="38">
        <f>Données!A137</f>
        <v>5635</v>
      </c>
      <c r="B140" s="169" t="str">
        <f>Données!B137</f>
        <v>Ecublens</v>
      </c>
      <c r="C140" s="8">
        <f>Données!Z137</f>
        <v>13142</v>
      </c>
      <c r="D140" s="8">
        <f t="shared" si="8"/>
        <v>1000</v>
      </c>
      <c r="E140" s="224">
        <f t="shared" si="7"/>
        <v>2000</v>
      </c>
      <c r="F140" s="8">
        <f t="shared" si="7"/>
        <v>2000</v>
      </c>
      <c r="G140" s="224">
        <f t="shared" si="7"/>
        <v>4000</v>
      </c>
      <c r="H140" s="31">
        <f t="shared" si="7"/>
        <v>3000</v>
      </c>
      <c r="I140" s="8">
        <f t="shared" si="7"/>
        <v>1142</v>
      </c>
      <c r="J140" s="8">
        <f t="shared" si="9"/>
        <v>0</v>
      </c>
      <c r="K140" s="72">
        <f t="shared" si="10"/>
        <v>-8171873.2394366181</v>
      </c>
    </row>
    <row r="141" spans="1:11" x14ac:dyDescent="0.25">
      <c r="A141" s="38">
        <f>Données!A138</f>
        <v>5636</v>
      </c>
      <c r="B141" s="169" t="str">
        <f>Données!B138</f>
        <v>Etoy</v>
      </c>
      <c r="C141" s="8">
        <f>Données!Z138</f>
        <v>2941</v>
      </c>
      <c r="D141" s="8">
        <f t="shared" si="8"/>
        <v>1000</v>
      </c>
      <c r="E141" s="224">
        <f t="shared" si="7"/>
        <v>1941</v>
      </c>
      <c r="F141" s="8">
        <f t="shared" si="7"/>
        <v>0</v>
      </c>
      <c r="G141" s="224">
        <f t="shared" si="7"/>
        <v>0</v>
      </c>
      <c r="H141" s="31">
        <f t="shared" si="7"/>
        <v>0</v>
      </c>
      <c r="I141" s="8">
        <f t="shared" si="7"/>
        <v>0</v>
      </c>
      <c r="J141" s="8">
        <f t="shared" si="9"/>
        <v>0</v>
      </c>
      <c r="K141" s="72">
        <f t="shared" si="10"/>
        <v>-830244.5674044264</v>
      </c>
    </row>
    <row r="142" spans="1:11" x14ac:dyDescent="0.25">
      <c r="A142" s="38">
        <f>Données!A139</f>
        <v>5637</v>
      </c>
      <c r="B142" s="169" t="str">
        <f>Données!B139</f>
        <v>Lavigny</v>
      </c>
      <c r="C142" s="8">
        <f>Données!Z139</f>
        <v>1038</v>
      </c>
      <c r="D142" s="8">
        <f t="shared" si="8"/>
        <v>1000</v>
      </c>
      <c r="E142" s="224">
        <f t="shared" si="7"/>
        <v>38</v>
      </c>
      <c r="F142" s="8">
        <f t="shared" si="7"/>
        <v>0</v>
      </c>
      <c r="G142" s="224">
        <f t="shared" si="7"/>
        <v>0</v>
      </c>
      <c r="H142" s="31">
        <f t="shared" si="7"/>
        <v>0</v>
      </c>
      <c r="I142" s="8">
        <f t="shared" si="7"/>
        <v>0</v>
      </c>
      <c r="J142" s="8">
        <f t="shared" si="9"/>
        <v>0</v>
      </c>
      <c r="K142" s="72">
        <f t="shared" si="10"/>
        <v>-142752.31388329976</v>
      </c>
    </row>
    <row r="143" spans="1:11" x14ac:dyDescent="0.25">
      <c r="A143" s="38">
        <f>Données!A140</f>
        <v>5638</v>
      </c>
      <c r="B143" s="169" t="str">
        <f>Données!B140</f>
        <v>Lonay</v>
      </c>
      <c r="C143" s="8">
        <f>Données!Z140</f>
        <v>2677</v>
      </c>
      <c r="D143" s="8">
        <f t="shared" si="8"/>
        <v>1000</v>
      </c>
      <c r="E143" s="224">
        <f t="shared" si="7"/>
        <v>1677</v>
      </c>
      <c r="F143" s="8">
        <f t="shared" si="7"/>
        <v>0</v>
      </c>
      <c r="G143" s="224">
        <f t="shared" si="7"/>
        <v>0</v>
      </c>
      <c r="H143" s="31">
        <f t="shared" si="7"/>
        <v>0</v>
      </c>
      <c r="I143" s="8">
        <f t="shared" si="7"/>
        <v>0</v>
      </c>
      <c r="J143" s="8">
        <f t="shared" si="9"/>
        <v>0</v>
      </c>
      <c r="K143" s="72">
        <f t="shared" si="10"/>
        <v>-734869.91951710242</v>
      </c>
    </row>
    <row r="144" spans="1:11" x14ac:dyDescent="0.25">
      <c r="A144" s="38">
        <f>Données!A141</f>
        <v>5639</v>
      </c>
      <c r="B144" s="169" t="str">
        <f>Données!B141</f>
        <v>Lully</v>
      </c>
      <c r="C144" s="8">
        <f>Données!Z141</f>
        <v>827</v>
      </c>
      <c r="D144" s="8">
        <f t="shared" si="8"/>
        <v>827</v>
      </c>
      <c r="E144" s="224">
        <f t="shared" si="7"/>
        <v>0</v>
      </c>
      <c r="F144" s="8">
        <f t="shared" si="7"/>
        <v>0</v>
      </c>
      <c r="G144" s="224">
        <f t="shared" si="7"/>
        <v>0</v>
      </c>
      <c r="H144" s="31">
        <f t="shared" si="7"/>
        <v>0</v>
      </c>
      <c r="I144" s="8">
        <f t="shared" si="7"/>
        <v>0</v>
      </c>
      <c r="J144" s="8">
        <f t="shared" si="9"/>
        <v>0</v>
      </c>
      <c r="K144" s="72">
        <f t="shared" si="10"/>
        <v>-106702.96780684103</v>
      </c>
    </row>
    <row r="145" spans="1:11" x14ac:dyDescent="0.25">
      <c r="A145" s="38">
        <f>Données!A142</f>
        <v>5640</v>
      </c>
      <c r="B145" s="169" t="str">
        <f>Données!B142</f>
        <v>Lussy-sur-Morges</v>
      </c>
      <c r="C145" s="8">
        <f>Données!Z142</f>
        <v>730</v>
      </c>
      <c r="D145" s="8">
        <f t="shared" si="8"/>
        <v>730</v>
      </c>
      <c r="E145" s="224">
        <f t="shared" si="7"/>
        <v>0</v>
      </c>
      <c r="F145" s="8">
        <f t="shared" si="7"/>
        <v>0</v>
      </c>
      <c r="G145" s="224">
        <f t="shared" si="7"/>
        <v>0</v>
      </c>
      <c r="H145" s="31">
        <f t="shared" si="7"/>
        <v>0</v>
      </c>
      <c r="I145" s="8">
        <f t="shared" si="7"/>
        <v>0</v>
      </c>
      <c r="J145" s="8">
        <f t="shared" si="9"/>
        <v>0</v>
      </c>
      <c r="K145" s="72">
        <f t="shared" si="10"/>
        <v>-94187.625754527136</v>
      </c>
    </row>
    <row r="146" spans="1:11" x14ac:dyDescent="0.25">
      <c r="A146" s="38">
        <f>Données!A143</f>
        <v>5642</v>
      </c>
      <c r="B146" s="169" t="str">
        <f>Données!B143</f>
        <v>Morges</v>
      </c>
      <c r="C146" s="8">
        <f>Données!Z143</f>
        <v>17535</v>
      </c>
      <c r="D146" s="8">
        <f t="shared" si="8"/>
        <v>1000</v>
      </c>
      <c r="E146" s="224">
        <f t="shared" si="7"/>
        <v>2000</v>
      </c>
      <c r="F146" s="8">
        <f t="shared" si="7"/>
        <v>2000</v>
      </c>
      <c r="G146" s="224">
        <f t="shared" si="7"/>
        <v>4000</v>
      </c>
      <c r="H146" s="31">
        <f t="shared" si="7"/>
        <v>3000</v>
      </c>
      <c r="I146" s="8">
        <f t="shared" si="7"/>
        <v>3000</v>
      </c>
      <c r="J146" s="8">
        <f t="shared" si="9"/>
        <v>2535</v>
      </c>
      <c r="K146" s="72">
        <f t="shared" si="10"/>
        <v>-12837128.269617703</v>
      </c>
    </row>
    <row r="147" spans="1:11" x14ac:dyDescent="0.25">
      <c r="A147" s="38">
        <f>Données!A144</f>
        <v>5643</v>
      </c>
      <c r="B147" s="169" t="str">
        <f>Données!B144</f>
        <v>Préverenges</v>
      </c>
      <c r="C147" s="8">
        <f>Données!Z144</f>
        <v>5218</v>
      </c>
      <c r="D147" s="8">
        <f t="shared" si="8"/>
        <v>1000</v>
      </c>
      <c r="E147" s="224">
        <f t="shared" si="7"/>
        <v>2000</v>
      </c>
      <c r="F147" s="8">
        <f t="shared" si="7"/>
        <v>2000</v>
      </c>
      <c r="G147" s="224">
        <f t="shared" si="7"/>
        <v>218</v>
      </c>
      <c r="H147" s="31">
        <f t="shared" si="7"/>
        <v>0</v>
      </c>
      <c r="I147" s="8">
        <f t="shared" si="7"/>
        <v>0</v>
      </c>
      <c r="J147" s="8">
        <f t="shared" si="9"/>
        <v>0</v>
      </c>
      <c r="K147" s="72">
        <f t="shared" si="10"/>
        <v>-2018763.3802816896</v>
      </c>
    </row>
    <row r="148" spans="1:11" x14ac:dyDescent="0.25">
      <c r="A148" s="38">
        <f>Données!A145</f>
        <v>5645</v>
      </c>
      <c r="B148" s="169" t="str">
        <f>Données!B145</f>
        <v>Romanel-sur-Morges</v>
      </c>
      <c r="C148" s="8">
        <f>Données!Z145</f>
        <v>458</v>
      </c>
      <c r="D148" s="8">
        <f t="shared" si="8"/>
        <v>458</v>
      </c>
      <c r="E148" s="224">
        <f t="shared" si="7"/>
        <v>0</v>
      </c>
      <c r="F148" s="8">
        <f t="shared" si="7"/>
        <v>0</v>
      </c>
      <c r="G148" s="224">
        <f t="shared" si="7"/>
        <v>0</v>
      </c>
      <c r="H148" s="31">
        <f t="shared" si="7"/>
        <v>0</v>
      </c>
      <c r="I148" s="8">
        <f t="shared" si="7"/>
        <v>0</v>
      </c>
      <c r="J148" s="8">
        <f t="shared" si="9"/>
        <v>0</v>
      </c>
      <c r="K148" s="72">
        <f t="shared" si="10"/>
        <v>-59093.058350100589</v>
      </c>
    </row>
    <row r="149" spans="1:11" x14ac:dyDescent="0.25">
      <c r="A149" s="38">
        <f>Données!A146</f>
        <v>5646</v>
      </c>
      <c r="B149" s="169" t="str">
        <f>Données!B146</f>
        <v>Saint-Prex</v>
      </c>
      <c r="C149" s="8">
        <f>Données!Z146</f>
        <v>5877</v>
      </c>
      <c r="D149" s="8">
        <f t="shared" si="8"/>
        <v>1000</v>
      </c>
      <c r="E149" s="224">
        <f t="shared" si="7"/>
        <v>2000</v>
      </c>
      <c r="F149" s="8">
        <f t="shared" si="7"/>
        <v>2000</v>
      </c>
      <c r="G149" s="224">
        <f t="shared" si="7"/>
        <v>877</v>
      </c>
      <c r="H149" s="31">
        <f t="shared" si="7"/>
        <v>0</v>
      </c>
      <c r="I149" s="8">
        <f t="shared" si="7"/>
        <v>0</v>
      </c>
      <c r="J149" s="8">
        <f t="shared" si="9"/>
        <v>0</v>
      </c>
      <c r="K149" s="72">
        <f t="shared" si="10"/>
        <v>-2426892.5553319915</v>
      </c>
    </row>
    <row r="150" spans="1:11" x14ac:dyDescent="0.25">
      <c r="A150" s="38">
        <f>Données!A147</f>
        <v>5648</v>
      </c>
      <c r="B150" s="169" t="str">
        <f>Données!B147</f>
        <v>Saint-Sulpice</v>
      </c>
      <c r="C150" s="8">
        <f>Données!Z147</f>
        <v>5043</v>
      </c>
      <c r="D150" s="8">
        <f t="shared" si="8"/>
        <v>1000</v>
      </c>
      <c r="E150" s="224">
        <f t="shared" si="7"/>
        <v>2000</v>
      </c>
      <c r="F150" s="8">
        <f t="shared" si="7"/>
        <v>2000</v>
      </c>
      <c r="G150" s="224">
        <f t="shared" si="7"/>
        <v>43</v>
      </c>
      <c r="H150" s="31">
        <f t="shared" si="7"/>
        <v>0</v>
      </c>
      <c r="I150" s="8">
        <f t="shared" si="7"/>
        <v>0</v>
      </c>
      <c r="J150" s="8">
        <f t="shared" si="9"/>
        <v>0</v>
      </c>
      <c r="K150" s="72">
        <f t="shared" si="10"/>
        <v>-1910383.0985915489</v>
      </c>
    </row>
    <row r="151" spans="1:11" x14ac:dyDescent="0.25">
      <c r="A151" s="38">
        <f>Données!A148</f>
        <v>5649</v>
      </c>
      <c r="B151" s="169" t="str">
        <f>Données!B148</f>
        <v>Tolochenaz</v>
      </c>
      <c r="C151" s="8">
        <f>Données!Z148</f>
        <v>1890</v>
      </c>
      <c r="D151" s="8">
        <f t="shared" si="8"/>
        <v>1000</v>
      </c>
      <c r="E151" s="224">
        <f t="shared" si="7"/>
        <v>890</v>
      </c>
      <c r="F151" s="8">
        <f t="shared" si="7"/>
        <v>0</v>
      </c>
      <c r="G151" s="224">
        <f t="shared" si="7"/>
        <v>0</v>
      </c>
      <c r="H151" s="31">
        <f t="shared" si="7"/>
        <v>0</v>
      </c>
      <c r="I151" s="8">
        <f t="shared" si="7"/>
        <v>0</v>
      </c>
      <c r="J151" s="8">
        <f t="shared" si="9"/>
        <v>0</v>
      </c>
      <c r="K151" s="72">
        <f t="shared" si="10"/>
        <v>-450552.31388329971</v>
      </c>
    </row>
    <row r="152" spans="1:11" x14ac:dyDescent="0.25">
      <c r="A152" s="38">
        <f>Données!A149</f>
        <v>5650</v>
      </c>
      <c r="B152" s="169" t="str">
        <f>Données!B149</f>
        <v>Vaux-sur-Morges</v>
      </c>
      <c r="C152" s="8">
        <f>Données!Z149</f>
        <v>187</v>
      </c>
      <c r="D152" s="8">
        <f t="shared" si="8"/>
        <v>187</v>
      </c>
      <c r="E152" s="224">
        <f t="shared" si="7"/>
        <v>0</v>
      </c>
      <c r="F152" s="8">
        <f t="shared" si="7"/>
        <v>0</v>
      </c>
      <c r="G152" s="224">
        <f t="shared" si="7"/>
        <v>0</v>
      </c>
      <c r="H152" s="31">
        <f t="shared" si="7"/>
        <v>0</v>
      </c>
      <c r="I152" s="8">
        <f t="shared" si="7"/>
        <v>0</v>
      </c>
      <c r="J152" s="8">
        <f t="shared" si="9"/>
        <v>0</v>
      </c>
      <c r="K152" s="72">
        <f t="shared" si="10"/>
        <v>-24127.515090543253</v>
      </c>
    </row>
    <row r="153" spans="1:11" x14ac:dyDescent="0.25">
      <c r="A153" s="38">
        <f>Données!A150</f>
        <v>5651</v>
      </c>
      <c r="B153" s="169" t="str">
        <f>Données!B150</f>
        <v>Villars-Sainte-Croix</v>
      </c>
      <c r="C153" s="8">
        <f>Données!Z150</f>
        <v>978</v>
      </c>
      <c r="D153" s="8">
        <f t="shared" si="8"/>
        <v>978</v>
      </c>
      <c r="E153" s="224">
        <f t="shared" si="7"/>
        <v>0</v>
      </c>
      <c r="F153" s="8">
        <f t="shared" si="7"/>
        <v>0</v>
      </c>
      <c r="G153" s="224">
        <f t="shared" si="7"/>
        <v>0</v>
      </c>
      <c r="H153" s="31">
        <f t="shared" si="7"/>
        <v>0</v>
      </c>
      <c r="I153" s="8">
        <f t="shared" si="7"/>
        <v>0</v>
      </c>
      <c r="J153" s="8">
        <f t="shared" si="9"/>
        <v>0</v>
      </c>
      <c r="K153" s="72">
        <f t="shared" si="10"/>
        <v>-126185.61368209253</v>
      </c>
    </row>
    <row r="154" spans="1:11" x14ac:dyDescent="0.25">
      <c r="A154" s="38">
        <f>Données!A151</f>
        <v>5652</v>
      </c>
      <c r="B154" s="169" t="str">
        <f>Données!B151</f>
        <v>Villars-sous-Yens</v>
      </c>
      <c r="C154" s="8">
        <f>Données!Z151</f>
        <v>615</v>
      </c>
      <c r="D154" s="8">
        <f t="shared" si="8"/>
        <v>615</v>
      </c>
      <c r="E154" s="224">
        <f t="shared" si="7"/>
        <v>0</v>
      </c>
      <c r="F154" s="8">
        <f t="shared" si="7"/>
        <v>0</v>
      </c>
      <c r="G154" s="224">
        <f t="shared" si="7"/>
        <v>0</v>
      </c>
      <c r="H154" s="31">
        <f t="shared" si="7"/>
        <v>0</v>
      </c>
      <c r="I154" s="8">
        <f t="shared" si="7"/>
        <v>0</v>
      </c>
      <c r="J154" s="8">
        <f t="shared" si="9"/>
        <v>0</v>
      </c>
      <c r="K154" s="72">
        <f t="shared" si="10"/>
        <v>-79349.849094567384</v>
      </c>
    </row>
    <row r="155" spans="1:11" x14ac:dyDescent="0.25">
      <c r="A155" s="38">
        <f>Données!A152</f>
        <v>5653</v>
      </c>
      <c r="B155" s="169" t="str">
        <f>Données!B152</f>
        <v>Vufflens-le-Château</v>
      </c>
      <c r="C155" s="8">
        <f>Données!Z152</f>
        <v>886</v>
      </c>
      <c r="D155" s="8">
        <f t="shared" si="8"/>
        <v>886</v>
      </c>
      <c r="E155" s="224">
        <f t="shared" si="7"/>
        <v>0</v>
      </c>
      <c r="F155" s="8">
        <f t="shared" si="7"/>
        <v>0</v>
      </c>
      <c r="G155" s="224">
        <f t="shared" si="7"/>
        <v>0</v>
      </c>
      <c r="H155" s="31">
        <f t="shared" si="7"/>
        <v>0</v>
      </c>
      <c r="I155" s="8">
        <f t="shared" si="7"/>
        <v>0</v>
      </c>
      <c r="J155" s="8">
        <f t="shared" si="9"/>
        <v>0</v>
      </c>
      <c r="K155" s="72">
        <f t="shared" si="10"/>
        <v>-114315.39235412472</v>
      </c>
    </row>
    <row r="156" spans="1:11" x14ac:dyDescent="0.25">
      <c r="A156" s="38">
        <f>Données!A153</f>
        <v>5654</v>
      </c>
      <c r="B156" s="169" t="str">
        <f>Données!B153</f>
        <v>Vullierens</v>
      </c>
      <c r="C156" s="8">
        <f>Données!Z153</f>
        <v>563</v>
      </c>
      <c r="D156" s="8">
        <f t="shared" si="8"/>
        <v>563</v>
      </c>
      <c r="E156" s="224">
        <f t="shared" si="7"/>
        <v>0</v>
      </c>
      <c r="F156" s="8">
        <f t="shared" si="7"/>
        <v>0</v>
      </c>
      <c r="G156" s="224">
        <f t="shared" si="7"/>
        <v>0</v>
      </c>
      <c r="H156" s="31">
        <f t="shared" si="7"/>
        <v>0</v>
      </c>
      <c r="I156" s="8">
        <f t="shared" si="7"/>
        <v>0</v>
      </c>
      <c r="J156" s="8">
        <f t="shared" si="9"/>
        <v>0</v>
      </c>
      <c r="K156" s="72">
        <f t="shared" si="10"/>
        <v>-72640.593561368194</v>
      </c>
    </row>
    <row r="157" spans="1:11" x14ac:dyDescent="0.25">
      <c r="A157" s="38">
        <f>Données!A154</f>
        <v>5655</v>
      </c>
      <c r="B157" s="169" t="str">
        <f>Données!B154</f>
        <v>Yens</v>
      </c>
      <c r="C157" s="8">
        <f>Données!Z154</f>
        <v>1517</v>
      </c>
      <c r="D157" s="8">
        <f t="shared" si="8"/>
        <v>1000</v>
      </c>
      <c r="E157" s="224">
        <f t="shared" si="7"/>
        <v>517</v>
      </c>
      <c r="F157" s="8">
        <f t="shared" si="7"/>
        <v>0</v>
      </c>
      <c r="G157" s="224">
        <f t="shared" si="7"/>
        <v>0</v>
      </c>
      <c r="H157" s="31">
        <f t="shared" si="7"/>
        <v>0</v>
      </c>
      <c r="I157" s="8">
        <f t="shared" si="7"/>
        <v>0</v>
      </c>
      <c r="J157" s="8">
        <f t="shared" si="9"/>
        <v>0</v>
      </c>
      <c r="K157" s="72">
        <f t="shared" si="10"/>
        <v>-315799.49698189128</v>
      </c>
    </row>
    <row r="158" spans="1:11" x14ac:dyDescent="0.25">
      <c r="A158" s="38">
        <f>Données!A155</f>
        <v>5656</v>
      </c>
      <c r="B158" s="169" t="str">
        <f>Données!B155</f>
        <v>Hautemorges</v>
      </c>
      <c r="C158" s="8">
        <f>Données!Z155</f>
        <v>4263</v>
      </c>
      <c r="D158" s="8">
        <f t="shared" si="8"/>
        <v>1000</v>
      </c>
      <c r="E158" s="224">
        <f t="shared" si="7"/>
        <v>2000</v>
      </c>
      <c r="F158" s="8">
        <f t="shared" si="7"/>
        <v>1263</v>
      </c>
      <c r="G158" s="224">
        <f t="shared" ref="E158:I209" si="11">IF($C158&gt;G$5,IF($C158&lt;G$6,$C158-G$5,G$6-G$5),0)</f>
        <v>0</v>
      </c>
      <c r="H158" s="31">
        <f t="shared" si="11"/>
        <v>0</v>
      </c>
      <c r="I158" s="8">
        <f t="shared" si="11"/>
        <v>0</v>
      </c>
      <c r="J158" s="8">
        <f t="shared" si="9"/>
        <v>0</v>
      </c>
      <c r="K158" s="72">
        <f t="shared" si="10"/>
        <v>-1503389.3360160962</v>
      </c>
    </row>
    <row r="159" spans="1:11" x14ac:dyDescent="0.25">
      <c r="A159" s="38">
        <f>Données!A156</f>
        <v>5661</v>
      </c>
      <c r="B159" s="169" t="str">
        <f>Données!B156</f>
        <v>Boulens</v>
      </c>
      <c r="C159" s="8">
        <f>Données!Z156</f>
        <v>383</v>
      </c>
      <c r="D159" s="8">
        <f t="shared" si="8"/>
        <v>383</v>
      </c>
      <c r="E159" s="224">
        <f t="shared" si="11"/>
        <v>0</v>
      </c>
      <c r="F159" s="8">
        <f t="shared" si="11"/>
        <v>0</v>
      </c>
      <c r="G159" s="224">
        <f t="shared" si="11"/>
        <v>0</v>
      </c>
      <c r="H159" s="31">
        <f t="shared" si="11"/>
        <v>0</v>
      </c>
      <c r="I159" s="8">
        <f t="shared" si="11"/>
        <v>0</v>
      </c>
      <c r="J159" s="8">
        <f t="shared" si="9"/>
        <v>0</v>
      </c>
      <c r="K159" s="72">
        <f t="shared" si="10"/>
        <v>-49416.247484909443</v>
      </c>
    </row>
    <row r="160" spans="1:11" x14ac:dyDescent="0.25">
      <c r="A160" s="38">
        <f>Données!A157</f>
        <v>5663</v>
      </c>
      <c r="B160" s="169" t="str">
        <f>Données!B157</f>
        <v>Bussy-sur-Moudon</v>
      </c>
      <c r="C160" s="8">
        <f>Données!Z157</f>
        <v>246</v>
      </c>
      <c r="D160" s="8">
        <f t="shared" si="8"/>
        <v>246</v>
      </c>
      <c r="E160" s="224">
        <f t="shared" si="11"/>
        <v>0</v>
      </c>
      <c r="F160" s="8">
        <f t="shared" si="11"/>
        <v>0</v>
      </c>
      <c r="G160" s="224">
        <f t="shared" si="11"/>
        <v>0</v>
      </c>
      <c r="H160" s="31">
        <f t="shared" si="11"/>
        <v>0</v>
      </c>
      <c r="I160" s="8">
        <f t="shared" si="11"/>
        <v>0</v>
      </c>
      <c r="J160" s="8">
        <f t="shared" si="9"/>
        <v>0</v>
      </c>
      <c r="K160" s="72">
        <f t="shared" si="10"/>
        <v>-31739.939637826956</v>
      </c>
    </row>
    <row r="161" spans="1:11" x14ac:dyDescent="0.25">
      <c r="A161" s="38">
        <f>Données!A158</f>
        <v>5665</v>
      </c>
      <c r="B161" s="169" t="str">
        <f>Données!B158</f>
        <v>Chavannes-sur-Moudon</v>
      </c>
      <c r="C161" s="8">
        <f>Données!Z158</f>
        <v>218</v>
      </c>
      <c r="D161" s="8">
        <f t="shared" si="8"/>
        <v>218</v>
      </c>
      <c r="E161" s="224">
        <f t="shared" si="11"/>
        <v>0</v>
      </c>
      <c r="F161" s="8">
        <f t="shared" si="11"/>
        <v>0</v>
      </c>
      <c r="G161" s="224">
        <f t="shared" si="11"/>
        <v>0</v>
      </c>
      <c r="H161" s="31">
        <f t="shared" si="11"/>
        <v>0</v>
      </c>
      <c r="I161" s="8">
        <f t="shared" si="11"/>
        <v>0</v>
      </c>
      <c r="J161" s="8">
        <f t="shared" si="9"/>
        <v>0</v>
      </c>
      <c r="K161" s="72">
        <f t="shared" si="10"/>
        <v>-28127.263581488929</v>
      </c>
    </row>
    <row r="162" spans="1:11" x14ac:dyDescent="0.25">
      <c r="A162" s="38">
        <f>Données!A159</f>
        <v>5669</v>
      </c>
      <c r="B162" s="169" t="str">
        <f>Données!B159</f>
        <v>Curtilles</v>
      </c>
      <c r="C162" s="8">
        <f>Données!Z159</f>
        <v>294</v>
      </c>
      <c r="D162" s="8">
        <f t="shared" si="8"/>
        <v>294</v>
      </c>
      <c r="E162" s="224">
        <f t="shared" si="11"/>
        <v>0</v>
      </c>
      <c r="F162" s="8">
        <f t="shared" si="11"/>
        <v>0</v>
      </c>
      <c r="G162" s="224">
        <f t="shared" si="11"/>
        <v>0</v>
      </c>
      <c r="H162" s="31">
        <f t="shared" si="11"/>
        <v>0</v>
      </c>
      <c r="I162" s="8">
        <f t="shared" si="11"/>
        <v>0</v>
      </c>
      <c r="J162" s="8">
        <f t="shared" si="9"/>
        <v>0</v>
      </c>
      <c r="K162" s="72">
        <f t="shared" si="10"/>
        <v>-37933.098591549286</v>
      </c>
    </row>
    <row r="163" spans="1:11" x14ac:dyDescent="0.25">
      <c r="A163" s="38">
        <f>Données!A160</f>
        <v>5671</v>
      </c>
      <c r="B163" s="169" t="str">
        <f>Données!B160</f>
        <v>Dompierre</v>
      </c>
      <c r="C163" s="8">
        <f>Données!Z160</f>
        <v>248</v>
      </c>
      <c r="D163" s="8">
        <f t="shared" si="8"/>
        <v>248</v>
      </c>
      <c r="E163" s="224">
        <f t="shared" si="11"/>
        <v>0</v>
      </c>
      <c r="F163" s="8">
        <f t="shared" si="11"/>
        <v>0</v>
      </c>
      <c r="G163" s="224">
        <f t="shared" si="11"/>
        <v>0</v>
      </c>
      <c r="H163" s="31">
        <f t="shared" si="11"/>
        <v>0</v>
      </c>
      <c r="I163" s="8">
        <f t="shared" si="11"/>
        <v>0</v>
      </c>
      <c r="J163" s="8">
        <f t="shared" si="9"/>
        <v>0</v>
      </c>
      <c r="K163" s="72">
        <f t="shared" si="10"/>
        <v>-31997.987927565384</v>
      </c>
    </row>
    <row r="164" spans="1:11" x14ac:dyDescent="0.25">
      <c r="A164" s="38">
        <f>Données!A161</f>
        <v>5673</v>
      </c>
      <c r="B164" s="169" t="str">
        <f>Données!B161</f>
        <v>Hermenches</v>
      </c>
      <c r="C164" s="8">
        <f>Données!Z161</f>
        <v>374</v>
      </c>
      <c r="D164" s="8">
        <f t="shared" si="8"/>
        <v>374</v>
      </c>
      <c r="E164" s="224">
        <f t="shared" si="11"/>
        <v>0</v>
      </c>
      <c r="F164" s="8">
        <f t="shared" si="11"/>
        <v>0</v>
      </c>
      <c r="G164" s="224">
        <f t="shared" si="11"/>
        <v>0</v>
      </c>
      <c r="H164" s="31">
        <f t="shared" si="11"/>
        <v>0</v>
      </c>
      <c r="I164" s="8">
        <f t="shared" si="11"/>
        <v>0</v>
      </c>
      <c r="J164" s="8">
        <f t="shared" si="9"/>
        <v>0</v>
      </c>
      <c r="K164" s="72">
        <f t="shared" si="10"/>
        <v>-48255.030181086506</v>
      </c>
    </row>
    <row r="165" spans="1:11" x14ac:dyDescent="0.25">
      <c r="A165" s="38">
        <f>Données!A162</f>
        <v>5674</v>
      </c>
      <c r="B165" s="169" t="str">
        <f>Données!B162</f>
        <v>Lovatens</v>
      </c>
      <c r="C165" s="8">
        <f>Données!Z162</f>
        <v>143</v>
      </c>
      <c r="D165" s="8">
        <f t="shared" si="8"/>
        <v>143</v>
      </c>
      <c r="E165" s="224">
        <f t="shared" si="11"/>
        <v>0</v>
      </c>
      <c r="F165" s="8">
        <f t="shared" si="11"/>
        <v>0</v>
      </c>
      <c r="G165" s="224">
        <f t="shared" si="11"/>
        <v>0</v>
      </c>
      <c r="H165" s="31">
        <f t="shared" si="11"/>
        <v>0</v>
      </c>
      <c r="I165" s="8">
        <f t="shared" si="11"/>
        <v>0</v>
      </c>
      <c r="J165" s="8">
        <f t="shared" si="9"/>
        <v>0</v>
      </c>
      <c r="K165" s="72">
        <f t="shared" si="10"/>
        <v>-18450.452716297783</v>
      </c>
    </row>
    <row r="166" spans="1:11" x14ac:dyDescent="0.25">
      <c r="A166" s="38">
        <f>Données!A163</f>
        <v>5675</v>
      </c>
      <c r="B166" s="169" t="str">
        <f>Données!B163</f>
        <v>Lucens</v>
      </c>
      <c r="C166" s="8">
        <f>Données!Z163</f>
        <v>4429</v>
      </c>
      <c r="D166" s="8">
        <f t="shared" si="8"/>
        <v>1000</v>
      </c>
      <c r="E166" s="224">
        <f t="shared" si="11"/>
        <v>2000</v>
      </c>
      <c r="F166" s="8">
        <f t="shared" si="11"/>
        <v>1429</v>
      </c>
      <c r="G166" s="224">
        <f t="shared" si="11"/>
        <v>0</v>
      </c>
      <c r="H166" s="31">
        <f t="shared" si="11"/>
        <v>0</v>
      </c>
      <c r="I166" s="8">
        <f t="shared" si="11"/>
        <v>0</v>
      </c>
      <c r="J166" s="8">
        <f t="shared" si="9"/>
        <v>0</v>
      </c>
      <c r="K166" s="72">
        <f t="shared" si="10"/>
        <v>-1589061.3682092552</v>
      </c>
    </row>
    <row r="167" spans="1:11" x14ac:dyDescent="0.25">
      <c r="A167" s="38">
        <f>Données!A164</f>
        <v>5678</v>
      </c>
      <c r="B167" s="169" t="str">
        <f>Données!B164</f>
        <v>Moudon</v>
      </c>
      <c r="C167" s="8">
        <f>Données!Z164</f>
        <v>6136</v>
      </c>
      <c r="D167" s="8">
        <f t="shared" si="8"/>
        <v>1000</v>
      </c>
      <c r="E167" s="224">
        <f t="shared" si="11"/>
        <v>2000</v>
      </c>
      <c r="F167" s="8">
        <f t="shared" si="11"/>
        <v>2000</v>
      </c>
      <c r="G167" s="224">
        <f t="shared" si="11"/>
        <v>1136</v>
      </c>
      <c r="H167" s="31">
        <f t="shared" si="11"/>
        <v>0</v>
      </c>
      <c r="I167" s="8">
        <f t="shared" si="11"/>
        <v>0</v>
      </c>
      <c r="J167" s="8">
        <f t="shared" si="9"/>
        <v>0</v>
      </c>
      <c r="K167" s="72">
        <f t="shared" si="10"/>
        <v>-2587295.3722334001</v>
      </c>
    </row>
    <row r="168" spans="1:11" x14ac:dyDescent="0.25">
      <c r="A168" s="38">
        <f>Données!A165</f>
        <v>5680</v>
      </c>
      <c r="B168" s="169" t="str">
        <f>Données!B165</f>
        <v>Ogens</v>
      </c>
      <c r="C168" s="8">
        <f>Données!Z165</f>
        <v>324</v>
      </c>
      <c r="D168" s="8">
        <f t="shared" si="8"/>
        <v>324</v>
      </c>
      <c r="E168" s="224">
        <f t="shared" si="11"/>
        <v>0</v>
      </c>
      <c r="F168" s="8">
        <f t="shared" si="11"/>
        <v>0</v>
      </c>
      <c r="G168" s="224">
        <f t="shared" si="11"/>
        <v>0</v>
      </c>
      <c r="H168" s="31">
        <f t="shared" si="11"/>
        <v>0</v>
      </c>
      <c r="I168" s="8">
        <f t="shared" si="11"/>
        <v>0</v>
      </c>
      <c r="J168" s="8">
        <f t="shared" si="9"/>
        <v>0</v>
      </c>
      <c r="K168" s="72">
        <f t="shared" si="10"/>
        <v>-41803.822937625744</v>
      </c>
    </row>
    <row r="169" spans="1:11" x14ac:dyDescent="0.25">
      <c r="A169" s="38">
        <f>Données!A166</f>
        <v>5683</v>
      </c>
      <c r="B169" s="169" t="str">
        <f>Données!B166</f>
        <v>Prévonloup</v>
      </c>
      <c r="C169" s="8">
        <f>Données!Z166</f>
        <v>220</v>
      </c>
      <c r="D169" s="8">
        <f t="shared" si="8"/>
        <v>220</v>
      </c>
      <c r="E169" s="224">
        <f t="shared" si="11"/>
        <v>0</v>
      </c>
      <c r="F169" s="8">
        <f t="shared" si="11"/>
        <v>0</v>
      </c>
      <c r="G169" s="224">
        <f t="shared" si="11"/>
        <v>0</v>
      </c>
      <c r="H169" s="31">
        <f t="shared" si="11"/>
        <v>0</v>
      </c>
      <c r="I169" s="8">
        <f t="shared" si="11"/>
        <v>0</v>
      </c>
      <c r="J169" s="8">
        <f t="shared" si="9"/>
        <v>0</v>
      </c>
      <c r="K169" s="72">
        <f t="shared" si="10"/>
        <v>-28385.311871227357</v>
      </c>
    </row>
    <row r="170" spans="1:11" x14ac:dyDescent="0.25">
      <c r="A170" s="38">
        <f>Données!A167</f>
        <v>5684</v>
      </c>
      <c r="B170" s="169" t="str">
        <f>Données!B167</f>
        <v>Rossenges</v>
      </c>
      <c r="C170" s="8">
        <f>Données!Z167</f>
        <v>93</v>
      </c>
      <c r="D170" s="8">
        <f t="shared" si="8"/>
        <v>93</v>
      </c>
      <c r="E170" s="224">
        <f t="shared" si="11"/>
        <v>0</v>
      </c>
      <c r="F170" s="8">
        <f t="shared" si="11"/>
        <v>0</v>
      </c>
      <c r="G170" s="224">
        <f t="shared" si="11"/>
        <v>0</v>
      </c>
      <c r="H170" s="31">
        <f t="shared" si="11"/>
        <v>0</v>
      </c>
      <c r="I170" s="8">
        <f t="shared" si="11"/>
        <v>0</v>
      </c>
      <c r="J170" s="8">
        <f t="shared" si="9"/>
        <v>0</v>
      </c>
      <c r="K170" s="72">
        <f t="shared" si="10"/>
        <v>-11999.245472837019</v>
      </c>
    </row>
    <row r="171" spans="1:11" x14ac:dyDescent="0.25">
      <c r="A171" s="38">
        <f>Données!A168</f>
        <v>5688</v>
      </c>
      <c r="B171" s="169" t="str">
        <f>Données!B168</f>
        <v>Syens</v>
      </c>
      <c r="C171" s="8">
        <f>Données!Z168</f>
        <v>164</v>
      </c>
      <c r="D171" s="8">
        <f t="shared" si="8"/>
        <v>164</v>
      </c>
      <c r="E171" s="224">
        <f t="shared" si="11"/>
        <v>0</v>
      </c>
      <c r="F171" s="8">
        <f t="shared" si="11"/>
        <v>0</v>
      </c>
      <c r="G171" s="224">
        <f t="shared" si="11"/>
        <v>0</v>
      </c>
      <c r="H171" s="31">
        <f t="shared" si="11"/>
        <v>0</v>
      </c>
      <c r="I171" s="8">
        <f t="shared" si="11"/>
        <v>0</v>
      </c>
      <c r="J171" s="8">
        <f t="shared" si="9"/>
        <v>0</v>
      </c>
      <c r="K171" s="72">
        <f t="shared" si="10"/>
        <v>-21159.959758551304</v>
      </c>
    </row>
    <row r="172" spans="1:11" x14ac:dyDescent="0.25">
      <c r="A172" s="38">
        <f>Données!A169</f>
        <v>5690</v>
      </c>
      <c r="B172" s="169" t="str">
        <f>Données!B169</f>
        <v>Villars-le-Comte</v>
      </c>
      <c r="C172" s="8">
        <f>Données!Z169</f>
        <v>138</v>
      </c>
      <c r="D172" s="8">
        <f t="shared" ref="D172:D235" si="12">IF($C172&gt;D$5,IF($C172&lt;D$6,$C172-D$5,D$6-D$5),0)</f>
        <v>138</v>
      </c>
      <c r="E172" s="224">
        <f t="shared" si="11"/>
        <v>0</v>
      </c>
      <c r="F172" s="8">
        <f t="shared" si="11"/>
        <v>0</v>
      </c>
      <c r="G172" s="224">
        <f t="shared" si="11"/>
        <v>0</v>
      </c>
      <c r="H172" s="31">
        <f t="shared" si="11"/>
        <v>0</v>
      </c>
      <c r="I172" s="8">
        <f t="shared" si="11"/>
        <v>0</v>
      </c>
      <c r="J172" s="8">
        <f t="shared" si="9"/>
        <v>0</v>
      </c>
      <c r="K172" s="72">
        <f t="shared" si="10"/>
        <v>-17805.331991951705</v>
      </c>
    </row>
    <row r="173" spans="1:11" x14ac:dyDescent="0.25">
      <c r="A173" s="38">
        <f>Données!A170</f>
        <v>5692</v>
      </c>
      <c r="B173" s="169" t="str">
        <f>Données!B170</f>
        <v>Vucherens</v>
      </c>
      <c r="C173" s="8">
        <f>Données!Z170</f>
        <v>638</v>
      </c>
      <c r="D173" s="8">
        <f t="shared" si="12"/>
        <v>638</v>
      </c>
      <c r="E173" s="224">
        <f t="shared" si="11"/>
        <v>0</v>
      </c>
      <c r="F173" s="8">
        <f t="shared" si="11"/>
        <v>0</v>
      </c>
      <c r="G173" s="224">
        <f t="shared" si="11"/>
        <v>0</v>
      </c>
      <c r="H173" s="31">
        <f t="shared" si="11"/>
        <v>0</v>
      </c>
      <c r="I173" s="8">
        <f t="shared" si="11"/>
        <v>0</v>
      </c>
      <c r="J173" s="8">
        <f t="shared" si="9"/>
        <v>0</v>
      </c>
      <c r="K173" s="72">
        <f t="shared" si="10"/>
        <v>-82317.40442655934</v>
      </c>
    </row>
    <row r="174" spans="1:11" x14ac:dyDescent="0.25">
      <c r="A174" s="38">
        <f>Données!A171</f>
        <v>5693</v>
      </c>
      <c r="B174" s="169" t="str">
        <f>Données!B171</f>
        <v>Montanaire</v>
      </c>
      <c r="C174" s="8">
        <f>Données!Z171</f>
        <v>2820</v>
      </c>
      <c r="D174" s="8">
        <f t="shared" si="12"/>
        <v>1000</v>
      </c>
      <c r="E174" s="224">
        <f t="shared" si="11"/>
        <v>1820</v>
      </c>
      <c r="F174" s="8">
        <f t="shared" si="11"/>
        <v>0</v>
      </c>
      <c r="G174" s="224">
        <f t="shared" si="11"/>
        <v>0</v>
      </c>
      <c r="H174" s="31">
        <f t="shared" si="11"/>
        <v>0</v>
      </c>
      <c r="I174" s="8">
        <f t="shared" si="11"/>
        <v>0</v>
      </c>
      <c r="J174" s="8">
        <f t="shared" si="9"/>
        <v>0</v>
      </c>
      <c r="K174" s="72">
        <f t="shared" si="10"/>
        <v>-786531.18712273636</v>
      </c>
    </row>
    <row r="175" spans="1:11" x14ac:dyDescent="0.25">
      <c r="A175" s="38">
        <f>Données!A172</f>
        <v>5701</v>
      </c>
      <c r="B175" s="169" t="str">
        <f>Données!B172</f>
        <v>Arnex-sur-Nyon</v>
      </c>
      <c r="C175" s="8">
        <f>Données!Z172</f>
        <v>240</v>
      </c>
      <c r="D175" s="8">
        <f t="shared" si="12"/>
        <v>240</v>
      </c>
      <c r="E175" s="224">
        <f t="shared" si="11"/>
        <v>0</v>
      </c>
      <c r="F175" s="8">
        <f t="shared" si="11"/>
        <v>0</v>
      </c>
      <c r="G175" s="224">
        <f t="shared" si="11"/>
        <v>0</v>
      </c>
      <c r="H175" s="31">
        <f t="shared" si="11"/>
        <v>0</v>
      </c>
      <c r="I175" s="8">
        <f t="shared" si="11"/>
        <v>0</v>
      </c>
      <c r="J175" s="8">
        <f t="shared" si="9"/>
        <v>0</v>
      </c>
      <c r="K175" s="72">
        <f t="shared" si="10"/>
        <v>-30965.794768611664</v>
      </c>
    </row>
    <row r="176" spans="1:11" x14ac:dyDescent="0.25">
      <c r="A176" s="38">
        <f>Données!A173</f>
        <v>5702</v>
      </c>
      <c r="B176" s="169" t="str">
        <f>Données!B173</f>
        <v>Arzier-Le Muids</v>
      </c>
      <c r="C176" s="8">
        <f>Données!Z173</f>
        <v>2955</v>
      </c>
      <c r="D176" s="8">
        <f t="shared" si="12"/>
        <v>1000</v>
      </c>
      <c r="E176" s="224">
        <f t="shared" si="11"/>
        <v>1955</v>
      </c>
      <c r="F176" s="8">
        <f t="shared" si="11"/>
        <v>0</v>
      </c>
      <c r="G176" s="224">
        <f t="shared" si="11"/>
        <v>0</v>
      </c>
      <c r="H176" s="31">
        <f t="shared" si="11"/>
        <v>0</v>
      </c>
      <c r="I176" s="8">
        <f t="shared" si="11"/>
        <v>0</v>
      </c>
      <c r="J176" s="8">
        <f t="shared" si="9"/>
        <v>0</v>
      </c>
      <c r="K176" s="72">
        <f t="shared" si="10"/>
        <v>-835302.31388329971</v>
      </c>
    </row>
    <row r="177" spans="1:11" x14ac:dyDescent="0.25">
      <c r="A177" s="38">
        <f>Données!A174</f>
        <v>5703</v>
      </c>
      <c r="B177" s="169" t="str">
        <f>Données!B174</f>
        <v>Bassins</v>
      </c>
      <c r="C177" s="8">
        <f>Données!Z174</f>
        <v>1478</v>
      </c>
      <c r="D177" s="8">
        <f t="shared" si="12"/>
        <v>1000</v>
      </c>
      <c r="E177" s="224">
        <f t="shared" si="11"/>
        <v>478</v>
      </c>
      <c r="F177" s="8">
        <f t="shared" si="11"/>
        <v>0</v>
      </c>
      <c r="G177" s="224">
        <f t="shared" si="11"/>
        <v>0</v>
      </c>
      <c r="H177" s="31">
        <f t="shared" si="11"/>
        <v>0</v>
      </c>
      <c r="I177" s="8">
        <f t="shared" si="11"/>
        <v>0</v>
      </c>
      <c r="J177" s="8">
        <f t="shared" si="9"/>
        <v>0</v>
      </c>
      <c r="K177" s="72">
        <f t="shared" si="10"/>
        <v>-301710.06036217301</v>
      </c>
    </row>
    <row r="178" spans="1:11" x14ac:dyDescent="0.25">
      <c r="A178" s="38">
        <f>Données!A175</f>
        <v>5704</v>
      </c>
      <c r="B178" s="169" t="str">
        <f>Données!B175</f>
        <v>Begnins</v>
      </c>
      <c r="C178" s="8">
        <f>Données!Z175</f>
        <v>1939</v>
      </c>
      <c r="D178" s="8">
        <f t="shared" si="12"/>
        <v>1000</v>
      </c>
      <c r="E178" s="224">
        <f t="shared" si="11"/>
        <v>939</v>
      </c>
      <c r="F178" s="8">
        <f t="shared" si="11"/>
        <v>0</v>
      </c>
      <c r="G178" s="224">
        <f t="shared" si="11"/>
        <v>0</v>
      </c>
      <c r="H178" s="31">
        <f t="shared" si="11"/>
        <v>0</v>
      </c>
      <c r="I178" s="8">
        <f t="shared" si="11"/>
        <v>0</v>
      </c>
      <c r="J178" s="8">
        <f t="shared" si="9"/>
        <v>0</v>
      </c>
      <c r="K178" s="72">
        <f t="shared" si="10"/>
        <v>-468254.42655935604</v>
      </c>
    </row>
    <row r="179" spans="1:11" x14ac:dyDescent="0.25">
      <c r="A179" s="38">
        <f>Données!A176</f>
        <v>5705</v>
      </c>
      <c r="B179" s="169" t="str">
        <f>Données!B176</f>
        <v>Bogis-Bossey</v>
      </c>
      <c r="C179" s="8">
        <f>Données!Z176</f>
        <v>923</v>
      </c>
      <c r="D179" s="8">
        <f t="shared" si="12"/>
        <v>923</v>
      </c>
      <c r="E179" s="224">
        <f t="shared" si="11"/>
        <v>0</v>
      </c>
      <c r="F179" s="8">
        <f t="shared" si="11"/>
        <v>0</v>
      </c>
      <c r="G179" s="224">
        <f t="shared" si="11"/>
        <v>0</v>
      </c>
      <c r="H179" s="31">
        <f t="shared" si="11"/>
        <v>0</v>
      </c>
      <c r="I179" s="8">
        <f t="shared" si="11"/>
        <v>0</v>
      </c>
      <c r="J179" s="8">
        <f t="shared" si="9"/>
        <v>0</v>
      </c>
      <c r="K179" s="72">
        <f t="shared" si="10"/>
        <v>-119089.28571428568</v>
      </c>
    </row>
    <row r="180" spans="1:11" x14ac:dyDescent="0.25">
      <c r="A180" s="38">
        <f>Données!A177</f>
        <v>5706</v>
      </c>
      <c r="B180" s="169" t="str">
        <f>Données!B177</f>
        <v>Borex</v>
      </c>
      <c r="C180" s="8">
        <f>Données!Z177</f>
        <v>1131</v>
      </c>
      <c r="D180" s="8">
        <f t="shared" si="12"/>
        <v>1000</v>
      </c>
      <c r="E180" s="224">
        <f t="shared" si="11"/>
        <v>131</v>
      </c>
      <c r="F180" s="8">
        <f t="shared" si="11"/>
        <v>0</v>
      </c>
      <c r="G180" s="224">
        <f t="shared" si="11"/>
        <v>0</v>
      </c>
      <c r="H180" s="31">
        <f t="shared" si="11"/>
        <v>0</v>
      </c>
      <c r="I180" s="8">
        <f t="shared" si="11"/>
        <v>0</v>
      </c>
      <c r="J180" s="8">
        <f t="shared" si="9"/>
        <v>0</v>
      </c>
      <c r="K180" s="72">
        <f t="shared" si="10"/>
        <v>-176350.20120724343</v>
      </c>
    </row>
    <row r="181" spans="1:11" x14ac:dyDescent="0.25">
      <c r="A181" s="38">
        <f>Données!A178</f>
        <v>5707</v>
      </c>
      <c r="B181" s="169" t="str">
        <f>Données!B178</f>
        <v>Chavannes-de-Bogis</v>
      </c>
      <c r="C181" s="8">
        <f>Données!Z178</f>
        <v>1314</v>
      </c>
      <c r="D181" s="8">
        <f t="shared" si="12"/>
        <v>1000</v>
      </c>
      <c r="E181" s="224">
        <f t="shared" si="11"/>
        <v>314</v>
      </c>
      <c r="F181" s="8">
        <f t="shared" si="11"/>
        <v>0</v>
      </c>
      <c r="G181" s="224">
        <f t="shared" si="11"/>
        <v>0</v>
      </c>
      <c r="H181" s="31">
        <f t="shared" si="11"/>
        <v>0</v>
      </c>
      <c r="I181" s="8">
        <f t="shared" si="11"/>
        <v>0</v>
      </c>
      <c r="J181" s="8">
        <f t="shared" si="9"/>
        <v>0</v>
      </c>
      <c r="K181" s="72">
        <f t="shared" si="10"/>
        <v>-242462.17303822935</v>
      </c>
    </row>
    <row r="182" spans="1:11" x14ac:dyDescent="0.25">
      <c r="A182" s="38">
        <f>Données!A179</f>
        <v>5708</v>
      </c>
      <c r="B182" s="169" t="str">
        <f>Données!B179</f>
        <v>Chavannes-des-Bois</v>
      </c>
      <c r="C182" s="8">
        <f>Données!Z179</f>
        <v>1020</v>
      </c>
      <c r="D182" s="8">
        <f t="shared" si="12"/>
        <v>1000</v>
      </c>
      <c r="E182" s="224">
        <f t="shared" si="11"/>
        <v>20</v>
      </c>
      <c r="F182" s="8">
        <f t="shared" si="11"/>
        <v>0</v>
      </c>
      <c r="G182" s="224">
        <f t="shared" si="11"/>
        <v>0</v>
      </c>
      <c r="H182" s="31">
        <f t="shared" si="11"/>
        <v>0</v>
      </c>
      <c r="I182" s="8">
        <f t="shared" si="11"/>
        <v>0</v>
      </c>
      <c r="J182" s="8">
        <f t="shared" si="9"/>
        <v>0</v>
      </c>
      <c r="K182" s="72">
        <f t="shared" si="10"/>
        <v>-136249.49698189131</v>
      </c>
    </row>
    <row r="183" spans="1:11" x14ac:dyDescent="0.25">
      <c r="A183" s="38">
        <f>Données!A180</f>
        <v>5709</v>
      </c>
      <c r="B183" s="169" t="str">
        <f>Données!B180</f>
        <v>Chéserex</v>
      </c>
      <c r="C183" s="8">
        <f>Données!Z180</f>
        <v>1251</v>
      </c>
      <c r="D183" s="8">
        <f t="shared" si="12"/>
        <v>1000</v>
      </c>
      <c r="E183" s="224">
        <f t="shared" si="11"/>
        <v>251</v>
      </c>
      <c r="F183" s="8">
        <f t="shared" si="11"/>
        <v>0</v>
      </c>
      <c r="G183" s="224">
        <f t="shared" si="11"/>
        <v>0</v>
      </c>
      <c r="H183" s="31">
        <f t="shared" si="11"/>
        <v>0</v>
      </c>
      <c r="I183" s="8">
        <f t="shared" si="11"/>
        <v>0</v>
      </c>
      <c r="J183" s="8">
        <f t="shared" si="9"/>
        <v>0</v>
      </c>
      <c r="K183" s="72">
        <f t="shared" si="10"/>
        <v>-219702.31388329976</v>
      </c>
    </row>
    <row r="184" spans="1:11" x14ac:dyDescent="0.25">
      <c r="A184" s="38">
        <f>Données!A181</f>
        <v>5710</v>
      </c>
      <c r="B184" s="169" t="str">
        <f>Données!B181</f>
        <v>Coinsins</v>
      </c>
      <c r="C184" s="8">
        <f>Données!Z181</f>
        <v>499</v>
      </c>
      <c r="D184" s="8">
        <f t="shared" si="12"/>
        <v>499</v>
      </c>
      <c r="E184" s="224">
        <f t="shared" si="11"/>
        <v>0</v>
      </c>
      <c r="F184" s="8">
        <f t="shared" si="11"/>
        <v>0</v>
      </c>
      <c r="G184" s="224">
        <f t="shared" si="11"/>
        <v>0</v>
      </c>
      <c r="H184" s="31">
        <f t="shared" si="11"/>
        <v>0</v>
      </c>
      <c r="I184" s="8">
        <f t="shared" si="11"/>
        <v>0</v>
      </c>
      <c r="J184" s="8">
        <f t="shared" si="9"/>
        <v>0</v>
      </c>
      <c r="K184" s="72">
        <f t="shared" si="10"/>
        <v>-64383.048289738414</v>
      </c>
    </row>
    <row r="185" spans="1:11" x14ac:dyDescent="0.25">
      <c r="A185" s="38">
        <f>Données!A182</f>
        <v>5711</v>
      </c>
      <c r="B185" s="169" t="str">
        <f>Données!B182</f>
        <v>Commugny</v>
      </c>
      <c r="C185" s="8">
        <f>Données!Z182</f>
        <v>2989</v>
      </c>
      <c r="D185" s="8">
        <f t="shared" si="12"/>
        <v>1000</v>
      </c>
      <c r="E185" s="224">
        <f t="shared" si="11"/>
        <v>1989</v>
      </c>
      <c r="F185" s="8">
        <f t="shared" si="11"/>
        <v>0</v>
      </c>
      <c r="G185" s="224">
        <f t="shared" si="11"/>
        <v>0</v>
      </c>
      <c r="H185" s="31">
        <f t="shared" si="11"/>
        <v>0</v>
      </c>
      <c r="I185" s="8">
        <f t="shared" si="11"/>
        <v>0</v>
      </c>
      <c r="J185" s="8">
        <f t="shared" si="9"/>
        <v>0</v>
      </c>
      <c r="K185" s="72">
        <f t="shared" si="10"/>
        <v>-847585.41247484903</v>
      </c>
    </row>
    <row r="186" spans="1:11" x14ac:dyDescent="0.25">
      <c r="A186" s="38">
        <f>Données!A183</f>
        <v>5712</v>
      </c>
      <c r="B186" s="169" t="str">
        <f>Données!B183</f>
        <v>Coppet</v>
      </c>
      <c r="C186" s="8">
        <f>Données!Z183</f>
        <v>3184</v>
      </c>
      <c r="D186" s="8">
        <f t="shared" si="12"/>
        <v>1000</v>
      </c>
      <c r="E186" s="224">
        <f t="shared" si="11"/>
        <v>2000</v>
      </c>
      <c r="F186" s="8">
        <f t="shared" si="11"/>
        <v>184</v>
      </c>
      <c r="G186" s="224">
        <f t="shared" si="11"/>
        <v>0</v>
      </c>
      <c r="H186" s="31">
        <f t="shared" si="11"/>
        <v>0</v>
      </c>
      <c r="I186" s="8">
        <f t="shared" si="11"/>
        <v>0</v>
      </c>
      <c r="J186" s="8">
        <f t="shared" si="9"/>
        <v>0</v>
      </c>
      <c r="K186" s="72">
        <f t="shared" si="10"/>
        <v>-946521.12676056311</v>
      </c>
    </row>
    <row r="187" spans="1:11" x14ac:dyDescent="0.25">
      <c r="A187" s="38">
        <f>Données!A184</f>
        <v>5713</v>
      </c>
      <c r="B187" s="169" t="str">
        <f>Données!B184</f>
        <v>Crans</v>
      </c>
      <c r="C187" s="8">
        <f>Données!Z184</f>
        <v>2360</v>
      </c>
      <c r="D187" s="8">
        <f t="shared" si="12"/>
        <v>1000</v>
      </c>
      <c r="E187" s="224">
        <f t="shared" si="11"/>
        <v>1360</v>
      </c>
      <c r="F187" s="8">
        <f t="shared" si="11"/>
        <v>0</v>
      </c>
      <c r="G187" s="224">
        <f t="shared" si="11"/>
        <v>0</v>
      </c>
      <c r="H187" s="31">
        <f t="shared" si="11"/>
        <v>0</v>
      </c>
      <c r="I187" s="8">
        <f t="shared" si="11"/>
        <v>0</v>
      </c>
      <c r="J187" s="8">
        <f t="shared" si="9"/>
        <v>0</v>
      </c>
      <c r="K187" s="72">
        <f t="shared" si="10"/>
        <v>-620348.08853118704</v>
      </c>
    </row>
    <row r="188" spans="1:11" x14ac:dyDescent="0.25">
      <c r="A188" s="38">
        <f>Données!A185</f>
        <v>5714</v>
      </c>
      <c r="B188" s="169" t="str">
        <f>Données!B185</f>
        <v>Crassier</v>
      </c>
      <c r="C188" s="8">
        <f>Données!Z185</f>
        <v>1234</v>
      </c>
      <c r="D188" s="8">
        <f t="shared" si="12"/>
        <v>1000</v>
      </c>
      <c r="E188" s="224">
        <f t="shared" si="11"/>
        <v>234</v>
      </c>
      <c r="F188" s="8">
        <f t="shared" si="11"/>
        <v>0</v>
      </c>
      <c r="G188" s="224">
        <f t="shared" si="11"/>
        <v>0</v>
      </c>
      <c r="H188" s="31">
        <f t="shared" si="11"/>
        <v>0</v>
      </c>
      <c r="I188" s="8">
        <f t="shared" si="11"/>
        <v>0</v>
      </c>
      <c r="J188" s="8">
        <f t="shared" si="9"/>
        <v>0</v>
      </c>
      <c r="K188" s="72">
        <f t="shared" si="10"/>
        <v>-213560.7645875251</v>
      </c>
    </row>
    <row r="189" spans="1:11" x14ac:dyDescent="0.25">
      <c r="A189" s="38">
        <f>Données!A186</f>
        <v>5715</v>
      </c>
      <c r="B189" s="169" t="str">
        <f>Données!B186</f>
        <v>Duillier</v>
      </c>
      <c r="C189" s="8">
        <f>Données!Z186</f>
        <v>1116</v>
      </c>
      <c r="D189" s="8">
        <f t="shared" si="12"/>
        <v>1000</v>
      </c>
      <c r="E189" s="224">
        <f t="shared" si="11"/>
        <v>116</v>
      </c>
      <c r="F189" s="8">
        <f t="shared" si="11"/>
        <v>0</v>
      </c>
      <c r="G189" s="224">
        <f t="shared" si="11"/>
        <v>0</v>
      </c>
      <c r="H189" s="31">
        <f t="shared" si="11"/>
        <v>0</v>
      </c>
      <c r="I189" s="8">
        <f t="shared" si="11"/>
        <v>0</v>
      </c>
      <c r="J189" s="8">
        <f t="shared" si="9"/>
        <v>0</v>
      </c>
      <c r="K189" s="72">
        <f t="shared" si="10"/>
        <v>-170931.18712273639</v>
      </c>
    </row>
    <row r="190" spans="1:11" x14ac:dyDescent="0.25">
      <c r="A190" s="38">
        <f>Données!A187</f>
        <v>5716</v>
      </c>
      <c r="B190" s="169" t="str">
        <f>Données!B187</f>
        <v>Eysins</v>
      </c>
      <c r="C190" s="8">
        <f>Données!Z187</f>
        <v>1767</v>
      </c>
      <c r="D190" s="8">
        <f t="shared" si="12"/>
        <v>1000</v>
      </c>
      <c r="E190" s="224">
        <f t="shared" si="11"/>
        <v>767</v>
      </c>
      <c r="F190" s="8">
        <f t="shared" si="11"/>
        <v>0</v>
      </c>
      <c r="G190" s="224">
        <f t="shared" si="11"/>
        <v>0</v>
      </c>
      <c r="H190" s="31">
        <f t="shared" si="11"/>
        <v>0</v>
      </c>
      <c r="I190" s="8">
        <f t="shared" si="11"/>
        <v>0</v>
      </c>
      <c r="J190" s="8">
        <f t="shared" si="9"/>
        <v>0</v>
      </c>
      <c r="K190" s="72">
        <f t="shared" si="10"/>
        <v>-406116.39839034196</v>
      </c>
    </row>
    <row r="191" spans="1:11" x14ac:dyDescent="0.25">
      <c r="A191" s="38">
        <f>Données!A188</f>
        <v>5717</v>
      </c>
      <c r="B191" s="169" t="str">
        <f>Données!B188</f>
        <v>Founex</v>
      </c>
      <c r="C191" s="8">
        <f>Données!Z188</f>
        <v>3766</v>
      </c>
      <c r="D191" s="8">
        <f t="shared" si="12"/>
        <v>1000</v>
      </c>
      <c r="E191" s="224">
        <f t="shared" si="11"/>
        <v>2000</v>
      </c>
      <c r="F191" s="8">
        <f t="shared" si="11"/>
        <v>766</v>
      </c>
      <c r="G191" s="224">
        <f t="shared" si="11"/>
        <v>0</v>
      </c>
      <c r="H191" s="31">
        <f t="shared" si="11"/>
        <v>0</v>
      </c>
      <c r="I191" s="8">
        <f t="shared" si="11"/>
        <v>0</v>
      </c>
      <c r="J191" s="8">
        <f t="shared" si="9"/>
        <v>0</v>
      </c>
      <c r="K191" s="72">
        <f t="shared" si="10"/>
        <v>-1246889.3360160962</v>
      </c>
    </row>
    <row r="192" spans="1:11" x14ac:dyDescent="0.25">
      <c r="A192" s="38">
        <f>Données!A189</f>
        <v>5718</v>
      </c>
      <c r="B192" s="169" t="str">
        <f>Données!B189</f>
        <v>Genolier</v>
      </c>
      <c r="C192" s="8">
        <f>Données!Z189</f>
        <v>2027</v>
      </c>
      <c r="D192" s="8">
        <f t="shared" si="12"/>
        <v>1000</v>
      </c>
      <c r="E192" s="224">
        <f t="shared" si="11"/>
        <v>1027</v>
      </c>
      <c r="F192" s="8">
        <f t="shared" si="11"/>
        <v>0</v>
      </c>
      <c r="G192" s="224">
        <f t="shared" si="11"/>
        <v>0</v>
      </c>
      <c r="H192" s="31">
        <f t="shared" si="11"/>
        <v>0</v>
      </c>
      <c r="I192" s="8">
        <f t="shared" si="11"/>
        <v>0</v>
      </c>
      <c r="J192" s="8">
        <f t="shared" si="9"/>
        <v>0</v>
      </c>
      <c r="K192" s="72">
        <f t="shared" si="10"/>
        <v>-500045.9758551307</v>
      </c>
    </row>
    <row r="193" spans="1:11" x14ac:dyDescent="0.25">
      <c r="A193" s="38">
        <f>Données!A190</f>
        <v>5719</v>
      </c>
      <c r="B193" s="169" t="str">
        <f>Données!B190</f>
        <v>Gingins</v>
      </c>
      <c r="C193" s="8">
        <f>Données!Z190</f>
        <v>1271</v>
      </c>
      <c r="D193" s="8">
        <f t="shared" si="12"/>
        <v>1000</v>
      </c>
      <c r="E193" s="224">
        <f t="shared" si="11"/>
        <v>271</v>
      </c>
      <c r="F193" s="8">
        <f t="shared" si="11"/>
        <v>0</v>
      </c>
      <c r="G193" s="224">
        <f t="shared" si="11"/>
        <v>0</v>
      </c>
      <c r="H193" s="31">
        <f t="shared" si="11"/>
        <v>0</v>
      </c>
      <c r="I193" s="8">
        <f t="shared" si="11"/>
        <v>0</v>
      </c>
      <c r="J193" s="8">
        <f t="shared" si="9"/>
        <v>0</v>
      </c>
      <c r="K193" s="72">
        <f t="shared" si="10"/>
        <v>-226927.66599597581</v>
      </c>
    </row>
    <row r="194" spans="1:11" x14ac:dyDescent="0.25">
      <c r="A194" s="38">
        <f>Données!A191</f>
        <v>5720</v>
      </c>
      <c r="B194" s="169" t="str">
        <f>Données!B191</f>
        <v>Givrins</v>
      </c>
      <c r="C194" s="8">
        <f>Données!Z191</f>
        <v>1026</v>
      </c>
      <c r="D194" s="8">
        <f t="shared" si="12"/>
        <v>1000</v>
      </c>
      <c r="E194" s="224">
        <f t="shared" si="11"/>
        <v>26</v>
      </c>
      <c r="F194" s="8">
        <f t="shared" si="11"/>
        <v>0</v>
      </c>
      <c r="G194" s="224">
        <f t="shared" si="11"/>
        <v>0</v>
      </c>
      <c r="H194" s="31">
        <f t="shared" si="11"/>
        <v>0</v>
      </c>
      <c r="I194" s="8">
        <f t="shared" si="11"/>
        <v>0</v>
      </c>
      <c r="J194" s="8">
        <f t="shared" si="9"/>
        <v>0</v>
      </c>
      <c r="K194" s="72">
        <f t="shared" si="10"/>
        <v>-138417.10261569414</v>
      </c>
    </row>
    <row r="195" spans="1:11" x14ac:dyDescent="0.25">
      <c r="A195" s="38">
        <f>Données!A192</f>
        <v>5721</v>
      </c>
      <c r="B195" s="169" t="str">
        <f>Données!B192</f>
        <v>Gland</v>
      </c>
      <c r="C195" s="8">
        <f>Données!Z192</f>
        <v>13698</v>
      </c>
      <c r="D195" s="8">
        <f t="shared" si="12"/>
        <v>1000</v>
      </c>
      <c r="E195" s="224">
        <f t="shared" si="11"/>
        <v>2000</v>
      </c>
      <c r="F195" s="8">
        <f t="shared" si="11"/>
        <v>2000</v>
      </c>
      <c r="G195" s="224">
        <f t="shared" si="11"/>
        <v>4000</v>
      </c>
      <c r="H195" s="31">
        <f t="shared" si="11"/>
        <v>3000</v>
      </c>
      <c r="I195" s="8">
        <f t="shared" si="11"/>
        <v>1698</v>
      </c>
      <c r="J195" s="8">
        <f t="shared" si="9"/>
        <v>0</v>
      </c>
      <c r="K195" s="72">
        <f t="shared" si="10"/>
        <v>-8745772.6358148865</v>
      </c>
    </row>
    <row r="196" spans="1:11" x14ac:dyDescent="0.25">
      <c r="A196" s="38">
        <f>Données!A193</f>
        <v>5722</v>
      </c>
      <c r="B196" s="169" t="str">
        <f>Données!B193</f>
        <v>Grens</v>
      </c>
      <c r="C196" s="8">
        <f>Données!Z193</f>
        <v>400</v>
      </c>
      <c r="D196" s="8">
        <f t="shared" si="12"/>
        <v>400</v>
      </c>
      <c r="E196" s="224">
        <f t="shared" si="11"/>
        <v>0</v>
      </c>
      <c r="F196" s="8">
        <f t="shared" si="11"/>
        <v>0</v>
      </c>
      <c r="G196" s="224">
        <f t="shared" si="11"/>
        <v>0</v>
      </c>
      <c r="H196" s="31">
        <f t="shared" si="11"/>
        <v>0</v>
      </c>
      <c r="I196" s="8">
        <f t="shared" si="11"/>
        <v>0</v>
      </c>
      <c r="J196" s="8">
        <f t="shared" si="9"/>
        <v>0</v>
      </c>
      <c r="K196" s="72">
        <f t="shared" si="10"/>
        <v>-51609.657947686108</v>
      </c>
    </row>
    <row r="197" spans="1:11" x14ac:dyDescent="0.25">
      <c r="A197" s="38">
        <f>Données!A194</f>
        <v>5723</v>
      </c>
      <c r="B197" s="169" t="str">
        <f>Données!B194</f>
        <v>Mies</v>
      </c>
      <c r="C197" s="8">
        <f>Données!Z194</f>
        <v>2226</v>
      </c>
      <c r="D197" s="8">
        <f t="shared" si="12"/>
        <v>1000</v>
      </c>
      <c r="E197" s="224">
        <f t="shared" si="11"/>
        <v>1226</v>
      </c>
      <c r="F197" s="8">
        <f t="shared" si="11"/>
        <v>0</v>
      </c>
      <c r="G197" s="224">
        <f t="shared" si="11"/>
        <v>0</v>
      </c>
      <c r="H197" s="31">
        <f t="shared" si="11"/>
        <v>0</v>
      </c>
      <c r="I197" s="8">
        <f t="shared" si="11"/>
        <v>0</v>
      </c>
      <c r="J197" s="8">
        <f t="shared" si="9"/>
        <v>0</v>
      </c>
      <c r="K197" s="72">
        <f t="shared" si="10"/>
        <v>-571938.2293762574</v>
      </c>
    </row>
    <row r="198" spans="1:11" x14ac:dyDescent="0.25">
      <c r="A198" s="38">
        <f>Données!A195</f>
        <v>5724</v>
      </c>
      <c r="B198" s="169" t="str">
        <f>Données!B195</f>
        <v>Nyon</v>
      </c>
      <c r="C198" s="8">
        <f>Données!Z195</f>
        <v>22481</v>
      </c>
      <c r="D198" s="8">
        <f t="shared" si="12"/>
        <v>1000</v>
      </c>
      <c r="E198" s="224">
        <f t="shared" si="11"/>
        <v>2000</v>
      </c>
      <c r="F198" s="8">
        <f t="shared" si="11"/>
        <v>2000</v>
      </c>
      <c r="G198" s="224">
        <f t="shared" si="11"/>
        <v>4000</v>
      </c>
      <c r="H198" s="31">
        <f t="shared" si="11"/>
        <v>3000</v>
      </c>
      <c r="I198" s="8">
        <f t="shared" si="11"/>
        <v>3000</v>
      </c>
      <c r="J198" s="8">
        <f t="shared" si="9"/>
        <v>7481</v>
      </c>
      <c r="K198" s="72">
        <f t="shared" si="10"/>
        <v>-18197617.002012067</v>
      </c>
    </row>
    <row r="199" spans="1:11" x14ac:dyDescent="0.25">
      <c r="A199" s="38">
        <f>Données!A196</f>
        <v>5725</v>
      </c>
      <c r="B199" s="169" t="str">
        <f>Données!B196</f>
        <v>Prangins</v>
      </c>
      <c r="C199" s="8">
        <f>Données!Z196</f>
        <v>4279</v>
      </c>
      <c r="D199" s="8">
        <f t="shared" si="12"/>
        <v>1000</v>
      </c>
      <c r="E199" s="224">
        <f t="shared" si="11"/>
        <v>2000</v>
      </c>
      <c r="F199" s="8">
        <f t="shared" si="11"/>
        <v>1279</v>
      </c>
      <c r="G199" s="224">
        <f t="shared" si="11"/>
        <v>0</v>
      </c>
      <c r="H199" s="31">
        <f t="shared" si="11"/>
        <v>0</v>
      </c>
      <c r="I199" s="8">
        <f t="shared" si="11"/>
        <v>0</v>
      </c>
      <c r="J199" s="8">
        <f t="shared" si="9"/>
        <v>0</v>
      </c>
      <c r="K199" s="72">
        <f t="shared" si="10"/>
        <v>-1511646.8812877261</v>
      </c>
    </row>
    <row r="200" spans="1:11" x14ac:dyDescent="0.25">
      <c r="A200" s="38">
        <f>Données!A197</f>
        <v>5726</v>
      </c>
      <c r="B200" s="169" t="str">
        <f>Données!B197</f>
        <v>La Rippe</v>
      </c>
      <c r="C200" s="8">
        <f>Données!Z197</f>
        <v>1198</v>
      </c>
      <c r="D200" s="8">
        <f t="shared" si="12"/>
        <v>1000</v>
      </c>
      <c r="E200" s="224">
        <f t="shared" si="11"/>
        <v>198</v>
      </c>
      <c r="F200" s="8">
        <f t="shared" si="11"/>
        <v>0</v>
      </c>
      <c r="G200" s="224">
        <f t="shared" si="11"/>
        <v>0</v>
      </c>
      <c r="H200" s="31">
        <f t="shared" si="11"/>
        <v>0</v>
      </c>
      <c r="I200" s="8">
        <f t="shared" si="11"/>
        <v>0</v>
      </c>
      <c r="J200" s="8">
        <f t="shared" si="9"/>
        <v>0</v>
      </c>
      <c r="K200" s="72">
        <f t="shared" si="10"/>
        <v>-200555.13078470819</v>
      </c>
    </row>
    <row r="201" spans="1:11" x14ac:dyDescent="0.25">
      <c r="A201" s="38">
        <f>Données!A198</f>
        <v>5727</v>
      </c>
      <c r="B201" s="169" t="str">
        <f>Données!B198</f>
        <v>Saint-Cergue</v>
      </c>
      <c r="C201" s="8">
        <f>Données!Z198</f>
        <v>2788</v>
      </c>
      <c r="D201" s="8">
        <f t="shared" si="12"/>
        <v>1000</v>
      </c>
      <c r="E201" s="224">
        <f t="shared" si="11"/>
        <v>1788</v>
      </c>
      <c r="F201" s="8">
        <f t="shared" si="11"/>
        <v>0</v>
      </c>
      <c r="G201" s="224">
        <f t="shared" si="11"/>
        <v>0</v>
      </c>
      <c r="H201" s="31">
        <f t="shared" si="11"/>
        <v>0</v>
      </c>
      <c r="I201" s="8">
        <f t="shared" si="11"/>
        <v>0</v>
      </c>
      <c r="J201" s="8">
        <f t="shared" si="9"/>
        <v>0</v>
      </c>
      <c r="K201" s="72">
        <f t="shared" si="10"/>
        <v>-774970.62374245469</v>
      </c>
    </row>
    <row r="202" spans="1:11" x14ac:dyDescent="0.25">
      <c r="A202" s="38">
        <f>Données!A199</f>
        <v>5728</v>
      </c>
      <c r="B202" s="169" t="str">
        <f>Données!B199</f>
        <v>Signy-Avenex</v>
      </c>
      <c r="C202" s="8">
        <f>Données!Z199</f>
        <v>583</v>
      </c>
      <c r="D202" s="8">
        <f t="shared" si="12"/>
        <v>583</v>
      </c>
      <c r="E202" s="224">
        <f t="shared" si="11"/>
        <v>0</v>
      </c>
      <c r="F202" s="8">
        <f t="shared" si="11"/>
        <v>0</v>
      </c>
      <c r="G202" s="224">
        <f t="shared" si="11"/>
        <v>0</v>
      </c>
      <c r="H202" s="31">
        <f t="shared" si="11"/>
        <v>0</v>
      </c>
      <c r="I202" s="8">
        <f t="shared" si="11"/>
        <v>0</v>
      </c>
      <c r="J202" s="8">
        <f t="shared" ref="J202:J265" si="13">IF(C202&gt;$J$5,C202-$J$5,0)</f>
        <v>0</v>
      </c>
      <c r="K202" s="72">
        <f t="shared" ref="K202:K265" si="14">-((D202*D$8)+(E202*E$8)+(F202*F$8)+(G202*G$8)+(H202*H$8)+(I202*I$8)+(J202*J$8))</f>
        <v>-75221.076458752505</v>
      </c>
    </row>
    <row r="203" spans="1:11" x14ac:dyDescent="0.25">
      <c r="A203" s="38">
        <f>Données!A200</f>
        <v>5729</v>
      </c>
      <c r="B203" s="169" t="str">
        <f>Données!B200</f>
        <v>Tannay</v>
      </c>
      <c r="C203" s="8">
        <f>Données!Z200</f>
        <v>1724</v>
      </c>
      <c r="D203" s="8">
        <f t="shared" si="12"/>
        <v>1000</v>
      </c>
      <c r="E203" s="224">
        <f t="shared" si="11"/>
        <v>724</v>
      </c>
      <c r="F203" s="8">
        <f t="shared" si="11"/>
        <v>0</v>
      </c>
      <c r="G203" s="224">
        <f t="shared" si="11"/>
        <v>0</v>
      </c>
      <c r="H203" s="31">
        <f t="shared" si="11"/>
        <v>0</v>
      </c>
      <c r="I203" s="8">
        <f t="shared" si="11"/>
        <v>0</v>
      </c>
      <c r="J203" s="8">
        <f t="shared" si="13"/>
        <v>0</v>
      </c>
      <c r="K203" s="72">
        <f t="shared" si="14"/>
        <v>-390581.89134808845</v>
      </c>
    </row>
    <row r="204" spans="1:11" x14ac:dyDescent="0.25">
      <c r="A204" s="38">
        <f>Données!A201</f>
        <v>5730</v>
      </c>
      <c r="B204" s="169" t="str">
        <f>Données!B201</f>
        <v>Trélex</v>
      </c>
      <c r="C204" s="8">
        <f>Données!Z201</f>
        <v>1429</v>
      </c>
      <c r="D204" s="8">
        <f t="shared" si="12"/>
        <v>1000</v>
      </c>
      <c r="E204" s="224">
        <f t="shared" si="11"/>
        <v>429</v>
      </c>
      <c r="F204" s="8">
        <f t="shared" si="11"/>
        <v>0</v>
      </c>
      <c r="G204" s="224">
        <f t="shared" si="11"/>
        <v>0</v>
      </c>
      <c r="H204" s="31">
        <f t="shared" si="11"/>
        <v>0</v>
      </c>
      <c r="I204" s="8">
        <f t="shared" si="11"/>
        <v>0</v>
      </c>
      <c r="J204" s="8">
        <f t="shared" si="13"/>
        <v>0</v>
      </c>
      <c r="K204" s="72">
        <f t="shared" si="14"/>
        <v>-284007.94768611668</v>
      </c>
    </row>
    <row r="205" spans="1:11" x14ac:dyDescent="0.25">
      <c r="A205" s="38">
        <f>Données!A202</f>
        <v>5731</v>
      </c>
      <c r="B205" s="169" t="str">
        <f>Données!B202</f>
        <v>Le Vaud</v>
      </c>
      <c r="C205" s="8">
        <f>Données!Z202</f>
        <v>1408</v>
      </c>
      <c r="D205" s="8">
        <f t="shared" si="12"/>
        <v>1000</v>
      </c>
      <c r="E205" s="224">
        <f t="shared" si="11"/>
        <v>408</v>
      </c>
      <c r="F205" s="8">
        <f t="shared" si="11"/>
        <v>0</v>
      </c>
      <c r="G205" s="224">
        <f t="shared" si="11"/>
        <v>0</v>
      </c>
      <c r="H205" s="31">
        <f t="shared" si="11"/>
        <v>0</v>
      </c>
      <c r="I205" s="8">
        <f t="shared" si="11"/>
        <v>0</v>
      </c>
      <c r="J205" s="8">
        <f t="shared" si="13"/>
        <v>0</v>
      </c>
      <c r="K205" s="72">
        <f t="shared" si="14"/>
        <v>-276421.32796780678</v>
      </c>
    </row>
    <row r="206" spans="1:11" x14ac:dyDescent="0.25">
      <c r="A206" s="38">
        <f>Données!A203</f>
        <v>5732</v>
      </c>
      <c r="B206" s="169" t="str">
        <f>Données!B203</f>
        <v>Vich</v>
      </c>
      <c r="C206" s="8">
        <f>Données!Z203</f>
        <v>1160</v>
      </c>
      <c r="D206" s="8">
        <f t="shared" si="12"/>
        <v>1000</v>
      </c>
      <c r="E206" s="224">
        <f t="shared" si="11"/>
        <v>160</v>
      </c>
      <c r="F206" s="8">
        <f t="shared" si="11"/>
        <v>0</v>
      </c>
      <c r="G206" s="224">
        <f t="shared" si="11"/>
        <v>0</v>
      </c>
      <c r="H206" s="31">
        <f t="shared" si="11"/>
        <v>0</v>
      </c>
      <c r="I206" s="8">
        <f t="shared" si="11"/>
        <v>0</v>
      </c>
      <c r="J206" s="8">
        <f t="shared" si="13"/>
        <v>0</v>
      </c>
      <c r="K206" s="72">
        <f t="shared" si="14"/>
        <v>-186826.96177062369</v>
      </c>
    </row>
    <row r="207" spans="1:11" x14ac:dyDescent="0.25">
      <c r="A207" s="38">
        <f>Données!A204</f>
        <v>5741</v>
      </c>
      <c r="B207" s="169" t="str">
        <f>Données!B204</f>
        <v>L'Abergement</v>
      </c>
      <c r="C207" s="8">
        <f>Données!Z204</f>
        <v>260</v>
      </c>
      <c r="D207" s="8">
        <f t="shared" si="12"/>
        <v>260</v>
      </c>
      <c r="E207" s="224">
        <f t="shared" si="11"/>
        <v>0</v>
      </c>
      <c r="F207" s="8">
        <f t="shared" si="11"/>
        <v>0</v>
      </c>
      <c r="G207" s="224">
        <f t="shared" si="11"/>
        <v>0</v>
      </c>
      <c r="H207" s="31">
        <f t="shared" si="11"/>
        <v>0</v>
      </c>
      <c r="I207" s="8">
        <f t="shared" si="11"/>
        <v>0</v>
      </c>
      <c r="J207" s="8">
        <f t="shared" si="13"/>
        <v>0</v>
      </c>
      <c r="K207" s="72">
        <f t="shared" si="14"/>
        <v>-33546.277665995971</v>
      </c>
    </row>
    <row r="208" spans="1:11" x14ac:dyDescent="0.25">
      <c r="A208" s="38">
        <f>Données!A205</f>
        <v>5742</v>
      </c>
      <c r="B208" s="169" t="str">
        <f>Données!B205</f>
        <v>Agiez</v>
      </c>
      <c r="C208" s="8">
        <f>Données!Z205</f>
        <v>381</v>
      </c>
      <c r="D208" s="8">
        <f t="shared" si="12"/>
        <v>381</v>
      </c>
      <c r="E208" s="224">
        <f t="shared" si="11"/>
        <v>0</v>
      </c>
      <c r="F208" s="8">
        <f t="shared" si="11"/>
        <v>0</v>
      </c>
      <c r="G208" s="224">
        <f t="shared" si="11"/>
        <v>0</v>
      </c>
      <c r="H208" s="31">
        <f t="shared" si="11"/>
        <v>0</v>
      </c>
      <c r="I208" s="8">
        <f t="shared" si="11"/>
        <v>0</v>
      </c>
      <c r="J208" s="8">
        <f t="shared" si="13"/>
        <v>0</v>
      </c>
      <c r="K208" s="72">
        <f t="shared" si="14"/>
        <v>-49158.199195171015</v>
      </c>
    </row>
    <row r="209" spans="1:11" x14ac:dyDescent="0.25">
      <c r="A209" s="38">
        <f>Données!A206</f>
        <v>5743</v>
      </c>
      <c r="B209" s="169" t="str">
        <f>Données!B206</f>
        <v>Arnex-sur-Orbe</v>
      </c>
      <c r="C209" s="8">
        <f>Données!Z206</f>
        <v>692</v>
      </c>
      <c r="D209" s="8">
        <f t="shared" si="12"/>
        <v>692</v>
      </c>
      <c r="E209" s="224">
        <f t="shared" si="11"/>
        <v>0</v>
      </c>
      <c r="F209" s="8">
        <f t="shared" si="11"/>
        <v>0</v>
      </c>
      <c r="G209" s="224">
        <f t="shared" ref="E209:I260" si="15">IF($C209&gt;G$5,IF($C209&lt;G$6,$C209-G$5,G$6-G$5),0)</f>
        <v>0</v>
      </c>
      <c r="H209" s="31">
        <f t="shared" si="15"/>
        <v>0</v>
      </c>
      <c r="I209" s="8">
        <f t="shared" si="15"/>
        <v>0</v>
      </c>
      <c r="J209" s="8">
        <f t="shared" si="13"/>
        <v>0</v>
      </c>
      <c r="K209" s="72">
        <f t="shared" si="14"/>
        <v>-89284.708249496965</v>
      </c>
    </row>
    <row r="210" spans="1:11" x14ac:dyDescent="0.25">
      <c r="A210" s="38">
        <f>Données!A207</f>
        <v>5744</v>
      </c>
      <c r="B210" s="169" t="str">
        <f>Données!B207</f>
        <v>Ballaigues</v>
      </c>
      <c r="C210" s="8">
        <f>Données!Z207</f>
        <v>1152</v>
      </c>
      <c r="D210" s="8">
        <f t="shared" si="12"/>
        <v>1000</v>
      </c>
      <c r="E210" s="224">
        <f t="shared" si="15"/>
        <v>152</v>
      </c>
      <c r="F210" s="8">
        <f t="shared" si="15"/>
        <v>0</v>
      </c>
      <c r="G210" s="224">
        <f t="shared" si="15"/>
        <v>0</v>
      </c>
      <c r="H210" s="31">
        <f t="shared" si="15"/>
        <v>0</v>
      </c>
      <c r="I210" s="8">
        <f t="shared" si="15"/>
        <v>0</v>
      </c>
      <c r="J210" s="8">
        <f t="shared" si="13"/>
        <v>0</v>
      </c>
      <c r="K210" s="72">
        <f t="shared" si="14"/>
        <v>-183936.82092555327</v>
      </c>
    </row>
    <row r="211" spans="1:11" x14ac:dyDescent="0.25">
      <c r="A211" s="38">
        <f>Données!A208</f>
        <v>5745</v>
      </c>
      <c r="B211" s="169" t="str">
        <f>Données!B208</f>
        <v>Baulmes</v>
      </c>
      <c r="C211" s="8">
        <f>Données!Z208</f>
        <v>1132</v>
      </c>
      <c r="D211" s="8">
        <f t="shared" si="12"/>
        <v>1000</v>
      </c>
      <c r="E211" s="224">
        <f t="shared" si="15"/>
        <v>132</v>
      </c>
      <c r="F211" s="8">
        <f t="shared" si="15"/>
        <v>0</v>
      </c>
      <c r="G211" s="224">
        <f t="shared" si="15"/>
        <v>0</v>
      </c>
      <c r="H211" s="31">
        <f t="shared" si="15"/>
        <v>0</v>
      </c>
      <c r="I211" s="8">
        <f t="shared" si="15"/>
        <v>0</v>
      </c>
      <c r="J211" s="8">
        <f t="shared" si="13"/>
        <v>0</v>
      </c>
      <c r="K211" s="72">
        <f t="shared" si="14"/>
        <v>-176711.46881287722</v>
      </c>
    </row>
    <row r="212" spans="1:11" x14ac:dyDescent="0.25">
      <c r="A212" s="38">
        <f>Données!A209</f>
        <v>5746</v>
      </c>
      <c r="B212" s="169" t="str">
        <f>Données!B209</f>
        <v>Bavois</v>
      </c>
      <c r="C212" s="8">
        <f>Données!Z209</f>
        <v>1009</v>
      </c>
      <c r="D212" s="8">
        <f t="shared" si="12"/>
        <v>1000</v>
      </c>
      <c r="E212" s="224">
        <f t="shared" si="15"/>
        <v>9</v>
      </c>
      <c r="F212" s="8">
        <f t="shared" si="15"/>
        <v>0</v>
      </c>
      <c r="G212" s="224">
        <f t="shared" si="15"/>
        <v>0</v>
      </c>
      <c r="H212" s="31">
        <f t="shared" si="15"/>
        <v>0</v>
      </c>
      <c r="I212" s="8">
        <f t="shared" si="15"/>
        <v>0</v>
      </c>
      <c r="J212" s="8">
        <f t="shared" si="13"/>
        <v>0</v>
      </c>
      <c r="K212" s="72">
        <f t="shared" si="14"/>
        <v>-132275.55331991948</v>
      </c>
    </row>
    <row r="213" spans="1:11" x14ac:dyDescent="0.25">
      <c r="A213" s="38">
        <f>Données!A210</f>
        <v>5747</v>
      </c>
      <c r="B213" s="169" t="str">
        <f>Données!B210</f>
        <v>Bofflens</v>
      </c>
      <c r="C213" s="8">
        <f>Données!Z210</f>
        <v>204</v>
      </c>
      <c r="D213" s="8">
        <f t="shared" si="12"/>
        <v>204</v>
      </c>
      <c r="E213" s="224">
        <f t="shared" si="15"/>
        <v>0</v>
      </c>
      <c r="F213" s="8">
        <f t="shared" si="15"/>
        <v>0</v>
      </c>
      <c r="G213" s="224">
        <f t="shared" si="15"/>
        <v>0</v>
      </c>
      <c r="H213" s="31">
        <f t="shared" si="15"/>
        <v>0</v>
      </c>
      <c r="I213" s="8">
        <f t="shared" si="15"/>
        <v>0</v>
      </c>
      <c r="J213" s="8">
        <f t="shared" si="13"/>
        <v>0</v>
      </c>
      <c r="K213" s="72">
        <f t="shared" si="14"/>
        <v>-26320.925553319914</v>
      </c>
    </row>
    <row r="214" spans="1:11" x14ac:dyDescent="0.25">
      <c r="A214" s="38">
        <f>Données!A211</f>
        <v>5748</v>
      </c>
      <c r="B214" s="169" t="str">
        <f>Données!B211</f>
        <v>Bretonnières</v>
      </c>
      <c r="C214" s="8">
        <f>Données!Z211</f>
        <v>264</v>
      </c>
      <c r="D214" s="8">
        <f t="shared" si="12"/>
        <v>264</v>
      </c>
      <c r="E214" s="224">
        <f t="shared" si="15"/>
        <v>0</v>
      </c>
      <c r="F214" s="8">
        <f t="shared" si="15"/>
        <v>0</v>
      </c>
      <c r="G214" s="224">
        <f t="shared" si="15"/>
        <v>0</v>
      </c>
      <c r="H214" s="31">
        <f t="shared" si="15"/>
        <v>0</v>
      </c>
      <c r="I214" s="8">
        <f t="shared" si="15"/>
        <v>0</v>
      </c>
      <c r="J214" s="8">
        <f t="shared" si="13"/>
        <v>0</v>
      </c>
      <c r="K214" s="72">
        <f t="shared" si="14"/>
        <v>-34062.374245472827</v>
      </c>
    </row>
    <row r="215" spans="1:11" x14ac:dyDescent="0.25">
      <c r="A215" s="38">
        <f>Données!A212</f>
        <v>5749</v>
      </c>
      <c r="B215" s="169" t="str">
        <f>Données!B212</f>
        <v>Chavornay</v>
      </c>
      <c r="C215" s="8">
        <f>Données!Z212</f>
        <v>5415</v>
      </c>
      <c r="D215" s="8">
        <f t="shared" si="12"/>
        <v>1000</v>
      </c>
      <c r="E215" s="224">
        <f t="shared" si="15"/>
        <v>2000</v>
      </c>
      <c r="F215" s="8">
        <f t="shared" si="15"/>
        <v>2000</v>
      </c>
      <c r="G215" s="224">
        <f t="shared" si="15"/>
        <v>415</v>
      </c>
      <c r="H215" s="31">
        <f t="shared" si="15"/>
        <v>0</v>
      </c>
      <c r="I215" s="8">
        <f t="shared" si="15"/>
        <v>0</v>
      </c>
      <c r="J215" s="8">
        <f t="shared" si="13"/>
        <v>0</v>
      </c>
      <c r="K215" s="72">
        <f t="shared" si="14"/>
        <v>-2140768.6116700196</v>
      </c>
    </row>
    <row r="216" spans="1:11" x14ac:dyDescent="0.25">
      <c r="A216" s="38">
        <f>Données!A213</f>
        <v>5750</v>
      </c>
      <c r="B216" s="169" t="str">
        <f>Données!B213</f>
        <v>Les Clées</v>
      </c>
      <c r="C216" s="8">
        <f>Données!Z213</f>
        <v>187</v>
      </c>
      <c r="D216" s="8">
        <f t="shared" si="12"/>
        <v>187</v>
      </c>
      <c r="E216" s="224">
        <f t="shared" si="15"/>
        <v>0</v>
      </c>
      <c r="F216" s="8">
        <f t="shared" si="15"/>
        <v>0</v>
      </c>
      <c r="G216" s="224">
        <f t="shared" si="15"/>
        <v>0</v>
      </c>
      <c r="H216" s="31">
        <f t="shared" si="15"/>
        <v>0</v>
      </c>
      <c r="I216" s="8">
        <f t="shared" si="15"/>
        <v>0</v>
      </c>
      <c r="J216" s="8">
        <f t="shared" si="13"/>
        <v>0</v>
      </c>
      <c r="K216" s="72">
        <f t="shared" si="14"/>
        <v>-24127.515090543253</v>
      </c>
    </row>
    <row r="217" spans="1:11" x14ac:dyDescent="0.25">
      <c r="A217" s="38">
        <f>Données!A214</f>
        <v>5752</v>
      </c>
      <c r="B217" s="169" t="str">
        <f>Données!B214</f>
        <v>Croy</v>
      </c>
      <c r="C217" s="8">
        <f>Données!Z214</f>
        <v>387</v>
      </c>
      <c r="D217" s="8">
        <f t="shared" si="12"/>
        <v>387</v>
      </c>
      <c r="E217" s="224">
        <f t="shared" si="15"/>
        <v>0</v>
      </c>
      <c r="F217" s="8">
        <f t="shared" si="15"/>
        <v>0</v>
      </c>
      <c r="G217" s="224">
        <f t="shared" si="15"/>
        <v>0</v>
      </c>
      <c r="H217" s="31">
        <f t="shared" si="15"/>
        <v>0</v>
      </c>
      <c r="I217" s="8">
        <f t="shared" si="15"/>
        <v>0</v>
      </c>
      <c r="J217" s="8">
        <f t="shared" si="13"/>
        <v>0</v>
      </c>
      <c r="K217" s="72">
        <f t="shared" si="14"/>
        <v>-49932.344064386307</v>
      </c>
    </row>
    <row r="218" spans="1:11" x14ac:dyDescent="0.25">
      <c r="A218" s="38">
        <f>Données!A215</f>
        <v>5754</v>
      </c>
      <c r="B218" s="169" t="str">
        <f>Données!B215</f>
        <v>Juriens</v>
      </c>
      <c r="C218" s="8">
        <f>Données!Z215</f>
        <v>349</v>
      </c>
      <c r="D218" s="8">
        <f t="shared" si="12"/>
        <v>349</v>
      </c>
      <c r="E218" s="224">
        <f t="shared" si="15"/>
        <v>0</v>
      </c>
      <c r="F218" s="8">
        <f t="shared" si="15"/>
        <v>0</v>
      </c>
      <c r="G218" s="224">
        <f t="shared" si="15"/>
        <v>0</v>
      </c>
      <c r="H218" s="31">
        <f t="shared" si="15"/>
        <v>0</v>
      </c>
      <c r="I218" s="8">
        <f t="shared" si="15"/>
        <v>0</v>
      </c>
      <c r="J218" s="8">
        <f t="shared" si="13"/>
        <v>0</v>
      </c>
      <c r="K218" s="72">
        <f t="shared" si="14"/>
        <v>-45029.426559356129</v>
      </c>
    </row>
    <row r="219" spans="1:11" x14ac:dyDescent="0.25">
      <c r="A219" s="38">
        <f>Données!A216</f>
        <v>5755</v>
      </c>
      <c r="B219" s="169" t="str">
        <f>Données!B216</f>
        <v>Lignerolle</v>
      </c>
      <c r="C219" s="8">
        <f>Données!Z216</f>
        <v>448</v>
      </c>
      <c r="D219" s="8">
        <f t="shared" si="12"/>
        <v>448</v>
      </c>
      <c r="E219" s="224">
        <f t="shared" si="15"/>
        <v>0</v>
      </c>
      <c r="F219" s="8">
        <f t="shared" si="15"/>
        <v>0</v>
      </c>
      <c r="G219" s="224">
        <f t="shared" si="15"/>
        <v>0</v>
      </c>
      <c r="H219" s="31">
        <f t="shared" si="15"/>
        <v>0</v>
      </c>
      <c r="I219" s="8">
        <f t="shared" si="15"/>
        <v>0</v>
      </c>
      <c r="J219" s="8">
        <f t="shared" si="13"/>
        <v>0</v>
      </c>
      <c r="K219" s="72">
        <f t="shared" si="14"/>
        <v>-57802.816901408441</v>
      </c>
    </row>
    <row r="220" spans="1:11" x14ac:dyDescent="0.25">
      <c r="A220" s="38">
        <f>Données!A217</f>
        <v>5756</v>
      </c>
      <c r="B220" s="169" t="str">
        <f>Données!B217</f>
        <v>Montcherand</v>
      </c>
      <c r="C220" s="8">
        <f>Données!Z217</f>
        <v>496</v>
      </c>
      <c r="D220" s="8">
        <f t="shared" si="12"/>
        <v>496</v>
      </c>
      <c r="E220" s="224">
        <f t="shared" si="15"/>
        <v>0</v>
      </c>
      <c r="F220" s="8">
        <f t="shared" si="15"/>
        <v>0</v>
      </c>
      <c r="G220" s="224">
        <f t="shared" si="15"/>
        <v>0</v>
      </c>
      <c r="H220" s="31">
        <f t="shared" si="15"/>
        <v>0</v>
      </c>
      <c r="I220" s="8">
        <f t="shared" si="15"/>
        <v>0</v>
      </c>
      <c r="J220" s="8">
        <f t="shared" si="13"/>
        <v>0</v>
      </c>
      <c r="K220" s="72">
        <f t="shared" si="14"/>
        <v>-63995.975855130768</v>
      </c>
    </row>
    <row r="221" spans="1:11" x14ac:dyDescent="0.25">
      <c r="A221" s="38">
        <f>Données!A218</f>
        <v>5757</v>
      </c>
      <c r="B221" s="169" t="str">
        <f>Données!B218</f>
        <v>Orbe</v>
      </c>
      <c r="C221" s="8">
        <f>Données!Z218</f>
        <v>7622</v>
      </c>
      <c r="D221" s="8">
        <f t="shared" si="12"/>
        <v>1000</v>
      </c>
      <c r="E221" s="224">
        <f t="shared" si="15"/>
        <v>2000</v>
      </c>
      <c r="F221" s="8">
        <f t="shared" si="15"/>
        <v>2000</v>
      </c>
      <c r="G221" s="224">
        <f t="shared" si="15"/>
        <v>2622</v>
      </c>
      <c r="H221" s="31">
        <f t="shared" si="15"/>
        <v>0</v>
      </c>
      <c r="I221" s="8">
        <f t="shared" si="15"/>
        <v>0</v>
      </c>
      <c r="J221" s="8">
        <f t="shared" si="13"/>
        <v>0</v>
      </c>
      <c r="K221" s="72">
        <f t="shared" si="14"/>
        <v>-3507598.7927565388</v>
      </c>
    </row>
    <row r="222" spans="1:11" x14ac:dyDescent="0.25">
      <c r="A222" s="38">
        <f>Données!A219</f>
        <v>5758</v>
      </c>
      <c r="B222" s="169" t="str">
        <f>Données!B219</f>
        <v>La Praz</v>
      </c>
      <c r="C222" s="8">
        <f>Données!Z219</f>
        <v>183</v>
      </c>
      <c r="D222" s="8">
        <f t="shared" si="12"/>
        <v>183</v>
      </c>
      <c r="E222" s="224">
        <f t="shared" si="15"/>
        <v>0</v>
      </c>
      <c r="F222" s="8">
        <f t="shared" si="15"/>
        <v>0</v>
      </c>
      <c r="G222" s="224">
        <f t="shared" si="15"/>
        <v>0</v>
      </c>
      <c r="H222" s="31">
        <f t="shared" si="15"/>
        <v>0</v>
      </c>
      <c r="I222" s="8">
        <f t="shared" si="15"/>
        <v>0</v>
      </c>
      <c r="J222" s="8">
        <f t="shared" si="13"/>
        <v>0</v>
      </c>
      <c r="K222" s="72">
        <f t="shared" si="14"/>
        <v>-23611.418511066393</v>
      </c>
    </row>
    <row r="223" spans="1:11" x14ac:dyDescent="0.25">
      <c r="A223" s="38">
        <f>Données!A220</f>
        <v>5759</v>
      </c>
      <c r="B223" s="169" t="str">
        <f>Données!B220</f>
        <v>Premier</v>
      </c>
      <c r="C223" s="8">
        <f>Données!Z220</f>
        <v>236</v>
      </c>
      <c r="D223" s="8">
        <f t="shared" si="12"/>
        <v>236</v>
      </c>
      <c r="E223" s="224">
        <f t="shared" si="15"/>
        <v>0</v>
      </c>
      <c r="F223" s="8">
        <f t="shared" si="15"/>
        <v>0</v>
      </c>
      <c r="G223" s="224">
        <f t="shared" si="15"/>
        <v>0</v>
      </c>
      <c r="H223" s="31">
        <f t="shared" si="15"/>
        <v>0</v>
      </c>
      <c r="I223" s="8">
        <f t="shared" si="15"/>
        <v>0</v>
      </c>
      <c r="J223" s="8">
        <f t="shared" si="13"/>
        <v>0</v>
      </c>
      <c r="K223" s="72">
        <f t="shared" si="14"/>
        <v>-30449.6981891348</v>
      </c>
    </row>
    <row r="224" spans="1:11" x14ac:dyDescent="0.25">
      <c r="A224" s="38">
        <f>Données!A221</f>
        <v>5760</v>
      </c>
      <c r="B224" s="169" t="str">
        <f>Données!B221</f>
        <v>Rances</v>
      </c>
      <c r="C224" s="8">
        <f>Données!Z221</f>
        <v>522</v>
      </c>
      <c r="D224" s="8">
        <f t="shared" si="12"/>
        <v>522</v>
      </c>
      <c r="E224" s="224">
        <f t="shared" si="15"/>
        <v>0</v>
      </c>
      <c r="F224" s="8">
        <f t="shared" si="15"/>
        <v>0</v>
      </c>
      <c r="G224" s="224">
        <f t="shared" si="15"/>
        <v>0</v>
      </c>
      <c r="H224" s="31">
        <f t="shared" si="15"/>
        <v>0</v>
      </c>
      <c r="I224" s="8">
        <f t="shared" si="15"/>
        <v>0</v>
      </c>
      <c r="J224" s="8">
        <f t="shared" si="13"/>
        <v>0</v>
      </c>
      <c r="K224" s="72">
        <f t="shared" si="14"/>
        <v>-67350.603621730363</v>
      </c>
    </row>
    <row r="225" spans="1:11" x14ac:dyDescent="0.25">
      <c r="A225" s="38">
        <f>Données!A222</f>
        <v>5761</v>
      </c>
      <c r="B225" s="169" t="str">
        <f>Données!B222</f>
        <v>Romainmôtier-Envy</v>
      </c>
      <c r="C225" s="8">
        <f>Données!Z222</f>
        <v>567</v>
      </c>
      <c r="D225" s="8">
        <f t="shared" si="12"/>
        <v>567</v>
      </c>
      <c r="E225" s="224">
        <f t="shared" si="15"/>
        <v>0</v>
      </c>
      <c r="F225" s="8">
        <f t="shared" si="15"/>
        <v>0</v>
      </c>
      <c r="G225" s="224">
        <f t="shared" si="15"/>
        <v>0</v>
      </c>
      <c r="H225" s="31">
        <f t="shared" si="15"/>
        <v>0</v>
      </c>
      <c r="I225" s="8">
        <f t="shared" si="15"/>
        <v>0</v>
      </c>
      <c r="J225" s="8">
        <f t="shared" si="13"/>
        <v>0</v>
      </c>
      <c r="K225" s="72">
        <f t="shared" si="14"/>
        <v>-73156.69014084505</v>
      </c>
    </row>
    <row r="226" spans="1:11" x14ac:dyDescent="0.25">
      <c r="A226" s="38">
        <f>Données!A223</f>
        <v>5762</v>
      </c>
      <c r="B226" s="169" t="str">
        <f>Données!B223</f>
        <v>Sergey</v>
      </c>
      <c r="C226" s="8">
        <f>Données!Z223</f>
        <v>140</v>
      </c>
      <c r="D226" s="8">
        <f t="shared" si="12"/>
        <v>140</v>
      </c>
      <c r="E226" s="224">
        <f t="shared" si="15"/>
        <v>0</v>
      </c>
      <c r="F226" s="8">
        <f t="shared" si="15"/>
        <v>0</v>
      </c>
      <c r="G226" s="224">
        <f t="shared" si="15"/>
        <v>0</v>
      </c>
      <c r="H226" s="31">
        <f t="shared" si="15"/>
        <v>0</v>
      </c>
      <c r="I226" s="8">
        <f t="shared" si="15"/>
        <v>0</v>
      </c>
      <c r="J226" s="8">
        <f t="shared" si="13"/>
        <v>0</v>
      </c>
      <c r="K226" s="72">
        <f t="shared" si="14"/>
        <v>-18063.380281690137</v>
      </c>
    </row>
    <row r="227" spans="1:11" x14ac:dyDescent="0.25">
      <c r="A227" s="38">
        <f>Données!A224</f>
        <v>5763</v>
      </c>
      <c r="B227" s="169" t="str">
        <f>Données!B224</f>
        <v>Valeyres-sous-Rances</v>
      </c>
      <c r="C227" s="8">
        <f>Données!Z224</f>
        <v>606</v>
      </c>
      <c r="D227" s="8">
        <f t="shared" si="12"/>
        <v>606</v>
      </c>
      <c r="E227" s="224">
        <f t="shared" si="15"/>
        <v>0</v>
      </c>
      <c r="F227" s="8">
        <f t="shared" si="15"/>
        <v>0</v>
      </c>
      <c r="G227" s="224">
        <f t="shared" si="15"/>
        <v>0</v>
      </c>
      <c r="H227" s="31">
        <f t="shared" si="15"/>
        <v>0</v>
      </c>
      <c r="I227" s="8">
        <f t="shared" si="15"/>
        <v>0</v>
      </c>
      <c r="J227" s="8">
        <f t="shared" si="13"/>
        <v>0</v>
      </c>
      <c r="K227" s="72">
        <f t="shared" si="14"/>
        <v>-78188.631790744446</v>
      </c>
    </row>
    <row r="228" spans="1:11" x14ac:dyDescent="0.25">
      <c r="A228" s="38">
        <f>Données!A225</f>
        <v>5764</v>
      </c>
      <c r="B228" s="169" t="str">
        <f>Données!B225</f>
        <v>Vallorbe</v>
      </c>
      <c r="C228" s="8">
        <f>Données!Z225</f>
        <v>3990</v>
      </c>
      <c r="D228" s="8">
        <f t="shared" si="12"/>
        <v>1000</v>
      </c>
      <c r="E228" s="224">
        <f t="shared" si="15"/>
        <v>2000</v>
      </c>
      <c r="F228" s="8">
        <f t="shared" si="15"/>
        <v>990</v>
      </c>
      <c r="G228" s="224">
        <f t="shared" si="15"/>
        <v>0</v>
      </c>
      <c r="H228" s="31">
        <f t="shared" si="15"/>
        <v>0</v>
      </c>
      <c r="I228" s="8">
        <f t="shared" si="15"/>
        <v>0</v>
      </c>
      <c r="J228" s="8">
        <f t="shared" si="13"/>
        <v>0</v>
      </c>
      <c r="K228" s="72">
        <f t="shared" si="14"/>
        <v>-1362494.9698189131</v>
      </c>
    </row>
    <row r="229" spans="1:11" x14ac:dyDescent="0.25">
      <c r="A229" s="38">
        <f>Données!A226</f>
        <v>5765</v>
      </c>
      <c r="B229" s="169" t="str">
        <f>Données!B226</f>
        <v>Vaulion</v>
      </c>
      <c r="C229" s="8">
        <f>Données!Z226</f>
        <v>483</v>
      </c>
      <c r="D229" s="8">
        <f t="shared" si="12"/>
        <v>483</v>
      </c>
      <c r="E229" s="224">
        <f t="shared" si="15"/>
        <v>0</v>
      </c>
      <c r="F229" s="8">
        <f t="shared" si="15"/>
        <v>0</v>
      </c>
      <c r="G229" s="224">
        <f t="shared" si="15"/>
        <v>0</v>
      </c>
      <c r="H229" s="31">
        <f t="shared" si="15"/>
        <v>0</v>
      </c>
      <c r="I229" s="8">
        <f t="shared" si="15"/>
        <v>0</v>
      </c>
      <c r="J229" s="8">
        <f t="shared" si="13"/>
        <v>0</v>
      </c>
      <c r="K229" s="72">
        <f t="shared" si="14"/>
        <v>-62318.661971830974</v>
      </c>
    </row>
    <row r="230" spans="1:11" x14ac:dyDescent="0.25">
      <c r="A230" s="38">
        <f>Données!A227</f>
        <v>5766</v>
      </c>
      <c r="B230" s="169" t="str">
        <f>Données!B227</f>
        <v>Vuiteboeuf</v>
      </c>
      <c r="C230" s="8">
        <f>Données!Z227</f>
        <v>592</v>
      </c>
      <c r="D230" s="8">
        <f t="shared" si="12"/>
        <v>592</v>
      </c>
      <c r="E230" s="224">
        <f t="shared" si="15"/>
        <v>0</v>
      </c>
      <c r="F230" s="8">
        <f t="shared" si="15"/>
        <v>0</v>
      </c>
      <c r="G230" s="224">
        <f t="shared" si="15"/>
        <v>0</v>
      </c>
      <c r="H230" s="31">
        <f t="shared" si="15"/>
        <v>0</v>
      </c>
      <c r="I230" s="8">
        <f t="shared" si="15"/>
        <v>0</v>
      </c>
      <c r="J230" s="8">
        <f t="shared" si="13"/>
        <v>0</v>
      </c>
      <c r="K230" s="72">
        <f t="shared" si="14"/>
        <v>-76382.293762575442</v>
      </c>
    </row>
    <row r="231" spans="1:11" x14ac:dyDescent="0.25">
      <c r="A231" s="38">
        <f>Données!A228</f>
        <v>5785</v>
      </c>
      <c r="B231" s="169" t="str">
        <f>Données!B228</f>
        <v>Corcelles-le-Jorat</v>
      </c>
      <c r="C231" s="8">
        <f>Données!Z228</f>
        <v>484</v>
      </c>
      <c r="D231" s="8">
        <f t="shared" si="12"/>
        <v>484</v>
      </c>
      <c r="E231" s="224">
        <f t="shared" si="15"/>
        <v>0</v>
      </c>
      <c r="F231" s="8">
        <f t="shared" si="15"/>
        <v>0</v>
      </c>
      <c r="G231" s="224">
        <f t="shared" si="15"/>
        <v>0</v>
      </c>
      <c r="H231" s="31">
        <f t="shared" si="15"/>
        <v>0</v>
      </c>
      <c r="I231" s="8">
        <f t="shared" si="15"/>
        <v>0</v>
      </c>
      <c r="J231" s="8">
        <f t="shared" si="13"/>
        <v>0</v>
      </c>
      <c r="K231" s="72">
        <f t="shared" si="14"/>
        <v>-62447.686116700184</v>
      </c>
    </row>
    <row r="232" spans="1:11" x14ac:dyDescent="0.25">
      <c r="A232" s="38">
        <f>Données!A229</f>
        <v>5790</v>
      </c>
      <c r="B232" s="169" t="str">
        <f>Données!B229</f>
        <v>Maracon</v>
      </c>
      <c r="C232" s="8">
        <f>Données!Z229</f>
        <v>544</v>
      </c>
      <c r="D232" s="8">
        <f t="shared" si="12"/>
        <v>544</v>
      </c>
      <c r="E232" s="224">
        <f t="shared" si="15"/>
        <v>0</v>
      </c>
      <c r="F232" s="8">
        <f t="shared" si="15"/>
        <v>0</v>
      </c>
      <c r="G232" s="224">
        <f t="shared" si="15"/>
        <v>0</v>
      </c>
      <c r="H232" s="31">
        <f t="shared" si="15"/>
        <v>0</v>
      </c>
      <c r="I232" s="8">
        <f t="shared" si="15"/>
        <v>0</v>
      </c>
      <c r="J232" s="8">
        <f t="shared" si="13"/>
        <v>0</v>
      </c>
      <c r="K232" s="72">
        <f t="shared" si="14"/>
        <v>-70189.134808853109</v>
      </c>
    </row>
    <row r="233" spans="1:11" x14ac:dyDescent="0.25">
      <c r="A233" s="38">
        <f>Données!A230</f>
        <v>5792</v>
      </c>
      <c r="B233" s="169" t="str">
        <f>Données!B230</f>
        <v>Montpreveyres</v>
      </c>
      <c r="C233" s="8">
        <f>Données!Z230</f>
        <v>662</v>
      </c>
      <c r="D233" s="8">
        <f t="shared" si="12"/>
        <v>662</v>
      </c>
      <c r="E233" s="224">
        <f t="shared" si="15"/>
        <v>0</v>
      </c>
      <c r="F233" s="8">
        <f t="shared" si="15"/>
        <v>0</v>
      </c>
      <c r="G233" s="224">
        <f t="shared" si="15"/>
        <v>0</v>
      </c>
      <c r="H233" s="31">
        <f t="shared" si="15"/>
        <v>0</v>
      </c>
      <c r="I233" s="8">
        <f t="shared" si="15"/>
        <v>0</v>
      </c>
      <c r="J233" s="8">
        <f t="shared" si="13"/>
        <v>0</v>
      </c>
      <c r="K233" s="72">
        <f t="shared" si="14"/>
        <v>-85413.983903420507</v>
      </c>
    </row>
    <row r="234" spans="1:11" x14ac:dyDescent="0.25">
      <c r="A234" s="38">
        <f>Données!A231</f>
        <v>5798</v>
      </c>
      <c r="B234" s="169" t="str">
        <f>Données!B231</f>
        <v>Ropraz</v>
      </c>
      <c r="C234" s="8">
        <f>Données!Z231</f>
        <v>529</v>
      </c>
      <c r="D234" s="8">
        <f t="shared" si="12"/>
        <v>529</v>
      </c>
      <c r="E234" s="224">
        <f t="shared" si="15"/>
        <v>0</v>
      </c>
      <c r="F234" s="8">
        <f t="shared" si="15"/>
        <v>0</v>
      </c>
      <c r="G234" s="224">
        <f t="shared" si="15"/>
        <v>0</v>
      </c>
      <c r="H234" s="31">
        <f t="shared" si="15"/>
        <v>0</v>
      </c>
      <c r="I234" s="8">
        <f t="shared" si="15"/>
        <v>0</v>
      </c>
      <c r="J234" s="8">
        <f t="shared" si="13"/>
        <v>0</v>
      </c>
      <c r="K234" s="72">
        <f t="shared" si="14"/>
        <v>-68253.772635814879</v>
      </c>
    </row>
    <row r="235" spans="1:11" x14ac:dyDescent="0.25">
      <c r="A235" s="38">
        <f>Données!A232</f>
        <v>5799</v>
      </c>
      <c r="B235" s="169" t="str">
        <f>Données!B232</f>
        <v>Servion</v>
      </c>
      <c r="C235" s="8">
        <f>Données!Z232</f>
        <v>2138</v>
      </c>
      <c r="D235" s="8">
        <f t="shared" si="12"/>
        <v>1000</v>
      </c>
      <c r="E235" s="224">
        <f t="shared" si="15"/>
        <v>1138</v>
      </c>
      <c r="F235" s="8">
        <f t="shared" si="15"/>
        <v>0</v>
      </c>
      <c r="G235" s="224">
        <f t="shared" si="15"/>
        <v>0</v>
      </c>
      <c r="H235" s="31">
        <f t="shared" si="15"/>
        <v>0</v>
      </c>
      <c r="I235" s="8">
        <f t="shared" si="15"/>
        <v>0</v>
      </c>
      <c r="J235" s="8">
        <f t="shared" si="13"/>
        <v>0</v>
      </c>
      <c r="K235" s="72">
        <f t="shared" si="14"/>
        <v>-540146.68008048274</v>
      </c>
    </row>
    <row r="236" spans="1:11" x14ac:dyDescent="0.25">
      <c r="A236" s="38">
        <f>Données!A233</f>
        <v>5803</v>
      </c>
      <c r="B236" s="169" t="str">
        <f>Données!B233</f>
        <v>Vulliens</v>
      </c>
      <c r="C236" s="8">
        <f>Données!Z233</f>
        <v>632</v>
      </c>
      <c r="D236" s="8">
        <f t="shared" ref="D236:D299" si="16">IF($C236&gt;D$5,IF($C236&lt;D$6,$C236-D$5,D$6-D$5),0)</f>
        <v>632</v>
      </c>
      <c r="E236" s="224">
        <f t="shared" si="15"/>
        <v>0</v>
      </c>
      <c r="F236" s="8">
        <f t="shared" si="15"/>
        <v>0</v>
      </c>
      <c r="G236" s="224">
        <f t="shared" si="15"/>
        <v>0</v>
      </c>
      <c r="H236" s="31">
        <f t="shared" si="15"/>
        <v>0</v>
      </c>
      <c r="I236" s="8">
        <f t="shared" si="15"/>
        <v>0</v>
      </c>
      <c r="J236" s="8">
        <f t="shared" si="13"/>
        <v>0</v>
      </c>
      <c r="K236" s="72">
        <f t="shared" si="14"/>
        <v>-81543.259557344049</v>
      </c>
    </row>
    <row r="237" spans="1:11" x14ac:dyDescent="0.25">
      <c r="A237" s="38">
        <f>Données!A234</f>
        <v>5804</v>
      </c>
      <c r="B237" s="169" t="str">
        <f>Données!B234</f>
        <v>Jorat-Menthue</v>
      </c>
      <c r="C237" s="8">
        <f>Données!Z234</f>
        <v>1565</v>
      </c>
      <c r="D237" s="8">
        <f t="shared" si="16"/>
        <v>1000</v>
      </c>
      <c r="E237" s="224">
        <f t="shared" si="15"/>
        <v>565</v>
      </c>
      <c r="F237" s="8">
        <f t="shared" si="15"/>
        <v>0</v>
      </c>
      <c r="G237" s="224">
        <f t="shared" si="15"/>
        <v>0</v>
      </c>
      <c r="H237" s="31">
        <f t="shared" si="15"/>
        <v>0</v>
      </c>
      <c r="I237" s="8">
        <f t="shared" si="15"/>
        <v>0</v>
      </c>
      <c r="J237" s="8">
        <f t="shared" si="13"/>
        <v>0</v>
      </c>
      <c r="K237" s="72">
        <f t="shared" si="14"/>
        <v>-333140.34205231385</v>
      </c>
    </row>
    <row r="238" spans="1:11" x14ac:dyDescent="0.25">
      <c r="A238" s="38">
        <f>Données!A235</f>
        <v>5805</v>
      </c>
      <c r="B238" s="169" t="str">
        <f>Données!B235</f>
        <v>Oron</v>
      </c>
      <c r="C238" s="8">
        <f>Données!Z235</f>
        <v>6119</v>
      </c>
      <c r="D238" s="8">
        <f t="shared" si="16"/>
        <v>1000</v>
      </c>
      <c r="E238" s="224">
        <f t="shared" si="15"/>
        <v>2000</v>
      </c>
      <c r="F238" s="8">
        <f t="shared" si="15"/>
        <v>2000</v>
      </c>
      <c r="G238" s="224">
        <f t="shared" si="15"/>
        <v>1119</v>
      </c>
      <c r="H238" s="31">
        <f t="shared" si="15"/>
        <v>0</v>
      </c>
      <c r="I238" s="8">
        <f t="shared" si="15"/>
        <v>0</v>
      </c>
      <c r="J238" s="8">
        <f t="shared" si="13"/>
        <v>0</v>
      </c>
      <c r="K238" s="72">
        <f t="shared" si="14"/>
        <v>-2576767.0020120721</v>
      </c>
    </row>
    <row r="239" spans="1:11" x14ac:dyDescent="0.25">
      <c r="A239" s="38">
        <f>Données!A236</f>
        <v>5806</v>
      </c>
      <c r="B239" s="169" t="str">
        <f>Données!B236</f>
        <v>Jorat-Mézières</v>
      </c>
      <c r="C239" s="8">
        <f>Données!Z236</f>
        <v>3110</v>
      </c>
      <c r="D239" s="8">
        <f t="shared" si="16"/>
        <v>1000</v>
      </c>
      <c r="E239" s="224">
        <f t="shared" si="15"/>
        <v>2000</v>
      </c>
      <c r="F239" s="8">
        <f t="shared" si="15"/>
        <v>110</v>
      </c>
      <c r="G239" s="224">
        <f t="shared" si="15"/>
        <v>0</v>
      </c>
      <c r="H239" s="31">
        <f t="shared" si="15"/>
        <v>0</v>
      </c>
      <c r="I239" s="8">
        <f t="shared" si="15"/>
        <v>0</v>
      </c>
      <c r="J239" s="8">
        <f t="shared" si="13"/>
        <v>0</v>
      </c>
      <c r="K239" s="72">
        <f t="shared" si="14"/>
        <v>-908329.97987927543</v>
      </c>
    </row>
    <row r="240" spans="1:11" x14ac:dyDescent="0.25">
      <c r="A240" s="38">
        <f>Données!A237</f>
        <v>5812</v>
      </c>
      <c r="B240" s="169" t="str">
        <f>Données!B237</f>
        <v>Champtauroz</v>
      </c>
      <c r="C240" s="8">
        <f>Données!Z237</f>
        <v>169</v>
      </c>
      <c r="D240" s="8">
        <f t="shared" si="16"/>
        <v>169</v>
      </c>
      <c r="E240" s="224">
        <f t="shared" si="15"/>
        <v>0</v>
      </c>
      <c r="F240" s="8">
        <f t="shared" si="15"/>
        <v>0</v>
      </c>
      <c r="G240" s="224">
        <f t="shared" si="15"/>
        <v>0</v>
      </c>
      <c r="H240" s="31">
        <f t="shared" si="15"/>
        <v>0</v>
      </c>
      <c r="I240" s="8">
        <f t="shared" si="15"/>
        <v>0</v>
      </c>
      <c r="J240" s="8">
        <f t="shared" si="13"/>
        <v>0</v>
      </c>
      <c r="K240" s="72">
        <f t="shared" si="14"/>
        <v>-21805.080482897378</v>
      </c>
    </row>
    <row r="241" spans="1:11" x14ac:dyDescent="0.25">
      <c r="A241" s="38">
        <f>Données!A238</f>
        <v>5813</v>
      </c>
      <c r="B241" s="169" t="str">
        <f>Données!B238</f>
        <v>Chevroux</v>
      </c>
      <c r="C241" s="8">
        <f>Données!Z238</f>
        <v>522</v>
      </c>
      <c r="D241" s="8">
        <f t="shared" si="16"/>
        <v>522</v>
      </c>
      <c r="E241" s="224">
        <f t="shared" si="15"/>
        <v>0</v>
      </c>
      <c r="F241" s="8">
        <f t="shared" si="15"/>
        <v>0</v>
      </c>
      <c r="G241" s="224">
        <f t="shared" si="15"/>
        <v>0</v>
      </c>
      <c r="H241" s="31">
        <f t="shared" si="15"/>
        <v>0</v>
      </c>
      <c r="I241" s="8">
        <f t="shared" si="15"/>
        <v>0</v>
      </c>
      <c r="J241" s="8">
        <f t="shared" si="13"/>
        <v>0</v>
      </c>
      <c r="K241" s="72">
        <f t="shared" si="14"/>
        <v>-67350.603621730363</v>
      </c>
    </row>
    <row r="242" spans="1:11" x14ac:dyDescent="0.25">
      <c r="A242" s="38">
        <f>Données!A239</f>
        <v>5816</v>
      </c>
      <c r="B242" s="169" t="str">
        <f>Données!B239</f>
        <v>Corcelles-près-Payerne</v>
      </c>
      <c r="C242" s="8">
        <f>Données!Z239</f>
        <v>2852</v>
      </c>
      <c r="D242" s="8">
        <f t="shared" si="16"/>
        <v>1000</v>
      </c>
      <c r="E242" s="224">
        <f t="shared" si="15"/>
        <v>1852</v>
      </c>
      <c r="F242" s="8">
        <f t="shared" si="15"/>
        <v>0</v>
      </c>
      <c r="G242" s="224">
        <f t="shared" si="15"/>
        <v>0</v>
      </c>
      <c r="H242" s="31">
        <f t="shared" si="15"/>
        <v>0</v>
      </c>
      <c r="I242" s="8">
        <f t="shared" si="15"/>
        <v>0</v>
      </c>
      <c r="J242" s="8">
        <f t="shared" si="13"/>
        <v>0</v>
      </c>
      <c r="K242" s="72">
        <f t="shared" si="14"/>
        <v>-798091.75050301803</v>
      </c>
    </row>
    <row r="243" spans="1:11" x14ac:dyDescent="0.25">
      <c r="A243" s="38">
        <f>Données!A240</f>
        <v>5817</v>
      </c>
      <c r="B243" s="169" t="str">
        <f>Données!B240</f>
        <v>Grandcour</v>
      </c>
      <c r="C243" s="8">
        <f>Données!Z240</f>
        <v>1001</v>
      </c>
      <c r="D243" s="8">
        <f t="shared" si="16"/>
        <v>1000</v>
      </c>
      <c r="E243" s="224">
        <f t="shared" si="15"/>
        <v>1</v>
      </c>
      <c r="F243" s="8">
        <f t="shared" si="15"/>
        <v>0</v>
      </c>
      <c r="G243" s="224">
        <f t="shared" si="15"/>
        <v>0</v>
      </c>
      <c r="H243" s="31">
        <f t="shared" si="15"/>
        <v>0</v>
      </c>
      <c r="I243" s="8">
        <f t="shared" si="15"/>
        <v>0</v>
      </c>
      <c r="J243" s="8">
        <f t="shared" si="13"/>
        <v>0</v>
      </c>
      <c r="K243" s="72">
        <f t="shared" si="14"/>
        <v>-129385.41247484907</v>
      </c>
    </row>
    <row r="244" spans="1:11" x14ac:dyDescent="0.25">
      <c r="A244" s="38">
        <f>Données!A241</f>
        <v>5819</v>
      </c>
      <c r="B244" s="169" t="str">
        <f>Données!B241</f>
        <v>Henniez</v>
      </c>
      <c r="C244" s="8">
        <f>Données!Z241</f>
        <v>414</v>
      </c>
      <c r="D244" s="8">
        <f t="shared" si="16"/>
        <v>414</v>
      </c>
      <c r="E244" s="224">
        <f t="shared" si="15"/>
        <v>0</v>
      </c>
      <c r="F244" s="8">
        <f t="shared" si="15"/>
        <v>0</v>
      </c>
      <c r="G244" s="224">
        <f t="shared" si="15"/>
        <v>0</v>
      </c>
      <c r="H244" s="31">
        <f t="shared" si="15"/>
        <v>0</v>
      </c>
      <c r="I244" s="8">
        <f t="shared" si="15"/>
        <v>0</v>
      </c>
      <c r="J244" s="8">
        <f t="shared" si="13"/>
        <v>0</v>
      </c>
      <c r="K244" s="72">
        <f t="shared" si="14"/>
        <v>-53415.995975855119</v>
      </c>
    </row>
    <row r="245" spans="1:11" x14ac:dyDescent="0.25">
      <c r="A245" s="38">
        <f>Données!A242</f>
        <v>5821</v>
      </c>
      <c r="B245" s="169" t="str">
        <f>Données!B242</f>
        <v>Missy</v>
      </c>
      <c r="C245" s="8">
        <f>Données!Z242</f>
        <v>387</v>
      </c>
      <c r="D245" s="8">
        <f t="shared" si="16"/>
        <v>387</v>
      </c>
      <c r="E245" s="224">
        <f t="shared" si="15"/>
        <v>0</v>
      </c>
      <c r="F245" s="8">
        <f t="shared" si="15"/>
        <v>0</v>
      </c>
      <c r="G245" s="224">
        <f t="shared" si="15"/>
        <v>0</v>
      </c>
      <c r="H245" s="31">
        <f t="shared" si="15"/>
        <v>0</v>
      </c>
      <c r="I245" s="8">
        <f t="shared" si="15"/>
        <v>0</v>
      </c>
      <c r="J245" s="8">
        <f t="shared" si="13"/>
        <v>0</v>
      </c>
      <c r="K245" s="72">
        <f t="shared" si="14"/>
        <v>-49932.344064386307</v>
      </c>
    </row>
    <row r="246" spans="1:11" x14ac:dyDescent="0.25">
      <c r="A246" s="38">
        <f>Données!A243</f>
        <v>5822</v>
      </c>
      <c r="B246" s="169" t="str">
        <f>Données!B243</f>
        <v>Payerne</v>
      </c>
      <c r="C246" s="8">
        <f>Données!Z243</f>
        <v>10382</v>
      </c>
      <c r="D246" s="8">
        <f t="shared" si="16"/>
        <v>1000</v>
      </c>
      <c r="E246" s="224">
        <f t="shared" si="15"/>
        <v>2000</v>
      </c>
      <c r="F246" s="8">
        <f t="shared" si="15"/>
        <v>2000</v>
      </c>
      <c r="G246" s="224">
        <f t="shared" si="15"/>
        <v>4000</v>
      </c>
      <c r="H246" s="31">
        <f t="shared" si="15"/>
        <v>1382</v>
      </c>
      <c r="I246" s="8">
        <f t="shared" si="15"/>
        <v>0</v>
      </c>
      <c r="J246" s="8">
        <f t="shared" si="13"/>
        <v>0</v>
      </c>
      <c r="K246" s="72">
        <f t="shared" si="14"/>
        <v>-5573533.4004024127</v>
      </c>
    </row>
    <row r="247" spans="1:11" x14ac:dyDescent="0.25">
      <c r="A247" s="38">
        <f>Données!A244</f>
        <v>5827</v>
      </c>
      <c r="B247" s="169" t="str">
        <f>Données!B244</f>
        <v>Trey</v>
      </c>
      <c r="C247" s="8">
        <f>Données!Z244</f>
        <v>302</v>
      </c>
      <c r="D247" s="8">
        <f t="shared" si="16"/>
        <v>302</v>
      </c>
      <c r="E247" s="224">
        <f t="shared" si="15"/>
        <v>0</v>
      </c>
      <c r="F247" s="8">
        <f t="shared" si="15"/>
        <v>0</v>
      </c>
      <c r="G247" s="224">
        <f t="shared" si="15"/>
        <v>0</v>
      </c>
      <c r="H247" s="31">
        <f t="shared" si="15"/>
        <v>0</v>
      </c>
      <c r="I247" s="8">
        <f t="shared" si="15"/>
        <v>0</v>
      </c>
      <c r="J247" s="8">
        <f t="shared" si="13"/>
        <v>0</v>
      </c>
      <c r="K247" s="72">
        <f t="shared" si="14"/>
        <v>-38965.291750503013</v>
      </c>
    </row>
    <row r="248" spans="1:11" x14ac:dyDescent="0.25">
      <c r="A248" s="38">
        <f>Données!A245</f>
        <v>5828</v>
      </c>
      <c r="B248" s="169" t="str">
        <f>Données!B245</f>
        <v>Treytorrens (Payerne)</v>
      </c>
      <c r="C248" s="8">
        <f>Données!Z245</f>
        <v>105</v>
      </c>
      <c r="D248" s="8">
        <f t="shared" si="16"/>
        <v>105</v>
      </c>
      <c r="E248" s="224">
        <f t="shared" si="15"/>
        <v>0</v>
      </c>
      <c r="F248" s="8">
        <f t="shared" si="15"/>
        <v>0</v>
      </c>
      <c r="G248" s="224">
        <f t="shared" si="15"/>
        <v>0</v>
      </c>
      <c r="H248" s="31">
        <f t="shared" si="15"/>
        <v>0</v>
      </c>
      <c r="I248" s="8">
        <f t="shared" si="15"/>
        <v>0</v>
      </c>
      <c r="J248" s="8">
        <f t="shared" si="13"/>
        <v>0</v>
      </c>
      <c r="K248" s="72">
        <f t="shared" si="14"/>
        <v>-13547.535211267603</v>
      </c>
    </row>
    <row r="249" spans="1:11" x14ac:dyDescent="0.25">
      <c r="A249" s="38">
        <f>Données!A246</f>
        <v>5830</v>
      </c>
      <c r="B249" s="169" t="str">
        <f>Données!B246</f>
        <v>Villarzel</v>
      </c>
      <c r="C249" s="8">
        <f>Données!Z246</f>
        <v>487</v>
      </c>
      <c r="D249" s="8">
        <f t="shared" si="16"/>
        <v>487</v>
      </c>
      <c r="E249" s="224">
        <f t="shared" si="15"/>
        <v>0</v>
      </c>
      <c r="F249" s="8">
        <f t="shared" si="15"/>
        <v>0</v>
      </c>
      <c r="G249" s="224">
        <f t="shared" si="15"/>
        <v>0</v>
      </c>
      <c r="H249" s="31">
        <f t="shared" si="15"/>
        <v>0</v>
      </c>
      <c r="I249" s="8">
        <f t="shared" si="15"/>
        <v>0</v>
      </c>
      <c r="J249" s="8">
        <f t="shared" si="13"/>
        <v>0</v>
      </c>
      <c r="K249" s="72">
        <f t="shared" si="14"/>
        <v>-62834.75855130783</v>
      </c>
    </row>
    <row r="250" spans="1:11" x14ac:dyDescent="0.25">
      <c r="A250" s="38">
        <f>Données!A247</f>
        <v>5831</v>
      </c>
      <c r="B250" s="169" t="str">
        <f>Données!B247</f>
        <v>Valbroye</v>
      </c>
      <c r="C250" s="8">
        <f>Données!Z247</f>
        <v>3362</v>
      </c>
      <c r="D250" s="8">
        <f t="shared" si="16"/>
        <v>1000</v>
      </c>
      <c r="E250" s="224">
        <f t="shared" si="15"/>
        <v>2000</v>
      </c>
      <c r="F250" s="8">
        <f t="shared" si="15"/>
        <v>362</v>
      </c>
      <c r="G250" s="224">
        <f t="shared" si="15"/>
        <v>0</v>
      </c>
      <c r="H250" s="31">
        <f t="shared" si="15"/>
        <v>0</v>
      </c>
      <c r="I250" s="8">
        <f t="shared" si="15"/>
        <v>0</v>
      </c>
      <c r="J250" s="8">
        <f t="shared" si="13"/>
        <v>0</v>
      </c>
      <c r="K250" s="72">
        <f t="shared" si="14"/>
        <v>-1038386.3179074444</v>
      </c>
    </row>
    <row r="251" spans="1:11" x14ac:dyDescent="0.25">
      <c r="A251" s="38">
        <f>Données!A248</f>
        <v>5841</v>
      </c>
      <c r="B251" s="169" t="str">
        <f>Données!B248</f>
        <v>Château-d'Oex</v>
      </c>
      <c r="C251" s="8">
        <f>Données!Z248</f>
        <v>3569</v>
      </c>
      <c r="D251" s="8">
        <f t="shared" si="16"/>
        <v>1000</v>
      </c>
      <c r="E251" s="224">
        <f t="shared" si="15"/>
        <v>2000</v>
      </c>
      <c r="F251" s="8">
        <f t="shared" si="15"/>
        <v>569</v>
      </c>
      <c r="G251" s="224">
        <f t="shared" si="15"/>
        <v>0</v>
      </c>
      <c r="H251" s="31">
        <f t="shared" si="15"/>
        <v>0</v>
      </c>
      <c r="I251" s="8">
        <f t="shared" si="15"/>
        <v>0</v>
      </c>
      <c r="J251" s="8">
        <f t="shared" si="13"/>
        <v>0</v>
      </c>
      <c r="K251" s="72">
        <f t="shared" si="14"/>
        <v>-1145218.3098591547</v>
      </c>
    </row>
    <row r="252" spans="1:11" x14ac:dyDescent="0.25">
      <c r="A252" s="38">
        <f>Données!A249</f>
        <v>5842</v>
      </c>
      <c r="B252" s="169" t="str">
        <f>Données!B249</f>
        <v>Rossinière</v>
      </c>
      <c r="C252" s="8">
        <f>Données!Z249</f>
        <v>534</v>
      </c>
      <c r="D252" s="8">
        <f t="shared" si="16"/>
        <v>534</v>
      </c>
      <c r="E252" s="224">
        <f t="shared" si="15"/>
        <v>0</v>
      </c>
      <c r="F252" s="8">
        <f t="shared" si="15"/>
        <v>0</v>
      </c>
      <c r="G252" s="224">
        <f t="shared" si="15"/>
        <v>0</v>
      </c>
      <c r="H252" s="31">
        <f t="shared" si="15"/>
        <v>0</v>
      </c>
      <c r="I252" s="8">
        <f t="shared" si="15"/>
        <v>0</v>
      </c>
      <c r="J252" s="8">
        <f t="shared" si="13"/>
        <v>0</v>
      </c>
      <c r="K252" s="72">
        <f t="shared" si="14"/>
        <v>-68898.893360160946</v>
      </c>
    </row>
    <row r="253" spans="1:11" x14ac:dyDescent="0.25">
      <c r="A253" s="38">
        <f>Données!A250</f>
        <v>5843</v>
      </c>
      <c r="B253" s="169" t="str">
        <f>Données!B250</f>
        <v>Rougemont</v>
      </c>
      <c r="C253" s="8">
        <f>Données!Z250</f>
        <v>830</v>
      </c>
      <c r="D253" s="8">
        <f t="shared" si="16"/>
        <v>830</v>
      </c>
      <c r="E253" s="224">
        <f t="shared" si="15"/>
        <v>0</v>
      </c>
      <c r="F253" s="8">
        <f t="shared" si="15"/>
        <v>0</v>
      </c>
      <c r="G253" s="224">
        <f t="shared" si="15"/>
        <v>0</v>
      </c>
      <c r="H253" s="31">
        <f t="shared" si="15"/>
        <v>0</v>
      </c>
      <c r="I253" s="8">
        <f t="shared" si="15"/>
        <v>0</v>
      </c>
      <c r="J253" s="8">
        <f t="shared" si="13"/>
        <v>0</v>
      </c>
      <c r="K253" s="72">
        <f t="shared" si="14"/>
        <v>-107090.04024144867</v>
      </c>
    </row>
    <row r="254" spans="1:11" x14ac:dyDescent="0.25">
      <c r="A254" s="38">
        <f>Données!A251</f>
        <v>5851</v>
      </c>
      <c r="B254" s="169" t="str">
        <f>Données!B251</f>
        <v>Allaman</v>
      </c>
      <c r="C254" s="8">
        <f>Données!Z251</f>
        <v>420</v>
      </c>
      <c r="D254" s="8">
        <f t="shared" si="16"/>
        <v>420</v>
      </c>
      <c r="E254" s="224">
        <f t="shared" si="15"/>
        <v>0</v>
      </c>
      <c r="F254" s="8">
        <f t="shared" si="15"/>
        <v>0</v>
      </c>
      <c r="G254" s="224">
        <f t="shared" si="15"/>
        <v>0</v>
      </c>
      <c r="H254" s="31">
        <f t="shared" si="15"/>
        <v>0</v>
      </c>
      <c r="I254" s="8">
        <f t="shared" si="15"/>
        <v>0</v>
      </c>
      <c r="J254" s="8">
        <f t="shared" si="13"/>
        <v>0</v>
      </c>
      <c r="K254" s="72">
        <f t="shared" si="14"/>
        <v>-54190.140845070411</v>
      </c>
    </row>
    <row r="255" spans="1:11" x14ac:dyDescent="0.25">
      <c r="A255" s="38">
        <f>Données!A252</f>
        <v>5852</v>
      </c>
      <c r="B255" s="169" t="str">
        <f>Données!B252</f>
        <v>Bursinel</v>
      </c>
      <c r="C255" s="8">
        <f>Données!Z252</f>
        <v>503</v>
      </c>
      <c r="D255" s="8">
        <f t="shared" si="16"/>
        <v>503</v>
      </c>
      <c r="E255" s="224">
        <f t="shared" si="15"/>
        <v>0</v>
      </c>
      <c r="F255" s="8">
        <f t="shared" si="15"/>
        <v>0</v>
      </c>
      <c r="G255" s="224">
        <f t="shared" si="15"/>
        <v>0</v>
      </c>
      <c r="H255" s="31">
        <f t="shared" si="15"/>
        <v>0</v>
      </c>
      <c r="I255" s="8">
        <f t="shared" si="15"/>
        <v>0</v>
      </c>
      <c r="J255" s="8">
        <f t="shared" si="13"/>
        <v>0</v>
      </c>
      <c r="K255" s="72">
        <f t="shared" si="14"/>
        <v>-64899.144869215277</v>
      </c>
    </row>
    <row r="256" spans="1:11" x14ac:dyDescent="0.25">
      <c r="A256" s="38">
        <f>Données!A253</f>
        <v>5853</v>
      </c>
      <c r="B256" s="169" t="str">
        <f>Données!B253</f>
        <v>Bursins</v>
      </c>
      <c r="C256" s="8">
        <f>Données!Z253</f>
        <v>767</v>
      </c>
      <c r="D256" s="8">
        <f t="shared" si="16"/>
        <v>767</v>
      </c>
      <c r="E256" s="224">
        <f t="shared" si="15"/>
        <v>0</v>
      </c>
      <c r="F256" s="8">
        <f t="shared" si="15"/>
        <v>0</v>
      </c>
      <c r="G256" s="224">
        <f t="shared" si="15"/>
        <v>0</v>
      </c>
      <c r="H256" s="31">
        <f t="shared" si="15"/>
        <v>0</v>
      </c>
      <c r="I256" s="8">
        <f t="shared" si="15"/>
        <v>0</v>
      </c>
      <c r="J256" s="8">
        <f t="shared" si="13"/>
        <v>0</v>
      </c>
      <c r="K256" s="72">
        <f t="shared" si="14"/>
        <v>-98961.519114688112</v>
      </c>
    </row>
    <row r="257" spans="1:11" x14ac:dyDescent="0.25">
      <c r="A257" s="38">
        <f>Données!A254</f>
        <v>5854</v>
      </c>
      <c r="B257" s="169" t="str">
        <f>Données!B254</f>
        <v>Burtigny</v>
      </c>
      <c r="C257" s="8">
        <f>Données!Z254</f>
        <v>414</v>
      </c>
      <c r="D257" s="8">
        <f t="shared" si="16"/>
        <v>414</v>
      </c>
      <c r="E257" s="224">
        <f t="shared" si="15"/>
        <v>0</v>
      </c>
      <c r="F257" s="8">
        <f t="shared" si="15"/>
        <v>0</v>
      </c>
      <c r="G257" s="224">
        <f t="shared" si="15"/>
        <v>0</v>
      </c>
      <c r="H257" s="31">
        <f t="shared" si="15"/>
        <v>0</v>
      </c>
      <c r="I257" s="8">
        <f t="shared" si="15"/>
        <v>0</v>
      </c>
      <c r="J257" s="8">
        <f t="shared" si="13"/>
        <v>0</v>
      </c>
      <c r="K257" s="72">
        <f t="shared" si="14"/>
        <v>-53415.995975855119</v>
      </c>
    </row>
    <row r="258" spans="1:11" x14ac:dyDescent="0.25">
      <c r="A258" s="38">
        <f>Données!A255</f>
        <v>5855</v>
      </c>
      <c r="B258" s="169" t="str">
        <f>Données!B255</f>
        <v>Dully</v>
      </c>
      <c r="C258" s="8">
        <f>Données!Z255</f>
        <v>631</v>
      </c>
      <c r="D258" s="8">
        <f t="shared" si="16"/>
        <v>631</v>
      </c>
      <c r="E258" s="224">
        <f t="shared" si="15"/>
        <v>0</v>
      </c>
      <c r="F258" s="8">
        <f t="shared" si="15"/>
        <v>0</v>
      </c>
      <c r="G258" s="224">
        <f t="shared" si="15"/>
        <v>0</v>
      </c>
      <c r="H258" s="31">
        <f t="shared" si="15"/>
        <v>0</v>
      </c>
      <c r="I258" s="8">
        <f t="shared" si="15"/>
        <v>0</v>
      </c>
      <c r="J258" s="8">
        <f t="shared" si="13"/>
        <v>0</v>
      </c>
      <c r="K258" s="72">
        <f t="shared" si="14"/>
        <v>-81414.235412474838</v>
      </c>
    </row>
    <row r="259" spans="1:11" x14ac:dyDescent="0.25">
      <c r="A259" s="38">
        <f>Données!A256</f>
        <v>5856</v>
      </c>
      <c r="B259" s="169" t="str">
        <f>Données!B256</f>
        <v>Essertines-sur-Rolle</v>
      </c>
      <c r="C259" s="8">
        <f>Données!Z256</f>
        <v>757</v>
      </c>
      <c r="D259" s="8">
        <f t="shared" si="16"/>
        <v>757</v>
      </c>
      <c r="E259" s="224">
        <f t="shared" si="15"/>
        <v>0</v>
      </c>
      <c r="F259" s="8">
        <f t="shared" si="15"/>
        <v>0</v>
      </c>
      <c r="G259" s="224">
        <f t="shared" si="15"/>
        <v>0</v>
      </c>
      <c r="H259" s="31">
        <f t="shared" si="15"/>
        <v>0</v>
      </c>
      <c r="I259" s="8">
        <f t="shared" si="15"/>
        <v>0</v>
      </c>
      <c r="J259" s="8">
        <f t="shared" si="13"/>
        <v>0</v>
      </c>
      <c r="K259" s="72">
        <f t="shared" si="14"/>
        <v>-97671.277665995949</v>
      </c>
    </row>
    <row r="260" spans="1:11" x14ac:dyDescent="0.25">
      <c r="A260" s="38">
        <f>Données!A257</f>
        <v>5857</v>
      </c>
      <c r="B260" s="169" t="str">
        <f>Données!B257</f>
        <v>Gilly</v>
      </c>
      <c r="C260" s="8">
        <f>Données!Z257</f>
        <v>1446</v>
      </c>
      <c r="D260" s="8">
        <f t="shared" si="16"/>
        <v>1000</v>
      </c>
      <c r="E260" s="224">
        <f t="shared" si="15"/>
        <v>446</v>
      </c>
      <c r="F260" s="8">
        <f t="shared" si="15"/>
        <v>0</v>
      </c>
      <c r="G260" s="224">
        <f t="shared" ref="E260:I308" si="17">IF($C260&gt;G$5,IF($C260&lt;G$6,$C260-G$5,G$6-G$5),0)</f>
        <v>0</v>
      </c>
      <c r="H260" s="31">
        <f t="shared" si="17"/>
        <v>0</v>
      </c>
      <c r="I260" s="8">
        <f t="shared" si="17"/>
        <v>0</v>
      </c>
      <c r="J260" s="8">
        <f t="shared" si="13"/>
        <v>0</v>
      </c>
      <c r="K260" s="72">
        <f t="shared" si="14"/>
        <v>-290149.49698189128</v>
      </c>
    </row>
    <row r="261" spans="1:11" x14ac:dyDescent="0.25">
      <c r="A261" s="38">
        <f>Données!A258</f>
        <v>5858</v>
      </c>
      <c r="B261" s="169" t="str">
        <f>Données!B258</f>
        <v>Luins</v>
      </c>
      <c r="C261" s="8">
        <f>Données!Z258</f>
        <v>618</v>
      </c>
      <c r="D261" s="8">
        <f t="shared" si="16"/>
        <v>618</v>
      </c>
      <c r="E261" s="224">
        <f t="shared" si="17"/>
        <v>0</v>
      </c>
      <c r="F261" s="8">
        <f t="shared" si="17"/>
        <v>0</v>
      </c>
      <c r="G261" s="224">
        <f t="shared" si="17"/>
        <v>0</v>
      </c>
      <c r="H261" s="31">
        <f t="shared" si="17"/>
        <v>0</v>
      </c>
      <c r="I261" s="8">
        <f t="shared" si="17"/>
        <v>0</v>
      </c>
      <c r="J261" s="8">
        <f t="shared" si="13"/>
        <v>0</v>
      </c>
      <c r="K261" s="72">
        <f t="shared" si="14"/>
        <v>-79736.92152917503</v>
      </c>
    </row>
    <row r="262" spans="1:11" x14ac:dyDescent="0.25">
      <c r="A262" s="38">
        <f>Données!A259</f>
        <v>5859</v>
      </c>
      <c r="B262" s="169" t="str">
        <f>Données!B259</f>
        <v>Mont-sur-Rolle</v>
      </c>
      <c r="C262" s="8">
        <f>Données!Z259</f>
        <v>2761</v>
      </c>
      <c r="D262" s="8">
        <f t="shared" si="16"/>
        <v>1000</v>
      </c>
      <c r="E262" s="224">
        <f t="shared" si="17"/>
        <v>1761</v>
      </c>
      <c r="F262" s="8">
        <f t="shared" si="17"/>
        <v>0</v>
      </c>
      <c r="G262" s="224">
        <f t="shared" si="17"/>
        <v>0</v>
      </c>
      <c r="H262" s="31">
        <f t="shared" si="17"/>
        <v>0</v>
      </c>
      <c r="I262" s="8">
        <f t="shared" si="17"/>
        <v>0</v>
      </c>
      <c r="J262" s="8">
        <f t="shared" si="13"/>
        <v>0</v>
      </c>
      <c r="K262" s="72">
        <f t="shared" si="14"/>
        <v>-765216.39839034202</v>
      </c>
    </row>
    <row r="263" spans="1:11" x14ac:dyDescent="0.25">
      <c r="A263" s="38">
        <f>Données!A260</f>
        <v>5860</v>
      </c>
      <c r="B263" s="169" t="str">
        <f>Données!B260</f>
        <v>Perroy</v>
      </c>
      <c r="C263" s="8">
        <f>Données!Z260</f>
        <v>1542</v>
      </c>
      <c r="D263" s="8">
        <f t="shared" si="16"/>
        <v>1000</v>
      </c>
      <c r="E263" s="224">
        <f t="shared" si="17"/>
        <v>542</v>
      </c>
      <c r="F263" s="8">
        <f t="shared" si="17"/>
        <v>0</v>
      </c>
      <c r="G263" s="224">
        <f t="shared" si="17"/>
        <v>0</v>
      </c>
      <c r="H263" s="31">
        <f t="shared" si="17"/>
        <v>0</v>
      </c>
      <c r="I263" s="8">
        <f t="shared" si="17"/>
        <v>0</v>
      </c>
      <c r="J263" s="8">
        <f t="shared" si="13"/>
        <v>0</v>
      </c>
      <c r="K263" s="72">
        <f t="shared" si="14"/>
        <v>-324831.18712273636</v>
      </c>
    </row>
    <row r="264" spans="1:11" x14ac:dyDescent="0.25">
      <c r="A264" s="38">
        <f>Données!A261</f>
        <v>5861</v>
      </c>
      <c r="B264" s="169" t="str">
        <f>Données!B261</f>
        <v>Rolle</v>
      </c>
      <c r="C264" s="8">
        <f>Données!Z261</f>
        <v>6323</v>
      </c>
      <c r="D264" s="8">
        <f t="shared" si="16"/>
        <v>1000</v>
      </c>
      <c r="E264" s="224">
        <f t="shared" si="17"/>
        <v>2000</v>
      </c>
      <c r="F264" s="8">
        <f t="shared" si="17"/>
        <v>2000</v>
      </c>
      <c r="G264" s="224">
        <f t="shared" si="17"/>
        <v>1323</v>
      </c>
      <c r="H264" s="31">
        <f t="shared" si="17"/>
        <v>0</v>
      </c>
      <c r="I264" s="8">
        <f t="shared" si="17"/>
        <v>0</v>
      </c>
      <c r="J264" s="8">
        <f t="shared" si="13"/>
        <v>0</v>
      </c>
      <c r="K264" s="72">
        <f t="shared" si="14"/>
        <v>-2703107.4446680075</v>
      </c>
    </row>
    <row r="265" spans="1:11" x14ac:dyDescent="0.25">
      <c r="A265" s="38">
        <f>Données!A262</f>
        <v>5862</v>
      </c>
      <c r="B265" s="169" t="str">
        <f>Données!B262</f>
        <v>Tartegnin</v>
      </c>
      <c r="C265" s="8">
        <f>Données!Z262</f>
        <v>249</v>
      </c>
      <c r="D265" s="8">
        <f t="shared" si="16"/>
        <v>249</v>
      </c>
      <c r="E265" s="224">
        <f t="shared" si="17"/>
        <v>0</v>
      </c>
      <c r="F265" s="8">
        <f t="shared" si="17"/>
        <v>0</v>
      </c>
      <c r="G265" s="224">
        <f t="shared" si="17"/>
        <v>0</v>
      </c>
      <c r="H265" s="31">
        <f t="shared" si="17"/>
        <v>0</v>
      </c>
      <c r="I265" s="8">
        <f t="shared" si="17"/>
        <v>0</v>
      </c>
      <c r="J265" s="8">
        <f t="shared" si="13"/>
        <v>0</v>
      </c>
      <c r="K265" s="72">
        <f t="shared" si="14"/>
        <v>-32127.012072434602</v>
      </c>
    </row>
    <row r="266" spans="1:11" x14ac:dyDescent="0.25">
      <c r="A266" s="38">
        <f>Données!A263</f>
        <v>5863</v>
      </c>
      <c r="B266" s="169" t="str">
        <f>Données!B263</f>
        <v>Vinzel</v>
      </c>
      <c r="C266" s="8">
        <f>Données!Z263</f>
        <v>378</v>
      </c>
      <c r="D266" s="8">
        <f t="shared" si="16"/>
        <v>378</v>
      </c>
      <c r="E266" s="224">
        <f t="shared" si="17"/>
        <v>0</v>
      </c>
      <c r="F266" s="8">
        <f t="shared" si="17"/>
        <v>0</v>
      </c>
      <c r="G266" s="224">
        <f t="shared" si="17"/>
        <v>0</v>
      </c>
      <c r="H266" s="31">
        <f t="shared" si="17"/>
        <v>0</v>
      </c>
      <c r="I266" s="8">
        <f t="shared" si="17"/>
        <v>0</v>
      </c>
      <c r="J266" s="8">
        <f t="shared" ref="J266:J308" si="18">IF(C266&gt;$J$5,C266-$J$5,0)</f>
        <v>0</v>
      </c>
      <c r="K266" s="72">
        <f t="shared" ref="K266:K308" si="19">-((D266*D$8)+(E266*E$8)+(F266*F$8)+(G266*G$8)+(H266*H$8)+(I266*I$8)+(J266*J$8))</f>
        <v>-48771.126760563369</v>
      </c>
    </row>
    <row r="267" spans="1:11" x14ac:dyDescent="0.25">
      <c r="A267" s="38">
        <f>Données!A264</f>
        <v>5871</v>
      </c>
      <c r="B267" s="169" t="str">
        <f>Données!B264</f>
        <v>L'Abbaye</v>
      </c>
      <c r="C267" s="8">
        <f>Données!Z264</f>
        <v>1536</v>
      </c>
      <c r="D267" s="8">
        <f t="shared" si="16"/>
        <v>1000</v>
      </c>
      <c r="E267" s="224">
        <f t="shared" si="17"/>
        <v>536</v>
      </c>
      <c r="F267" s="8">
        <f t="shared" si="17"/>
        <v>0</v>
      </c>
      <c r="G267" s="224">
        <f t="shared" si="17"/>
        <v>0</v>
      </c>
      <c r="H267" s="31">
        <f t="shared" si="17"/>
        <v>0</v>
      </c>
      <c r="I267" s="8">
        <f t="shared" si="17"/>
        <v>0</v>
      </c>
      <c r="J267" s="8">
        <f t="shared" si="18"/>
        <v>0</v>
      </c>
      <c r="K267" s="72">
        <f t="shared" si="19"/>
        <v>-322663.58148893353</v>
      </c>
    </row>
    <row r="268" spans="1:11" x14ac:dyDescent="0.25">
      <c r="A268" s="38">
        <f>Données!A265</f>
        <v>5872</v>
      </c>
      <c r="B268" s="169" t="str">
        <f>Données!B265</f>
        <v>Le Chenit</v>
      </c>
      <c r="C268" s="8">
        <f>Données!Z265</f>
        <v>4617</v>
      </c>
      <c r="D268" s="8">
        <f t="shared" si="16"/>
        <v>1000</v>
      </c>
      <c r="E268" s="224">
        <f t="shared" si="17"/>
        <v>2000</v>
      </c>
      <c r="F268" s="8">
        <f t="shared" si="17"/>
        <v>1617</v>
      </c>
      <c r="G268" s="224">
        <f t="shared" si="17"/>
        <v>0</v>
      </c>
      <c r="H268" s="31">
        <f t="shared" si="17"/>
        <v>0</v>
      </c>
      <c r="I268" s="8">
        <f t="shared" si="17"/>
        <v>0</v>
      </c>
      <c r="J268" s="8">
        <f t="shared" si="18"/>
        <v>0</v>
      </c>
      <c r="K268" s="72">
        <f t="shared" si="19"/>
        <v>-1686087.5251509049</v>
      </c>
    </row>
    <row r="269" spans="1:11" x14ac:dyDescent="0.25">
      <c r="A269" s="38">
        <f>Données!A266</f>
        <v>5873</v>
      </c>
      <c r="B269" s="169" t="str">
        <f>Données!B266</f>
        <v>Le Lieu</v>
      </c>
      <c r="C269" s="8">
        <f>Données!Z266</f>
        <v>886</v>
      </c>
      <c r="D269" s="8">
        <f t="shared" si="16"/>
        <v>886</v>
      </c>
      <c r="E269" s="224">
        <f t="shared" si="17"/>
        <v>0</v>
      </c>
      <c r="F269" s="8">
        <f t="shared" si="17"/>
        <v>0</v>
      </c>
      <c r="G269" s="224">
        <f t="shared" si="17"/>
        <v>0</v>
      </c>
      <c r="H269" s="31">
        <f t="shared" si="17"/>
        <v>0</v>
      </c>
      <c r="I269" s="8">
        <f t="shared" si="17"/>
        <v>0</v>
      </c>
      <c r="J269" s="8">
        <f t="shared" si="18"/>
        <v>0</v>
      </c>
      <c r="K269" s="72">
        <f t="shared" si="19"/>
        <v>-114315.39235412472</v>
      </c>
    </row>
    <row r="270" spans="1:11" x14ac:dyDescent="0.25">
      <c r="A270" s="38">
        <f>Données!A267</f>
        <v>5882</v>
      </c>
      <c r="B270" s="169" t="str">
        <f>Données!B267</f>
        <v>Chardonne</v>
      </c>
      <c r="C270" s="8">
        <f>Données!Z267</f>
        <v>3195</v>
      </c>
      <c r="D270" s="8">
        <f t="shared" si="16"/>
        <v>1000</v>
      </c>
      <c r="E270" s="224">
        <f t="shared" si="17"/>
        <v>2000</v>
      </c>
      <c r="F270" s="8">
        <f t="shared" si="17"/>
        <v>195</v>
      </c>
      <c r="G270" s="224">
        <f t="shared" si="17"/>
        <v>0</v>
      </c>
      <c r="H270" s="31">
        <f t="shared" si="17"/>
        <v>0</v>
      </c>
      <c r="I270" s="8">
        <f t="shared" si="17"/>
        <v>0</v>
      </c>
      <c r="J270" s="8">
        <f t="shared" si="18"/>
        <v>0</v>
      </c>
      <c r="K270" s="72">
        <f t="shared" si="19"/>
        <v>-952198.18913480861</v>
      </c>
    </row>
    <row r="271" spans="1:11" x14ac:dyDescent="0.25">
      <c r="A271" s="38">
        <f>Données!A268</f>
        <v>5883</v>
      </c>
      <c r="B271" s="169" t="str">
        <f>Données!B268</f>
        <v>Corseaux</v>
      </c>
      <c r="C271" s="8">
        <f>Données!Z268</f>
        <v>2307</v>
      </c>
      <c r="D271" s="8">
        <f t="shared" si="16"/>
        <v>1000</v>
      </c>
      <c r="E271" s="224">
        <f t="shared" si="17"/>
        <v>1307</v>
      </c>
      <c r="F271" s="8">
        <f t="shared" si="17"/>
        <v>0</v>
      </c>
      <c r="G271" s="224">
        <f t="shared" si="17"/>
        <v>0</v>
      </c>
      <c r="H271" s="31">
        <f t="shared" si="17"/>
        <v>0</v>
      </c>
      <c r="I271" s="8">
        <f t="shared" si="17"/>
        <v>0</v>
      </c>
      <c r="J271" s="8">
        <f t="shared" si="18"/>
        <v>0</v>
      </c>
      <c r="K271" s="72">
        <f t="shared" si="19"/>
        <v>-601200.90543259541</v>
      </c>
    </row>
    <row r="272" spans="1:11" x14ac:dyDescent="0.25">
      <c r="A272" s="38">
        <f>Données!A269</f>
        <v>5884</v>
      </c>
      <c r="B272" s="169" t="str">
        <f>Données!B269</f>
        <v>Corsier-sur-Vevey</v>
      </c>
      <c r="C272" s="8">
        <f>Données!Z269</f>
        <v>3367</v>
      </c>
      <c r="D272" s="8">
        <f t="shared" si="16"/>
        <v>1000</v>
      </c>
      <c r="E272" s="224">
        <f t="shared" si="17"/>
        <v>2000</v>
      </c>
      <c r="F272" s="8">
        <f t="shared" si="17"/>
        <v>367</v>
      </c>
      <c r="G272" s="224">
        <f t="shared" si="17"/>
        <v>0</v>
      </c>
      <c r="H272" s="31">
        <f t="shared" si="17"/>
        <v>0</v>
      </c>
      <c r="I272" s="8">
        <f t="shared" si="17"/>
        <v>0</v>
      </c>
      <c r="J272" s="8">
        <f t="shared" si="18"/>
        <v>0</v>
      </c>
      <c r="K272" s="72">
        <f t="shared" si="19"/>
        <v>-1040966.8008048288</v>
      </c>
    </row>
    <row r="273" spans="1:11" x14ac:dyDescent="0.25">
      <c r="A273" s="38">
        <f>Données!A270</f>
        <v>5885</v>
      </c>
      <c r="B273" s="169" t="str">
        <f>Données!B270</f>
        <v>Jongny</v>
      </c>
      <c r="C273" s="8">
        <f>Données!Z270</f>
        <v>1842</v>
      </c>
      <c r="D273" s="8">
        <f t="shared" si="16"/>
        <v>1000</v>
      </c>
      <c r="E273" s="224">
        <f t="shared" si="17"/>
        <v>842</v>
      </c>
      <c r="F273" s="8">
        <f t="shared" si="17"/>
        <v>0</v>
      </c>
      <c r="G273" s="224">
        <f t="shared" si="17"/>
        <v>0</v>
      </c>
      <c r="H273" s="31">
        <f t="shared" si="17"/>
        <v>0</v>
      </c>
      <c r="I273" s="8">
        <f t="shared" si="17"/>
        <v>0</v>
      </c>
      <c r="J273" s="8">
        <f t="shared" si="18"/>
        <v>0</v>
      </c>
      <c r="K273" s="72">
        <f t="shared" si="19"/>
        <v>-433211.4688128772</v>
      </c>
    </row>
    <row r="274" spans="1:11" x14ac:dyDescent="0.25">
      <c r="A274" s="38">
        <f>Données!A271</f>
        <v>5886</v>
      </c>
      <c r="B274" s="169" t="str">
        <f>Données!B271</f>
        <v>Montreux</v>
      </c>
      <c r="C274" s="8">
        <f>Données!Z271</f>
        <v>26100</v>
      </c>
      <c r="D274" s="8">
        <f t="shared" si="16"/>
        <v>1000</v>
      </c>
      <c r="E274" s="224">
        <f t="shared" si="17"/>
        <v>2000</v>
      </c>
      <c r="F274" s="8">
        <f t="shared" si="17"/>
        <v>2000</v>
      </c>
      <c r="G274" s="224">
        <f t="shared" si="17"/>
        <v>4000</v>
      </c>
      <c r="H274" s="31">
        <f t="shared" si="17"/>
        <v>3000</v>
      </c>
      <c r="I274" s="8">
        <f t="shared" si="17"/>
        <v>3000</v>
      </c>
      <c r="J274" s="8">
        <f t="shared" si="18"/>
        <v>11100</v>
      </c>
      <c r="K274" s="72">
        <f t="shared" si="19"/>
        <v>-22119899.396378264</v>
      </c>
    </row>
    <row r="275" spans="1:11" x14ac:dyDescent="0.25">
      <c r="A275" s="38">
        <f>Données!A272</f>
        <v>5889</v>
      </c>
      <c r="B275" s="169" t="str">
        <f>Données!B272</f>
        <v>La Tour-de-Peilz</v>
      </c>
      <c r="C275" s="8">
        <f>Données!Z272</f>
        <v>12402</v>
      </c>
      <c r="D275" s="8">
        <f t="shared" si="16"/>
        <v>1000</v>
      </c>
      <c r="E275" s="224">
        <f t="shared" si="17"/>
        <v>2000</v>
      </c>
      <c r="F275" s="8">
        <f t="shared" si="17"/>
        <v>2000</v>
      </c>
      <c r="G275" s="224">
        <f t="shared" si="17"/>
        <v>4000</v>
      </c>
      <c r="H275" s="31">
        <f t="shared" si="17"/>
        <v>3000</v>
      </c>
      <c r="I275" s="8">
        <f t="shared" si="17"/>
        <v>402</v>
      </c>
      <c r="J275" s="8">
        <f t="shared" si="18"/>
        <v>0</v>
      </c>
      <c r="K275" s="72">
        <f t="shared" si="19"/>
        <v>-7408050.3018108634</v>
      </c>
    </row>
    <row r="276" spans="1:11" x14ac:dyDescent="0.25">
      <c r="A276" s="38">
        <f>Données!A273</f>
        <v>5890</v>
      </c>
      <c r="B276" s="169" t="str">
        <f>Données!B273</f>
        <v>Vevey</v>
      </c>
      <c r="C276" s="8">
        <f>Données!Z273</f>
        <v>19754</v>
      </c>
      <c r="D276" s="8">
        <f t="shared" si="16"/>
        <v>1000</v>
      </c>
      <c r="E276" s="224">
        <f t="shared" si="17"/>
        <v>2000</v>
      </c>
      <c r="F276" s="8">
        <f t="shared" si="17"/>
        <v>2000</v>
      </c>
      <c r="G276" s="224">
        <f t="shared" si="17"/>
        <v>4000</v>
      </c>
      <c r="H276" s="31">
        <f t="shared" si="17"/>
        <v>3000</v>
      </c>
      <c r="I276" s="8">
        <f t="shared" si="17"/>
        <v>3000</v>
      </c>
      <c r="J276" s="8">
        <f t="shared" si="18"/>
        <v>4754</v>
      </c>
      <c r="K276" s="72">
        <f t="shared" si="19"/>
        <v>-15242086.720321927</v>
      </c>
    </row>
    <row r="277" spans="1:11" x14ac:dyDescent="0.25">
      <c r="A277" s="38">
        <f>Données!A274</f>
        <v>5891</v>
      </c>
      <c r="B277" s="169" t="str">
        <f>Données!B274</f>
        <v>Veytaux</v>
      </c>
      <c r="C277" s="8">
        <f>Données!Z274</f>
        <v>972</v>
      </c>
      <c r="D277" s="8">
        <f t="shared" si="16"/>
        <v>972</v>
      </c>
      <c r="E277" s="224">
        <f t="shared" si="17"/>
        <v>0</v>
      </c>
      <c r="F277" s="8">
        <f t="shared" si="17"/>
        <v>0</v>
      </c>
      <c r="G277" s="224">
        <f t="shared" si="17"/>
        <v>0</v>
      </c>
      <c r="H277" s="31">
        <f t="shared" si="17"/>
        <v>0</v>
      </c>
      <c r="I277" s="8">
        <f t="shared" si="17"/>
        <v>0</v>
      </c>
      <c r="J277" s="8">
        <f t="shared" si="18"/>
        <v>0</v>
      </c>
      <c r="K277" s="72">
        <f t="shared" si="19"/>
        <v>-125411.46881287724</v>
      </c>
    </row>
    <row r="278" spans="1:11" x14ac:dyDescent="0.25">
      <c r="A278" s="38">
        <f>Données!A275</f>
        <v>5892</v>
      </c>
      <c r="B278" s="169" t="str">
        <f>Données!B275</f>
        <v>Blonay-Saint-Légier</v>
      </c>
      <c r="C278" s="8">
        <f>Données!Z275</f>
        <v>12137</v>
      </c>
      <c r="D278" s="8">
        <f t="shared" si="16"/>
        <v>1000</v>
      </c>
      <c r="E278" s="224">
        <f t="shared" si="17"/>
        <v>2000</v>
      </c>
      <c r="F278" s="8">
        <f t="shared" si="17"/>
        <v>2000</v>
      </c>
      <c r="G278" s="224">
        <f t="shared" si="17"/>
        <v>4000</v>
      </c>
      <c r="H278" s="31">
        <f t="shared" si="17"/>
        <v>3000</v>
      </c>
      <c r="I278" s="8">
        <f t="shared" si="17"/>
        <v>137</v>
      </c>
      <c r="J278" s="8">
        <f t="shared" si="18"/>
        <v>0</v>
      </c>
      <c r="K278" s="72">
        <f t="shared" si="19"/>
        <v>-7134519.1146881273</v>
      </c>
    </row>
    <row r="279" spans="1:11" x14ac:dyDescent="0.25">
      <c r="A279" s="38">
        <f>Données!A276</f>
        <v>5902</v>
      </c>
      <c r="B279" s="169" t="str">
        <f>Données!B276</f>
        <v>Belmont-sur-Yverdon</v>
      </c>
      <c r="C279" s="8">
        <f>Données!Z276</f>
        <v>434</v>
      </c>
      <c r="D279" s="8">
        <f t="shared" si="16"/>
        <v>434</v>
      </c>
      <c r="E279" s="224">
        <f t="shared" si="17"/>
        <v>0</v>
      </c>
      <c r="F279" s="8">
        <f t="shared" si="17"/>
        <v>0</v>
      </c>
      <c r="G279" s="224">
        <f t="shared" si="17"/>
        <v>0</v>
      </c>
      <c r="H279" s="31">
        <f t="shared" si="17"/>
        <v>0</v>
      </c>
      <c r="I279" s="8">
        <f t="shared" si="17"/>
        <v>0</v>
      </c>
      <c r="J279" s="8">
        <f t="shared" si="18"/>
        <v>0</v>
      </c>
      <c r="K279" s="72">
        <f t="shared" si="19"/>
        <v>-55996.478873239423</v>
      </c>
    </row>
    <row r="280" spans="1:11" x14ac:dyDescent="0.25">
      <c r="A280" s="38">
        <f>Données!A277</f>
        <v>5903</v>
      </c>
      <c r="B280" s="169" t="str">
        <f>Données!B277</f>
        <v>Bioley-Magnoux</v>
      </c>
      <c r="C280" s="8">
        <f>Données!Z277</f>
        <v>247</v>
      </c>
      <c r="D280" s="8">
        <f t="shared" si="16"/>
        <v>247</v>
      </c>
      <c r="E280" s="224">
        <f t="shared" si="17"/>
        <v>0</v>
      </c>
      <c r="F280" s="8">
        <f t="shared" si="17"/>
        <v>0</v>
      </c>
      <c r="G280" s="224">
        <f t="shared" si="17"/>
        <v>0</v>
      </c>
      <c r="H280" s="31">
        <f t="shared" si="17"/>
        <v>0</v>
      </c>
      <c r="I280" s="8">
        <f t="shared" si="17"/>
        <v>0</v>
      </c>
      <c r="J280" s="8">
        <f t="shared" si="18"/>
        <v>0</v>
      </c>
      <c r="K280" s="72">
        <f t="shared" si="19"/>
        <v>-31868.96378269617</v>
      </c>
    </row>
    <row r="281" spans="1:11" x14ac:dyDescent="0.25">
      <c r="A281" s="38">
        <f>Données!A278</f>
        <v>5904</v>
      </c>
      <c r="B281" s="169" t="str">
        <f>Données!B278</f>
        <v>Chamblon</v>
      </c>
      <c r="C281" s="8">
        <f>Données!Z278</f>
        <v>567</v>
      </c>
      <c r="D281" s="8">
        <f t="shared" si="16"/>
        <v>567</v>
      </c>
      <c r="E281" s="224">
        <f t="shared" si="17"/>
        <v>0</v>
      </c>
      <c r="F281" s="8">
        <f t="shared" si="17"/>
        <v>0</v>
      </c>
      <c r="G281" s="224">
        <f t="shared" si="17"/>
        <v>0</v>
      </c>
      <c r="H281" s="31">
        <f t="shared" si="17"/>
        <v>0</v>
      </c>
      <c r="I281" s="8">
        <f t="shared" si="17"/>
        <v>0</v>
      </c>
      <c r="J281" s="8">
        <f t="shared" si="18"/>
        <v>0</v>
      </c>
      <c r="K281" s="72">
        <f t="shared" si="19"/>
        <v>-73156.69014084505</v>
      </c>
    </row>
    <row r="282" spans="1:11" x14ac:dyDescent="0.25">
      <c r="A282" s="38">
        <f>Données!A279</f>
        <v>5905</v>
      </c>
      <c r="B282" s="169" t="str">
        <f>Données!B279</f>
        <v>Champvent</v>
      </c>
      <c r="C282" s="8">
        <f>Données!Z279</f>
        <v>733</v>
      </c>
      <c r="D282" s="8">
        <f t="shared" si="16"/>
        <v>733</v>
      </c>
      <c r="E282" s="224">
        <f t="shared" si="17"/>
        <v>0</v>
      </c>
      <c r="F282" s="8">
        <f t="shared" si="17"/>
        <v>0</v>
      </c>
      <c r="G282" s="224">
        <f t="shared" si="17"/>
        <v>0</v>
      </c>
      <c r="H282" s="31">
        <f t="shared" si="17"/>
        <v>0</v>
      </c>
      <c r="I282" s="8">
        <f t="shared" si="17"/>
        <v>0</v>
      </c>
      <c r="J282" s="8">
        <f t="shared" si="18"/>
        <v>0</v>
      </c>
      <c r="K282" s="72">
        <f t="shared" si="19"/>
        <v>-94574.698189134782</v>
      </c>
    </row>
    <row r="283" spans="1:11" x14ac:dyDescent="0.25">
      <c r="A283" s="38">
        <f>Données!A280</f>
        <v>5907</v>
      </c>
      <c r="B283" s="169" t="str">
        <f>Données!B280</f>
        <v>Chavannes-le-Chêne</v>
      </c>
      <c r="C283" s="8">
        <f>Données!Z280</f>
        <v>317</v>
      </c>
      <c r="D283" s="8">
        <f t="shared" si="16"/>
        <v>317</v>
      </c>
      <c r="E283" s="224">
        <f t="shared" si="17"/>
        <v>0</v>
      </c>
      <c r="F283" s="8">
        <f t="shared" si="17"/>
        <v>0</v>
      </c>
      <c r="G283" s="224">
        <f t="shared" si="17"/>
        <v>0</v>
      </c>
      <c r="H283" s="31">
        <f t="shared" si="17"/>
        <v>0</v>
      </c>
      <c r="I283" s="8">
        <f t="shared" si="17"/>
        <v>0</v>
      </c>
      <c r="J283" s="8">
        <f t="shared" si="18"/>
        <v>0</v>
      </c>
      <c r="K283" s="72">
        <f t="shared" si="19"/>
        <v>-40900.653923541242</v>
      </c>
    </row>
    <row r="284" spans="1:11" x14ac:dyDescent="0.25">
      <c r="A284" s="38">
        <f>Données!A281</f>
        <v>5908</v>
      </c>
      <c r="B284" s="169" t="str">
        <f>Données!B281</f>
        <v>Chêne-Pâquier</v>
      </c>
      <c r="C284" s="8">
        <f>Données!Z281</f>
        <v>163</v>
      </c>
      <c r="D284" s="8">
        <f t="shared" si="16"/>
        <v>163</v>
      </c>
      <c r="E284" s="224">
        <f t="shared" si="17"/>
        <v>0</v>
      </c>
      <c r="F284" s="8">
        <f t="shared" si="17"/>
        <v>0</v>
      </c>
      <c r="G284" s="224">
        <f t="shared" si="17"/>
        <v>0</v>
      </c>
      <c r="H284" s="31">
        <f t="shared" si="17"/>
        <v>0</v>
      </c>
      <c r="I284" s="8">
        <f t="shared" si="17"/>
        <v>0</v>
      </c>
      <c r="J284" s="8">
        <f t="shared" si="18"/>
        <v>0</v>
      </c>
      <c r="K284" s="72">
        <f t="shared" si="19"/>
        <v>-21030.935613682086</v>
      </c>
    </row>
    <row r="285" spans="1:11" x14ac:dyDescent="0.25">
      <c r="A285" s="38">
        <f>Données!A282</f>
        <v>5909</v>
      </c>
      <c r="B285" s="169" t="str">
        <f>Données!B282</f>
        <v>Cheseaux-Noréaz</v>
      </c>
      <c r="C285" s="8">
        <f>Données!Z282</f>
        <v>735</v>
      </c>
      <c r="D285" s="8">
        <f t="shared" si="16"/>
        <v>735</v>
      </c>
      <c r="E285" s="224">
        <f t="shared" si="17"/>
        <v>0</v>
      </c>
      <c r="F285" s="8">
        <f t="shared" si="17"/>
        <v>0</v>
      </c>
      <c r="G285" s="224">
        <f t="shared" si="17"/>
        <v>0</v>
      </c>
      <c r="H285" s="31">
        <f t="shared" si="17"/>
        <v>0</v>
      </c>
      <c r="I285" s="8">
        <f t="shared" si="17"/>
        <v>0</v>
      </c>
      <c r="J285" s="8">
        <f t="shared" si="18"/>
        <v>0</v>
      </c>
      <c r="K285" s="72">
        <f t="shared" si="19"/>
        <v>-94832.746478873218</v>
      </c>
    </row>
    <row r="286" spans="1:11" x14ac:dyDescent="0.25">
      <c r="A286" s="38">
        <f>Données!A283</f>
        <v>5910</v>
      </c>
      <c r="B286" s="169" t="str">
        <f>Données!B283</f>
        <v>Cronay</v>
      </c>
      <c r="C286" s="8">
        <f>Données!Z283</f>
        <v>410</v>
      </c>
      <c r="D286" s="8">
        <f t="shared" si="16"/>
        <v>410</v>
      </c>
      <c r="E286" s="224">
        <f t="shared" si="17"/>
        <v>0</v>
      </c>
      <c r="F286" s="8">
        <f t="shared" si="17"/>
        <v>0</v>
      </c>
      <c r="G286" s="224">
        <f t="shared" si="17"/>
        <v>0</v>
      </c>
      <c r="H286" s="31">
        <f t="shared" si="17"/>
        <v>0</v>
      </c>
      <c r="I286" s="8">
        <f t="shared" si="17"/>
        <v>0</v>
      </c>
      <c r="J286" s="8">
        <f t="shared" si="18"/>
        <v>0</v>
      </c>
      <c r="K286" s="72">
        <f t="shared" si="19"/>
        <v>-52899.899396378256</v>
      </c>
    </row>
    <row r="287" spans="1:11" x14ac:dyDescent="0.25">
      <c r="A287" s="38">
        <f>Données!A284</f>
        <v>5911</v>
      </c>
      <c r="B287" s="169" t="str">
        <f>Données!B284</f>
        <v>Cuarny</v>
      </c>
      <c r="C287" s="8">
        <f>Données!Z284</f>
        <v>236</v>
      </c>
      <c r="D287" s="8">
        <f t="shared" si="16"/>
        <v>236</v>
      </c>
      <c r="E287" s="224">
        <f t="shared" si="17"/>
        <v>0</v>
      </c>
      <c r="F287" s="8">
        <f t="shared" si="17"/>
        <v>0</v>
      </c>
      <c r="G287" s="224">
        <f t="shared" si="17"/>
        <v>0</v>
      </c>
      <c r="H287" s="31">
        <f t="shared" si="17"/>
        <v>0</v>
      </c>
      <c r="I287" s="8">
        <f t="shared" si="17"/>
        <v>0</v>
      </c>
      <c r="J287" s="8">
        <f t="shared" si="18"/>
        <v>0</v>
      </c>
      <c r="K287" s="72">
        <f t="shared" si="19"/>
        <v>-30449.6981891348</v>
      </c>
    </row>
    <row r="288" spans="1:11" x14ac:dyDescent="0.25">
      <c r="A288" s="38">
        <f>Données!A285</f>
        <v>5912</v>
      </c>
      <c r="B288" s="169" t="str">
        <f>Données!B285</f>
        <v>Démoret</v>
      </c>
      <c r="C288" s="8">
        <f>Données!Z285</f>
        <v>167</v>
      </c>
      <c r="D288" s="8">
        <f t="shared" si="16"/>
        <v>167</v>
      </c>
      <c r="E288" s="224">
        <f t="shared" si="17"/>
        <v>0</v>
      </c>
      <c r="F288" s="8">
        <f t="shared" si="17"/>
        <v>0</v>
      </c>
      <c r="G288" s="224">
        <f t="shared" si="17"/>
        <v>0</v>
      </c>
      <c r="H288" s="31">
        <f t="shared" si="17"/>
        <v>0</v>
      </c>
      <c r="I288" s="8">
        <f t="shared" si="17"/>
        <v>0</v>
      </c>
      <c r="J288" s="8">
        <f t="shared" si="18"/>
        <v>0</v>
      </c>
      <c r="K288" s="72">
        <f t="shared" si="19"/>
        <v>-21547.03219315895</v>
      </c>
    </row>
    <row r="289" spans="1:11" x14ac:dyDescent="0.25">
      <c r="A289" s="38">
        <f>Données!A286</f>
        <v>5913</v>
      </c>
      <c r="B289" s="169" t="str">
        <f>Données!B286</f>
        <v>Donneloye</v>
      </c>
      <c r="C289" s="8">
        <f>Données!Z286</f>
        <v>905</v>
      </c>
      <c r="D289" s="8">
        <f t="shared" si="16"/>
        <v>905</v>
      </c>
      <c r="E289" s="224">
        <f t="shared" si="17"/>
        <v>0</v>
      </c>
      <c r="F289" s="8">
        <f t="shared" si="17"/>
        <v>0</v>
      </c>
      <c r="G289" s="224">
        <f t="shared" si="17"/>
        <v>0</v>
      </c>
      <c r="H289" s="31">
        <f t="shared" si="17"/>
        <v>0</v>
      </c>
      <c r="I289" s="8">
        <f t="shared" si="17"/>
        <v>0</v>
      </c>
      <c r="J289" s="8">
        <f t="shared" si="18"/>
        <v>0</v>
      </c>
      <c r="K289" s="72">
        <f t="shared" si="19"/>
        <v>-116766.85110663981</v>
      </c>
    </row>
    <row r="290" spans="1:11" x14ac:dyDescent="0.25">
      <c r="A290" s="38">
        <f>Données!A287</f>
        <v>5914</v>
      </c>
      <c r="B290" s="169" t="str">
        <f>Données!B287</f>
        <v>Ependes</v>
      </c>
      <c r="C290" s="8">
        <f>Données!Z287</f>
        <v>372</v>
      </c>
      <c r="D290" s="8">
        <f t="shared" si="16"/>
        <v>372</v>
      </c>
      <c r="E290" s="224">
        <f t="shared" si="17"/>
        <v>0</v>
      </c>
      <c r="F290" s="8">
        <f t="shared" si="17"/>
        <v>0</v>
      </c>
      <c r="G290" s="224">
        <f t="shared" si="17"/>
        <v>0</v>
      </c>
      <c r="H290" s="31">
        <f t="shared" si="17"/>
        <v>0</v>
      </c>
      <c r="I290" s="8">
        <f t="shared" si="17"/>
        <v>0</v>
      </c>
      <c r="J290" s="8">
        <f t="shared" si="18"/>
        <v>0</v>
      </c>
      <c r="K290" s="72">
        <f t="shared" si="19"/>
        <v>-47996.981891348078</v>
      </c>
    </row>
    <row r="291" spans="1:11" x14ac:dyDescent="0.25">
      <c r="A291" s="38">
        <f>Données!A288</f>
        <v>5919</v>
      </c>
      <c r="B291" s="169" t="str">
        <f>Données!B288</f>
        <v>Mathod</v>
      </c>
      <c r="C291" s="8">
        <f>Données!Z288</f>
        <v>685</v>
      </c>
      <c r="D291" s="8">
        <f t="shared" si="16"/>
        <v>685</v>
      </c>
      <c r="E291" s="224">
        <f t="shared" si="17"/>
        <v>0</v>
      </c>
      <c r="F291" s="8">
        <f t="shared" si="17"/>
        <v>0</v>
      </c>
      <c r="G291" s="224">
        <f t="shared" si="17"/>
        <v>0</v>
      </c>
      <c r="H291" s="31">
        <f t="shared" si="17"/>
        <v>0</v>
      </c>
      <c r="I291" s="8">
        <f t="shared" si="17"/>
        <v>0</v>
      </c>
      <c r="J291" s="8">
        <f t="shared" si="18"/>
        <v>0</v>
      </c>
      <c r="K291" s="72">
        <f t="shared" si="19"/>
        <v>-88381.539235412449</v>
      </c>
    </row>
    <row r="292" spans="1:11" x14ac:dyDescent="0.25">
      <c r="A292" s="38">
        <f>Données!A289</f>
        <v>5921</v>
      </c>
      <c r="B292" s="169" t="str">
        <f>Données!B289</f>
        <v>Molondin</v>
      </c>
      <c r="C292" s="8">
        <f>Données!Z289</f>
        <v>258</v>
      </c>
      <c r="D292" s="8">
        <f t="shared" si="16"/>
        <v>258</v>
      </c>
      <c r="E292" s="224">
        <f t="shared" si="17"/>
        <v>0</v>
      </c>
      <c r="F292" s="8">
        <f t="shared" si="17"/>
        <v>0</v>
      </c>
      <c r="G292" s="224">
        <f t="shared" si="17"/>
        <v>0</v>
      </c>
      <c r="H292" s="31">
        <f t="shared" si="17"/>
        <v>0</v>
      </c>
      <c r="I292" s="8">
        <f t="shared" si="17"/>
        <v>0</v>
      </c>
      <c r="J292" s="8">
        <f t="shared" si="18"/>
        <v>0</v>
      </c>
      <c r="K292" s="72">
        <f t="shared" si="19"/>
        <v>-33288.229376257535</v>
      </c>
    </row>
    <row r="293" spans="1:11" x14ac:dyDescent="0.25">
      <c r="A293" s="38">
        <f>Données!A290</f>
        <v>5922</v>
      </c>
      <c r="B293" s="169" t="str">
        <f>Données!B290</f>
        <v>Montagny-près-Yverdon</v>
      </c>
      <c r="C293" s="8">
        <f>Données!Z290</f>
        <v>770</v>
      </c>
      <c r="D293" s="8">
        <f t="shared" si="16"/>
        <v>770</v>
      </c>
      <c r="E293" s="224">
        <f t="shared" si="17"/>
        <v>0</v>
      </c>
      <c r="F293" s="8">
        <f t="shared" si="17"/>
        <v>0</v>
      </c>
      <c r="G293" s="224">
        <f t="shared" si="17"/>
        <v>0</v>
      </c>
      <c r="H293" s="31">
        <f t="shared" si="17"/>
        <v>0</v>
      </c>
      <c r="I293" s="8">
        <f t="shared" si="17"/>
        <v>0</v>
      </c>
      <c r="J293" s="8">
        <f t="shared" si="18"/>
        <v>0</v>
      </c>
      <c r="K293" s="72">
        <f t="shared" si="19"/>
        <v>-99348.591549295757</v>
      </c>
    </row>
    <row r="294" spans="1:11" x14ac:dyDescent="0.25">
      <c r="A294" s="38">
        <f>Données!A291</f>
        <v>5923</v>
      </c>
      <c r="B294" s="169" t="str">
        <f>Données!B291</f>
        <v>Oppens</v>
      </c>
      <c r="C294" s="8">
        <f>Données!Z291</f>
        <v>202</v>
      </c>
      <c r="D294" s="8">
        <f t="shared" si="16"/>
        <v>202</v>
      </c>
      <c r="E294" s="224">
        <f t="shared" si="17"/>
        <v>0</v>
      </c>
      <c r="F294" s="8">
        <f t="shared" si="17"/>
        <v>0</v>
      </c>
      <c r="G294" s="224">
        <f t="shared" si="17"/>
        <v>0</v>
      </c>
      <c r="H294" s="31">
        <f t="shared" si="17"/>
        <v>0</v>
      </c>
      <c r="I294" s="8">
        <f t="shared" si="17"/>
        <v>0</v>
      </c>
      <c r="J294" s="8">
        <f t="shared" si="18"/>
        <v>0</v>
      </c>
      <c r="K294" s="72">
        <f t="shared" si="19"/>
        <v>-26062.877263581482</v>
      </c>
    </row>
    <row r="295" spans="1:11" x14ac:dyDescent="0.25">
      <c r="A295" s="38">
        <f>Données!A292</f>
        <v>5924</v>
      </c>
      <c r="B295" s="169" t="str">
        <f>Données!B292</f>
        <v>Orges</v>
      </c>
      <c r="C295" s="8">
        <f>Données!Z292</f>
        <v>407</v>
      </c>
      <c r="D295" s="8">
        <f t="shared" si="16"/>
        <v>407</v>
      </c>
      <c r="E295" s="224">
        <f t="shared" si="17"/>
        <v>0</v>
      </c>
      <c r="F295" s="8">
        <f t="shared" si="17"/>
        <v>0</v>
      </c>
      <c r="G295" s="224">
        <f t="shared" si="17"/>
        <v>0</v>
      </c>
      <c r="H295" s="31">
        <f t="shared" si="17"/>
        <v>0</v>
      </c>
      <c r="I295" s="8">
        <f t="shared" si="17"/>
        <v>0</v>
      </c>
      <c r="J295" s="8">
        <f t="shared" si="18"/>
        <v>0</v>
      </c>
      <c r="K295" s="72">
        <f t="shared" si="19"/>
        <v>-52512.82696177061</v>
      </c>
    </row>
    <row r="296" spans="1:11" x14ac:dyDescent="0.25">
      <c r="A296" s="38">
        <f>Données!A293</f>
        <v>5925</v>
      </c>
      <c r="B296" s="169" t="str">
        <f>Données!B293</f>
        <v>Orzens</v>
      </c>
      <c r="C296" s="8">
        <f>Données!Z293</f>
        <v>212</v>
      </c>
      <c r="D296" s="8">
        <f t="shared" si="16"/>
        <v>212</v>
      </c>
      <c r="E296" s="224">
        <f t="shared" si="17"/>
        <v>0</v>
      </c>
      <c r="F296" s="8">
        <f t="shared" si="17"/>
        <v>0</v>
      </c>
      <c r="G296" s="224">
        <f t="shared" si="17"/>
        <v>0</v>
      </c>
      <c r="H296" s="31">
        <f t="shared" si="17"/>
        <v>0</v>
      </c>
      <c r="I296" s="8">
        <f t="shared" si="17"/>
        <v>0</v>
      </c>
      <c r="J296" s="8">
        <f t="shared" si="18"/>
        <v>0</v>
      </c>
      <c r="K296" s="72">
        <f t="shared" si="19"/>
        <v>-27353.118712273637</v>
      </c>
    </row>
    <row r="297" spans="1:11" x14ac:dyDescent="0.25">
      <c r="A297" s="38">
        <f>Données!A294</f>
        <v>5926</v>
      </c>
      <c r="B297" s="169" t="str">
        <f>Données!B294</f>
        <v>Pomy</v>
      </c>
      <c r="C297" s="8">
        <f>Données!Z294</f>
        <v>868</v>
      </c>
      <c r="D297" s="8">
        <f t="shared" si="16"/>
        <v>868</v>
      </c>
      <c r="E297" s="224">
        <f t="shared" si="17"/>
        <v>0</v>
      </c>
      <c r="F297" s="8">
        <f t="shared" si="17"/>
        <v>0</v>
      </c>
      <c r="G297" s="224">
        <f t="shared" si="17"/>
        <v>0</v>
      </c>
      <c r="H297" s="31">
        <f t="shared" si="17"/>
        <v>0</v>
      </c>
      <c r="I297" s="8">
        <f t="shared" si="17"/>
        <v>0</v>
      </c>
      <c r="J297" s="8">
        <f t="shared" si="18"/>
        <v>0</v>
      </c>
      <c r="K297" s="72">
        <f t="shared" si="19"/>
        <v>-111992.95774647885</v>
      </c>
    </row>
    <row r="298" spans="1:11" x14ac:dyDescent="0.25">
      <c r="A298" s="38">
        <f>Données!A295</f>
        <v>5928</v>
      </c>
      <c r="B298" s="169" t="str">
        <f>Données!B295</f>
        <v>Rovray</v>
      </c>
      <c r="C298" s="8">
        <f>Données!Z295</f>
        <v>197</v>
      </c>
      <c r="D298" s="8">
        <f t="shared" si="16"/>
        <v>197</v>
      </c>
      <c r="E298" s="224">
        <f t="shared" si="17"/>
        <v>0</v>
      </c>
      <c r="F298" s="8">
        <f t="shared" si="17"/>
        <v>0</v>
      </c>
      <c r="G298" s="224">
        <f t="shared" si="17"/>
        <v>0</v>
      </c>
      <c r="H298" s="31">
        <f t="shared" si="17"/>
        <v>0</v>
      </c>
      <c r="I298" s="8">
        <f t="shared" si="17"/>
        <v>0</v>
      </c>
      <c r="J298" s="8">
        <f t="shared" si="18"/>
        <v>0</v>
      </c>
      <c r="K298" s="72">
        <f t="shared" si="19"/>
        <v>-25417.756539235408</v>
      </c>
    </row>
    <row r="299" spans="1:11" x14ac:dyDescent="0.25">
      <c r="A299" s="38">
        <f>Données!A296</f>
        <v>5929</v>
      </c>
      <c r="B299" s="169" t="str">
        <f>Données!B296</f>
        <v>Suchy</v>
      </c>
      <c r="C299" s="8">
        <f>Données!Z296</f>
        <v>671</v>
      </c>
      <c r="D299" s="8">
        <f t="shared" si="16"/>
        <v>671</v>
      </c>
      <c r="E299" s="224">
        <f t="shared" si="17"/>
        <v>0</v>
      </c>
      <c r="F299" s="8">
        <f t="shared" si="17"/>
        <v>0</v>
      </c>
      <c r="G299" s="224">
        <f t="shared" si="17"/>
        <v>0</v>
      </c>
      <c r="H299" s="31">
        <f t="shared" si="17"/>
        <v>0</v>
      </c>
      <c r="I299" s="8">
        <f t="shared" si="17"/>
        <v>0</v>
      </c>
      <c r="J299" s="8">
        <f t="shared" si="18"/>
        <v>0</v>
      </c>
      <c r="K299" s="72">
        <f t="shared" si="19"/>
        <v>-86575.201207243445</v>
      </c>
    </row>
    <row r="300" spans="1:11" x14ac:dyDescent="0.25">
      <c r="A300" s="38">
        <f>Données!A297</f>
        <v>5930</v>
      </c>
      <c r="B300" s="169" t="str">
        <f>Données!B297</f>
        <v>Suscévaz</v>
      </c>
      <c r="C300" s="8">
        <f>Données!Z297</f>
        <v>220</v>
      </c>
      <c r="D300" s="8">
        <f t="shared" ref="D300:D308" si="20">IF($C300&gt;D$5,IF($C300&lt;D$6,$C300-D$5,D$6-D$5),0)</f>
        <v>220</v>
      </c>
      <c r="E300" s="224">
        <f t="shared" si="17"/>
        <v>0</v>
      </c>
      <c r="F300" s="8">
        <f t="shared" si="17"/>
        <v>0</v>
      </c>
      <c r="G300" s="224">
        <f t="shared" si="17"/>
        <v>0</v>
      </c>
      <c r="H300" s="31">
        <f t="shared" si="17"/>
        <v>0</v>
      </c>
      <c r="I300" s="8">
        <f t="shared" si="17"/>
        <v>0</v>
      </c>
      <c r="J300" s="8">
        <f t="shared" si="18"/>
        <v>0</v>
      </c>
      <c r="K300" s="72">
        <f t="shared" si="19"/>
        <v>-28385.311871227357</v>
      </c>
    </row>
    <row r="301" spans="1:11" x14ac:dyDescent="0.25">
      <c r="A301" s="38">
        <f>Données!A298</f>
        <v>5931</v>
      </c>
      <c r="B301" s="169" t="str">
        <f>Données!B298</f>
        <v>Treycovagnes</v>
      </c>
      <c r="C301" s="8">
        <f>Données!Z298</f>
        <v>520</v>
      </c>
      <c r="D301" s="8">
        <f t="shared" si="20"/>
        <v>520</v>
      </c>
      <c r="E301" s="224">
        <f t="shared" si="17"/>
        <v>0</v>
      </c>
      <c r="F301" s="8">
        <f t="shared" si="17"/>
        <v>0</v>
      </c>
      <c r="G301" s="224">
        <f t="shared" si="17"/>
        <v>0</v>
      </c>
      <c r="H301" s="31">
        <f t="shared" si="17"/>
        <v>0</v>
      </c>
      <c r="I301" s="8">
        <f t="shared" si="17"/>
        <v>0</v>
      </c>
      <c r="J301" s="8">
        <f t="shared" si="18"/>
        <v>0</v>
      </c>
      <c r="K301" s="72">
        <f t="shared" si="19"/>
        <v>-67092.555331991942</v>
      </c>
    </row>
    <row r="302" spans="1:11" x14ac:dyDescent="0.25">
      <c r="A302" s="38">
        <f>Données!A299</f>
        <v>5932</v>
      </c>
      <c r="B302" s="169" t="str">
        <f>Données!B299</f>
        <v>Ursins</v>
      </c>
      <c r="C302" s="8">
        <f>Données!Z299</f>
        <v>230</v>
      </c>
      <c r="D302" s="8">
        <f t="shared" si="20"/>
        <v>230</v>
      </c>
      <c r="E302" s="224">
        <f t="shared" si="17"/>
        <v>0</v>
      </c>
      <c r="F302" s="8">
        <f t="shared" si="17"/>
        <v>0</v>
      </c>
      <c r="G302" s="224">
        <f t="shared" si="17"/>
        <v>0</v>
      </c>
      <c r="H302" s="31">
        <f t="shared" si="17"/>
        <v>0</v>
      </c>
      <c r="I302" s="8">
        <f t="shared" si="17"/>
        <v>0</v>
      </c>
      <c r="J302" s="8">
        <f t="shared" si="18"/>
        <v>0</v>
      </c>
      <c r="K302" s="72">
        <f t="shared" si="19"/>
        <v>-29675.553319919509</v>
      </c>
    </row>
    <row r="303" spans="1:11" x14ac:dyDescent="0.25">
      <c r="A303" s="38">
        <f>Données!A300</f>
        <v>5933</v>
      </c>
      <c r="B303" s="169" t="str">
        <f>Données!B300</f>
        <v>Valeyres-sous-Montagny</v>
      </c>
      <c r="C303" s="8">
        <f>Données!Z300</f>
        <v>703</v>
      </c>
      <c r="D303" s="8">
        <f t="shared" si="20"/>
        <v>703</v>
      </c>
      <c r="E303" s="224">
        <f t="shared" si="17"/>
        <v>0</v>
      </c>
      <c r="F303" s="8">
        <f t="shared" si="17"/>
        <v>0</v>
      </c>
      <c r="G303" s="224">
        <f t="shared" si="17"/>
        <v>0</v>
      </c>
      <c r="H303" s="31">
        <f t="shared" si="17"/>
        <v>0</v>
      </c>
      <c r="I303" s="8">
        <f t="shared" si="17"/>
        <v>0</v>
      </c>
      <c r="J303" s="8">
        <f t="shared" si="18"/>
        <v>0</v>
      </c>
      <c r="K303" s="72">
        <f t="shared" si="19"/>
        <v>-90703.973843058324</v>
      </c>
    </row>
    <row r="304" spans="1:11" x14ac:dyDescent="0.25">
      <c r="A304" s="38">
        <f>Données!A301</f>
        <v>5934</v>
      </c>
      <c r="B304" s="169" t="str">
        <f>Données!B301</f>
        <v>Valeyres-sous-Ursins</v>
      </c>
      <c r="C304" s="8">
        <f>Données!Z301</f>
        <v>241</v>
      </c>
      <c r="D304" s="8">
        <f t="shared" si="20"/>
        <v>241</v>
      </c>
      <c r="E304" s="224">
        <f t="shared" si="17"/>
        <v>0</v>
      </c>
      <c r="F304" s="8">
        <f t="shared" si="17"/>
        <v>0</v>
      </c>
      <c r="G304" s="224">
        <f t="shared" si="17"/>
        <v>0</v>
      </c>
      <c r="H304" s="31">
        <f t="shared" si="17"/>
        <v>0</v>
      </c>
      <c r="I304" s="8">
        <f t="shared" si="17"/>
        <v>0</v>
      </c>
      <c r="J304" s="8">
        <f t="shared" si="18"/>
        <v>0</v>
      </c>
      <c r="K304" s="72">
        <f t="shared" si="19"/>
        <v>-31094.818913480878</v>
      </c>
    </row>
    <row r="305" spans="1:11" x14ac:dyDescent="0.25">
      <c r="A305" s="38">
        <f>Données!A302</f>
        <v>5935</v>
      </c>
      <c r="B305" s="169" t="str">
        <f>Données!B302</f>
        <v>Villars-Epeney</v>
      </c>
      <c r="C305" s="8">
        <f>Données!Z302</f>
        <v>92</v>
      </c>
      <c r="D305" s="8">
        <f t="shared" si="20"/>
        <v>92</v>
      </c>
      <c r="E305" s="224">
        <f t="shared" si="17"/>
        <v>0</v>
      </c>
      <c r="F305" s="8">
        <f t="shared" si="17"/>
        <v>0</v>
      </c>
      <c r="G305" s="224">
        <f t="shared" si="17"/>
        <v>0</v>
      </c>
      <c r="H305" s="31">
        <f t="shared" si="17"/>
        <v>0</v>
      </c>
      <c r="I305" s="8">
        <f t="shared" si="17"/>
        <v>0</v>
      </c>
      <c r="J305" s="8">
        <f t="shared" si="18"/>
        <v>0</v>
      </c>
      <c r="K305" s="72">
        <f t="shared" si="19"/>
        <v>-11870.221327967804</v>
      </c>
    </row>
    <row r="306" spans="1:11" x14ac:dyDescent="0.25">
      <c r="A306" s="38">
        <f>Données!A303</f>
        <v>5937</v>
      </c>
      <c r="B306" s="169" t="str">
        <f>Données!B303</f>
        <v>Vugelles-La Mothe</v>
      </c>
      <c r="C306" s="8">
        <f>Données!Z303</f>
        <v>142</v>
      </c>
      <c r="D306" s="8">
        <f t="shared" si="20"/>
        <v>142</v>
      </c>
      <c r="E306" s="224">
        <f t="shared" si="17"/>
        <v>0</v>
      </c>
      <c r="F306" s="8">
        <f t="shared" si="17"/>
        <v>0</v>
      </c>
      <c r="G306" s="224">
        <f t="shared" si="17"/>
        <v>0</v>
      </c>
      <c r="H306" s="31">
        <f t="shared" si="17"/>
        <v>0</v>
      </c>
      <c r="I306" s="8">
        <f t="shared" si="17"/>
        <v>0</v>
      </c>
      <c r="J306" s="8">
        <f t="shared" si="18"/>
        <v>0</v>
      </c>
      <c r="K306" s="72">
        <f t="shared" si="19"/>
        <v>-18321.428571428569</v>
      </c>
    </row>
    <row r="307" spans="1:11" x14ac:dyDescent="0.25">
      <c r="A307" s="38">
        <f>Données!A304</f>
        <v>5938</v>
      </c>
      <c r="B307" s="169" t="str">
        <f>Données!B304</f>
        <v>Yverdon-les-Bains</v>
      </c>
      <c r="C307" s="8">
        <f>Données!Z304</f>
        <v>29897</v>
      </c>
      <c r="D307" s="8">
        <f t="shared" si="20"/>
        <v>1000</v>
      </c>
      <c r="E307" s="224">
        <f t="shared" si="17"/>
        <v>2000</v>
      </c>
      <c r="F307" s="8">
        <f t="shared" si="17"/>
        <v>2000</v>
      </c>
      <c r="G307" s="224">
        <f t="shared" si="17"/>
        <v>4000</v>
      </c>
      <c r="H307" s="31">
        <f t="shared" si="17"/>
        <v>3000</v>
      </c>
      <c r="I307" s="8">
        <f t="shared" si="17"/>
        <v>3000</v>
      </c>
      <c r="J307" s="8">
        <f t="shared" si="18"/>
        <v>14897</v>
      </c>
      <c r="K307" s="72">
        <f t="shared" si="19"/>
        <v>-26235098.69215291</v>
      </c>
    </row>
    <row r="308" spans="1:11" x14ac:dyDescent="0.25">
      <c r="A308" s="38">
        <f>Données!A305</f>
        <v>5939</v>
      </c>
      <c r="B308" s="169" t="str">
        <f>Données!B305</f>
        <v>Yvonand</v>
      </c>
      <c r="C308" s="225">
        <f>Données!Z305</f>
        <v>3535</v>
      </c>
      <c r="D308" s="8">
        <f t="shared" si="20"/>
        <v>1000</v>
      </c>
      <c r="E308" s="224">
        <f t="shared" si="17"/>
        <v>2000</v>
      </c>
      <c r="F308" s="8">
        <f t="shared" si="17"/>
        <v>535</v>
      </c>
      <c r="G308" s="224">
        <f t="shared" si="17"/>
        <v>0</v>
      </c>
      <c r="H308" s="31">
        <f t="shared" si="17"/>
        <v>0</v>
      </c>
      <c r="I308" s="8">
        <f t="shared" si="17"/>
        <v>0</v>
      </c>
      <c r="J308" s="8">
        <f t="shared" si="18"/>
        <v>0</v>
      </c>
      <c r="K308" s="72">
        <f t="shared" si="19"/>
        <v>-1127671.0261569414</v>
      </c>
    </row>
    <row r="309" spans="1:11" x14ac:dyDescent="0.25">
      <c r="A309" s="25"/>
      <c r="B309" s="74">
        <f>COUNTA(B9:B308)</f>
        <v>300</v>
      </c>
      <c r="C309" s="9">
        <f>SUM(C9:C308)</f>
        <v>831327</v>
      </c>
      <c r="D309" s="9">
        <f t="shared" ref="D309:J309" si="21">SUM(D9:D308)</f>
        <v>216087</v>
      </c>
      <c r="E309" s="9">
        <f t="shared" si="21"/>
        <v>174381</v>
      </c>
      <c r="F309" s="9">
        <f t="shared" si="21"/>
        <v>89084</v>
      </c>
      <c r="G309" s="9">
        <f t="shared" si="21"/>
        <v>99814</v>
      </c>
      <c r="H309" s="9">
        <f t="shared" si="21"/>
        <v>46734</v>
      </c>
      <c r="I309" s="9">
        <f t="shared" si="21"/>
        <v>27702</v>
      </c>
      <c r="J309" s="9">
        <f t="shared" si="21"/>
        <v>177525</v>
      </c>
      <c r="K309" s="30">
        <f>SUM(K9:K308)</f>
        <v>-460669638.98390323</v>
      </c>
    </row>
    <row r="310" spans="1:11" x14ac:dyDescent="0.25">
      <c r="C310" s="52"/>
      <c r="K310" s="5"/>
    </row>
    <row r="311" spans="1:11" x14ac:dyDescent="0.25">
      <c r="K311" s="226"/>
    </row>
    <row r="312" spans="1:11" x14ac:dyDescent="0.25">
      <c r="K312" s="226"/>
    </row>
    <row r="320" spans="1:11" x14ac:dyDescent="0.25">
      <c r="C320" s="45"/>
    </row>
  </sheetData>
  <sheetProtection sheet="1" objects="1" scenarios="1"/>
  <mergeCells count="6">
    <mergeCell ref="K7:K8"/>
    <mergeCell ref="C4:J4"/>
    <mergeCell ref="A7:A8"/>
    <mergeCell ref="B7:B8"/>
    <mergeCell ref="C7:C8"/>
    <mergeCell ref="D7:J7"/>
  </mergeCells>
  <phoneticPr fontId="21" type="noConversion"/>
  <hyperlinks>
    <hyperlink ref="G1" location="'Péréquation directe'!A1" display="← Précédent" xr:uid="{4A68310A-425D-4B7C-A602-B19E50C59698}"/>
    <hyperlink ref="H1" location="'Table des matières'!A1" display="Table des             matières" xr:uid="{45E00C4B-D76D-485B-A963-90DFF5ED91F9}"/>
    <hyperlink ref="I1" location="Solidarité!A1" display="Suivant →" xr:uid="{3CE52556-7647-4955-BB2C-AB3DA5B0FC22}"/>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6" tint="0.39997558519241921"/>
  </sheetPr>
  <dimension ref="A1:L306"/>
  <sheetViews>
    <sheetView workbookViewId="0">
      <pane ySplit="5" topLeftCell="A6" activePane="bottomLeft" state="frozen"/>
      <selection activeCell="C3" sqref="C3:E3"/>
      <selection pane="bottomLeft" activeCell="C3" sqref="C3:E3"/>
    </sheetView>
  </sheetViews>
  <sheetFormatPr baseColWidth="10" defaultColWidth="11" defaultRowHeight="15" x14ac:dyDescent="0.25"/>
  <cols>
    <col min="1" max="1" width="7.25" style="11" customWidth="1"/>
    <col min="2" max="2" width="21.25" style="11" customWidth="1"/>
    <col min="3" max="3" width="10.125" style="11" customWidth="1"/>
    <col min="4" max="4" width="20.5" style="11" customWidth="1"/>
    <col min="5" max="5" width="12" style="11" bestFit="1" customWidth="1"/>
    <col min="6" max="6" width="10.625" style="12" customWidth="1"/>
    <col min="7" max="7" width="12.5" style="13" bestFit="1" customWidth="1"/>
    <col min="8" max="8" width="11.125" style="11" bestFit="1" customWidth="1"/>
    <col min="9" max="9" width="13.875" style="5" customWidth="1"/>
    <col min="10" max="16384" width="11" style="11"/>
  </cols>
  <sheetData>
    <row r="1" spans="1:12" s="285" customFormat="1" ht="26.25" x14ac:dyDescent="0.4">
      <c r="A1" s="278" t="s">
        <v>358</v>
      </c>
      <c r="B1" s="283"/>
      <c r="C1" s="284"/>
      <c r="D1" s="284"/>
      <c r="E1" s="404" t="s">
        <v>405</v>
      </c>
      <c r="F1" s="302" t="s">
        <v>397</v>
      </c>
      <c r="G1" s="496" t="s">
        <v>406</v>
      </c>
      <c r="I1" s="286"/>
      <c r="J1" s="379"/>
      <c r="K1" s="379"/>
      <c r="L1" s="379"/>
    </row>
    <row r="2" spans="1:12" s="217" customFormat="1" ht="15.75" customHeight="1" x14ac:dyDescent="0.25">
      <c r="A2" s="355" t="str">
        <f>Paramètres!B4</f>
        <v>Décompte 2022</v>
      </c>
      <c r="B2" s="32"/>
      <c r="C2" s="60"/>
      <c r="D2" s="60"/>
      <c r="F2" s="236"/>
      <c r="G2" s="237"/>
      <c r="I2" s="5"/>
      <c r="J2" s="386"/>
      <c r="K2" s="386"/>
      <c r="L2" s="386"/>
    </row>
    <row r="3" spans="1:12" ht="26.45" customHeight="1" x14ac:dyDescent="0.25">
      <c r="J3" s="386"/>
      <c r="K3" s="386"/>
      <c r="L3" s="386"/>
    </row>
    <row r="4" spans="1:12" ht="36.75" customHeight="1" x14ac:dyDescent="0.25">
      <c r="A4" s="680" t="s">
        <v>44</v>
      </c>
      <c r="B4" s="680" t="s">
        <v>84</v>
      </c>
      <c r="C4" s="680" t="s">
        <v>257</v>
      </c>
      <c r="D4" s="680" t="s">
        <v>497</v>
      </c>
      <c r="E4" s="310" t="s">
        <v>299</v>
      </c>
      <c r="F4" s="686" t="s">
        <v>71</v>
      </c>
      <c r="G4" s="638" t="s">
        <v>486</v>
      </c>
      <c r="H4" s="680" t="s">
        <v>425</v>
      </c>
      <c r="I4" s="638" t="s">
        <v>502</v>
      </c>
      <c r="J4" s="386"/>
      <c r="K4" s="386"/>
      <c r="L4" s="386"/>
    </row>
    <row r="5" spans="1:12" x14ac:dyDescent="0.25">
      <c r="A5" s="682"/>
      <c r="B5" s="682"/>
      <c r="C5" s="682"/>
      <c r="D5" s="682"/>
      <c r="E5" s="246">
        <f>+Paramètres!B36</f>
        <v>0.27</v>
      </c>
      <c r="F5" s="687"/>
      <c r="G5" s="645"/>
      <c r="H5" s="682"/>
      <c r="I5" s="639"/>
    </row>
    <row r="6" spans="1:12" x14ac:dyDescent="0.25">
      <c r="A6" s="38">
        <f>Données!A6</f>
        <v>5401</v>
      </c>
      <c r="B6" s="27" t="str">
        <f>Données!B6</f>
        <v>Aigle</v>
      </c>
      <c r="C6" s="31">
        <f>Données!Z6</f>
        <v>10943</v>
      </c>
      <c r="D6" s="241">
        <f>Ecrêtage!E6</f>
        <v>26.924473705343662</v>
      </c>
      <c r="E6" s="241">
        <f>IF($D$306-D6&lt;0,0,$D$306-D6)</f>
        <v>21.517259937423244</v>
      </c>
      <c r="F6" s="241">
        <f>+Données!X6</f>
        <v>66</v>
      </c>
      <c r="G6" s="381">
        <f>-((C6*E6*F6)*$E$5)</f>
        <v>-4195957.3513248665</v>
      </c>
      <c r="H6" s="161">
        <f>F6/$F$306</f>
        <v>0.97698386953432637</v>
      </c>
      <c r="I6" s="42">
        <f t="shared" ref="I6" si="0">G6*H6</f>
        <v>-4099382.6494983709</v>
      </c>
    </row>
    <row r="7" spans="1:12" x14ac:dyDescent="0.25">
      <c r="A7" s="38">
        <f>Données!A7</f>
        <v>5402</v>
      </c>
      <c r="B7" s="27" t="str">
        <f>Données!B7</f>
        <v>Bex</v>
      </c>
      <c r="C7" s="31">
        <f>Données!Z7</f>
        <v>8165</v>
      </c>
      <c r="D7" s="241">
        <f>Ecrêtage!E7</f>
        <v>23.510249536410132</v>
      </c>
      <c r="E7" s="241">
        <f t="shared" ref="E7:E70" si="1">IF($D$306-D7&lt;0,0,$D$306-D7)</f>
        <v>24.931484106356773</v>
      </c>
      <c r="F7" s="241">
        <f>+Données!X7</f>
        <v>71</v>
      </c>
      <c r="G7" s="382">
        <f t="shared" ref="G7:G70" si="2">-((C7*E7*F7)*$E$5)</f>
        <v>-3902351.9333534869</v>
      </c>
      <c r="H7" s="161">
        <f t="shared" ref="H7:H70" si="3">F7/$F$306</f>
        <v>1.0509977990445025</v>
      </c>
      <c r="I7" s="42">
        <f t="shared" ref="I7:I70" si="4">G7*H7</f>
        <v>-4101363.2930515739</v>
      </c>
    </row>
    <row r="8" spans="1:12" x14ac:dyDescent="0.25">
      <c r="A8" s="38">
        <f>Données!A8</f>
        <v>5403</v>
      </c>
      <c r="B8" s="27" t="str">
        <f>Données!B8</f>
        <v>Chessel</v>
      </c>
      <c r="C8" s="31">
        <f>Données!Z8</f>
        <v>528</v>
      </c>
      <c r="D8" s="241">
        <f>Ecrêtage!E8</f>
        <v>25.608770104895104</v>
      </c>
      <c r="E8" s="241">
        <f t="shared" si="1"/>
        <v>22.832963537871802</v>
      </c>
      <c r="F8" s="241">
        <f>+Données!X8</f>
        <v>65</v>
      </c>
      <c r="G8" s="382">
        <f t="shared" si="2"/>
        <v>-211579.37332733528</v>
      </c>
      <c r="H8" s="161">
        <f t="shared" si="3"/>
        <v>0.96218108363229116</v>
      </c>
      <c r="I8" s="42">
        <f t="shared" si="4"/>
        <v>-203577.67070233653</v>
      </c>
    </row>
    <row r="9" spans="1:12" x14ac:dyDescent="0.25">
      <c r="A9" s="38">
        <f>Données!A9</f>
        <v>5404</v>
      </c>
      <c r="B9" s="27" t="str">
        <f>Données!B9</f>
        <v>Corbeyrier</v>
      </c>
      <c r="C9" s="31">
        <f>Données!Z9</f>
        <v>440</v>
      </c>
      <c r="D9" s="241">
        <f>Ecrêtage!E9</f>
        <v>26.507381552006557</v>
      </c>
      <c r="E9" s="241">
        <f t="shared" si="1"/>
        <v>21.934352090760349</v>
      </c>
      <c r="F9" s="241">
        <f>+Données!X9</f>
        <v>74</v>
      </c>
      <c r="G9" s="382">
        <f t="shared" si="2"/>
        <v>-192829.27610029237</v>
      </c>
      <c r="H9" s="161">
        <f t="shared" si="3"/>
        <v>1.0954061567506084</v>
      </c>
      <c r="I9" s="42">
        <f t="shared" si="4"/>
        <v>-211226.37624202319</v>
      </c>
    </row>
    <row r="10" spans="1:12" x14ac:dyDescent="0.25">
      <c r="A10" s="38">
        <f>Données!A10</f>
        <v>5405</v>
      </c>
      <c r="B10" s="27" t="str">
        <f>Données!B10</f>
        <v>Gryon</v>
      </c>
      <c r="C10" s="31">
        <f>Données!Z10</f>
        <v>1390</v>
      </c>
      <c r="D10" s="241">
        <f>Ecrêtage!E10</f>
        <v>52.723895300086475</v>
      </c>
      <c r="E10" s="241">
        <f t="shared" si="1"/>
        <v>0</v>
      </c>
      <c r="F10" s="241">
        <f>+Données!X10</f>
        <v>73.5</v>
      </c>
      <c r="G10" s="382">
        <f t="shared" si="2"/>
        <v>0</v>
      </c>
      <c r="H10" s="161">
        <f t="shared" si="3"/>
        <v>1.0880047637995907</v>
      </c>
      <c r="I10" s="42">
        <f t="shared" si="4"/>
        <v>0</v>
      </c>
    </row>
    <row r="11" spans="1:12" x14ac:dyDescent="0.25">
      <c r="A11" s="38">
        <f>Données!A11</f>
        <v>5406</v>
      </c>
      <c r="B11" s="27" t="str">
        <f>Données!B11</f>
        <v>Lavey-Morcles</v>
      </c>
      <c r="C11" s="31">
        <f>Données!Z11</f>
        <v>977</v>
      </c>
      <c r="D11" s="241">
        <f>Ecrêtage!E11</f>
        <v>22.632066920560739</v>
      </c>
      <c r="E11" s="241">
        <f t="shared" si="1"/>
        <v>25.809666722206167</v>
      </c>
      <c r="F11" s="241">
        <f>+Données!X11</f>
        <v>71.5</v>
      </c>
      <c r="G11" s="382">
        <f t="shared" si="2"/>
        <v>-486795.73690252972</v>
      </c>
      <c r="H11" s="161">
        <f t="shared" si="3"/>
        <v>1.0583991919955202</v>
      </c>
      <c r="I11" s="42">
        <f t="shared" si="4"/>
        <v>-515224.21460450132</v>
      </c>
    </row>
    <row r="12" spans="1:12" x14ac:dyDescent="0.25">
      <c r="A12" s="38">
        <f>Données!A12</f>
        <v>5407</v>
      </c>
      <c r="B12" s="27" t="str">
        <f>Données!B12</f>
        <v>Leysin</v>
      </c>
      <c r="C12" s="31">
        <f>Données!Z12</f>
        <v>3752</v>
      </c>
      <c r="D12" s="241">
        <f>Ecrêtage!E12</f>
        <v>23.944939371366612</v>
      </c>
      <c r="E12" s="241">
        <f t="shared" si="1"/>
        <v>24.496794271400294</v>
      </c>
      <c r="F12" s="241">
        <f>+Données!X12</f>
        <v>78</v>
      </c>
      <c r="G12" s="382">
        <f t="shared" si="2"/>
        <v>-1935666.1325585498</v>
      </c>
      <c r="H12" s="161">
        <f t="shared" si="3"/>
        <v>1.1546173003587494</v>
      </c>
      <c r="I12" s="42">
        <f t="shared" si="4"/>
        <v>-2234953.604370614</v>
      </c>
    </row>
    <row r="13" spans="1:12" x14ac:dyDescent="0.25">
      <c r="A13" s="38">
        <f>Données!A13</f>
        <v>5408</v>
      </c>
      <c r="B13" s="27" t="str">
        <f>Données!B13</f>
        <v>Noville</v>
      </c>
      <c r="C13" s="31">
        <f>Données!Z13</f>
        <v>1169</v>
      </c>
      <c r="D13" s="241">
        <f>Ecrêtage!E13</f>
        <v>35.905372188955432</v>
      </c>
      <c r="E13" s="241">
        <f t="shared" si="1"/>
        <v>12.536361453811473</v>
      </c>
      <c r="F13" s="241">
        <f>+Données!X13</f>
        <v>75</v>
      </c>
      <c r="G13" s="382">
        <f t="shared" si="2"/>
        <v>-296763.88242498867</v>
      </c>
      <c r="H13" s="161">
        <f t="shared" si="3"/>
        <v>1.1102089426526436</v>
      </c>
      <c r="I13" s="42">
        <f t="shared" si="4"/>
        <v>-329469.91612454009</v>
      </c>
    </row>
    <row r="14" spans="1:12" x14ac:dyDescent="0.25">
      <c r="A14" s="38">
        <f>Données!A14</f>
        <v>5409</v>
      </c>
      <c r="B14" s="27" t="str">
        <f>Données!B14</f>
        <v>Ollon</v>
      </c>
      <c r="C14" s="31">
        <f>Données!Z14</f>
        <v>7971</v>
      </c>
      <c r="D14" s="241">
        <f>Ecrêtage!E14</f>
        <v>50.926897154333773</v>
      </c>
      <c r="E14" s="241">
        <f t="shared" si="1"/>
        <v>0</v>
      </c>
      <c r="F14" s="241">
        <f>+Données!X14</f>
        <v>68</v>
      </c>
      <c r="G14" s="382">
        <f t="shared" si="2"/>
        <v>0</v>
      </c>
      <c r="H14" s="161">
        <f t="shared" si="3"/>
        <v>1.0065894413383969</v>
      </c>
      <c r="I14" s="42">
        <f t="shared" si="4"/>
        <v>0</v>
      </c>
    </row>
    <row r="15" spans="1:12" x14ac:dyDescent="0.25">
      <c r="A15" s="38">
        <f>Données!A15</f>
        <v>5410</v>
      </c>
      <c r="B15" s="27" t="str">
        <f>Données!B15</f>
        <v>Ormont-Dessous</v>
      </c>
      <c r="C15" s="31">
        <f>Données!Z15</f>
        <v>1178</v>
      </c>
      <c r="D15" s="241">
        <f>Ecrêtage!E15</f>
        <v>32.613393123571392</v>
      </c>
      <c r="E15" s="241">
        <f t="shared" si="1"/>
        <v>15.828340519195514</v>
      </c>
      <c r="F15" s="241">
        <f>+Données!X15</f>
        <v>77</v>
      </c>
      <c r="G15" s="382">
        <f t="shared" si="2"/>
        <v>-387645.87288622005</v>
      </c>
      <c r="H15" s="161">
        <f t="shared" si="3"/>
        <v>1.139814514456714</v>
      </c>
      <c r="I15" s="42">
        <f t="shared" si="4"/>
        <v>-441844.39238495601</v>
      </c>
    </row>
    <row r="16" spans="1:12" x14ac:dyDescent="0.25">
      <c r="A16" s="38">
        <f>Données!A16</f>
        <v>5411</v>
      </c>
      <c r="B16" s="27" t="str">
        <f>Données!B16</f>
        <v>Ormont-Dessus</v>
      </c>
      <c r="C16" s="31">
        <f>Données!Z16</f>
        <v>1425</v>
      </c>
      <c r="D16" s="241">
        <f>Ecrêtage!E16</f>
        <v>53.44664256694368</v>
      </c>
      <c r="E16" s="241">
        <f t="shared" si="1"/>
        <v>0</v>
      </c>
      <c r="F16" s="241">
        <f>+Données!X16</f>
        <v>76</v>
      </c>
      <c r="G16" s="382">
        <f t="shared" si="2"/>
        <v>0</v>
      </c>
      <c r="H16" s="161">
        <f t="shared" si="3"/>
        <v>1.1250117285546788</v>
      </c>
      <c r="I16" s="42">
        <f t="shared" si="4"/>
        <v>0</v>
      </c>
    </row>
    <row r="17" spans="1:9" x14ac:dyDescent="0.25">
      <c r="A17" s="38">
        <f>Données!A17</f>
        <v>5412</v>
      </c>
      <c r="B17" s="27" t="str">
        <f>Données!B17</f>
        <v>Rennaz</v>
      </c>
      <c r="C17" s="31">
        <f>Données!Z17</f>
        <v>929</v>
      </c>
      <c r="D17" s="241">
        <f>Ecrêtage!E17</f>
        <v>34.704457028751499</v>
      </c>
      <c r="E17" s="241">
        <f t="shared" si="1"/>
        <v>13.737276614015407</v>
      </c>
      <c r="F17" s="241">
        <f>+Données!X17</f>
        <v>69</v>
      </c>
      <c r="G17" s="382">
        <f t="shared" si="2"/>
        <v>-237754.75542345046</v>
      </c>
      <c r="H17" s="161">
        <f t="shared" si="3"/>
        <v>1.0213922272404321</v>
      </c>
      <c r="I17" s="42">
        <f t="shared" si="4"/>
        <v>-242840.85917896227</v>
      </c>
    </row>
    <row r="18" spans="1:9" x14ac:dyDescent="0.25">
      <c r="A18" s="38">
        <f>Données!A18</f>
        <v>5413</v>
      </c>
      <c r="B18" s="27" t="str">
        <f>Données!B18</f>
        <v>Roche</v>
      </c>
      <c r="C18" s="31">
        <f>Données!Z18</f>
        <v>1943</v>
      </c>
      <c r="D18" s="241">
        <f>Ecrêtage!E18</f>
        <v>21.92313098553884</v>
      </c>
      <c r="E18" s="241">
        <f t="shared" si="1"/>
        <v>26.518602657228065</v>
      </c>
      <c r="F18" s="241">
        <f>+Données!X18</f>
        <v>68</v>
      </c>
      <c r="G18" s="382">
        <f t="shared" si="2"/>
        <v>-946010.84152057243</v>
      </c>
      <c r="H18" s="161">
        <f t="shared" si="3"/>
        <v>1.0065894413383969</v>
      </c>
      <c r="I18" s="42">
        <f t="shared" si="4"/>
        <v>-952244.52446625975</v>
      </c>
    </row>
    <row r="19" spans="1:9" x14ac:dyDescent="0.25">
      <c r="A19" s="38">
        <f>Données!A19</f>
        <v>5414</v>
      </c>
      <c r="B19" s="27" t="str">
        <f>Données!B19</f>
        <v>Villeneuve</v>
      </c>
      <c r="C19" s="31">
        <f>Données!Z19</f>
        <v>5980</v>
      </c>
      <c r="D19" s="241">
        <f>Ecrêtage!E19</f>
        <v>27.739375771088813</v>
      </c>
      <c r="E19" s="241">
        <f t="shared" si="1"/>
        <v>20.702357871678092</v>
      </c>
      <c r="F19" s="241">
        <f>+Données!X19</f>
        <v>67.5</v>
      </c>
      <c r="G19" s="382">
        <f t="shared" si="2"/>
        <v>-2256256.8238237728</v>
      </c>
      <c r="H19" s="161">
        <f t="shared" si="3"/>
        <v>0.99918804838737918</v>
      </c>
      <c r="I19" s="42">
        <f t="shared" si="4"/>
        <v>-2254424.8524571825</v>
      </c>
    </row>
    <row r="20" spans="1:9" x14ac:dyDescent="0.25">
      <c r="A20" s="38">
        <f>Données!A20</f>
        <v>5415</v>
      </c>
      <c r="B20" s="27" t="str">
        <f>Données!B20</f>
        <v>Yvorne</v>
      </c>
      <c r="C20" s="31">
        <f>Données!Z20</f>
        <v>1088</v>
      </c>
      <c r="D20" s="241">
        <f>Ecrêtage!E20</f>
        <v>30.951761020841907</v>
      </c>
      <c r="E20" s="241">
        <f t="shared" si="1"/>
        <v>17.489972621924998</v>
      </c>
      <c r="F20" s="241">
        <f>+Données!X20</f>
        <v>71.5</v>
      </c>
      <c r="G20" s="382">
        <f t="shared" si="2"/>
        <v>-367356.58655529318</v>
      </c>
      <c r="H20" s="161">
        <f t="shared" si="3"/>
        <v>1.0583991919955202</v>
      </c>
      <c r="I20" s="42">
        <f t="shared" si="4"/>
        <v>-388809.91438435472</v>
      </c>
    </row>
    <row r="21" spans="1:9" x14ac:dyDescent="0.25">
      <c r="A21" s="38">
        <f>Données!A21</f>
        <v>5422</v>
      </c>
      <c r="B21" s="27" t="str">
        <f>Données!B21</f>
        <v>Aubonne</v>
      </c>
      <c r="C21" s="31">
        <f>Données!Z21</f>
        <v>3794</v>
      </c>
      <c r="D21" s="241">
        <f>Ecrêtage!E21</f>
        <v>78.441849612169619</v>
      </c>
      <c r="E21" s="241">
        <f t="shared" si="1"/>
        <v>0</v>
      </c>
      <c r="F21" s="241">
        <f>+Données!X21</f>
        <v>70</v>
      </c>
      <c r="G21" s="382">
        <f t="shared" si="2"/>
        <v>0</v>
      </c>
      <c r="H21" s="161">
        <f t="shared" si="3"/>
        <v>1.0361950131424673</v>
      </c>
      <c r="I21" s="42">
        <f t="shared" si="4"/>
        <v>0</v>
      </c>
    </row>
    <row r="22" spans="1:9" x14ac:dyDescent="0.25">
      <c r="A22" s="38">
        <f>Données!A22</f>
        <v>5423</v>
      </c>
      <c r="B22" s="27" t="str">
        <f>Données!B22</f>
        <v>Ballens</v>
      </c>
      <c r="C22" s="31">
        <f>Données!Z22</f>
        <v>590</v>
      </c>
      <c r="D22" s="241">
        <f>Ecrêtage!E22</f>
        <v>29.399814488042733</v>
      </c>
      <c r="E22" s="241">
        <f t="shared" si="1"/>
        <v>19.041919154724173</v>
      </c>
      <c r="F22" s="241">
        <f>+Données!X22</f>
        <v>73</v>
      </c>
      <c r="G22" s="382">
        <f t="shared" si="2"/>
        <v>-221436.57365837196</v>
      </c>
      <c r="H22" s="161">
        <f t="shared" si="3"/>
        <v>1.0806033708485732</v>
      </c>
      <c r="I22" s="42">
        <f t="shared" si="4"/>
        <v>-239285.1079243951</v>
      </c>
    </row>
    <row r="23" spans="1:9" x14ac:dyDescent="0.25">
      <c r="A23" s="38">
        <f>Données!A23</f>
        <v>5424</v>
      </c>
      <c r="B23" s="27" t="str">
        <f>Données!B23</f>
        <v>Berolle</v>
      </c>
      <c r="C23" s="31">
        <f>Données!Z23</f>
        <v>305</v>
      </c>
      <c r="D23" s="241">
        <f>Ecrêtage!E23</f>
        <v>33.650014113559877</v>
      </c>
      <c r="E23" s="241">
        <f t="shared" si="1"/>
        <v>14.791719529207029</v>
      </c>
      <c r="F23" s="241">
        <f>+Données!X23</f>
        <v>75.5</v>
      </c>
      <c r="G23" s="382">
        <f t="shared" si="2"/>
        <v>-91966.406793880014</v>
      </c>
      <c r="H23" s="161">
        <f t="shared" si="3"/>
        <v>1.1176103356036613</v>
      </c>
      <c r="I23" s="42">
        <f t="shared" si="4"/>
        <v>-102782.60676117108</v>
      </c>
    </row>
    <row r="24" spans="1:9" x14ac:dyDescent="0.25">
      <c r="A24" s="38">
        <f>Données!A24</f>
        <v>5425</v>
      </c>
      <c r="B24" s="27" t="str">
        <f>Données!B24</f>
        <v>Bière</v>
      </c>
      <c r="C24" s="31">
        <f>Données!Z24</f>
        <v>1688</v>
      </c>
      <c r="D24" s="241">
        <f>Ecrêtage!E24</f>
        <v>25.028409509700129</v>
      </c>
      <c r="E24" s="241">
        <f t="shared" si="1"/>
        <v>23.413324133066777</v>
      </c>
      <c r="F24" s="241">
        <f>+Données!X24</f>
        <v>69</v>
      </c>
      <c r="G24" s="382">
        <f t="shared" si="2"/>
        <v>-736289.10587516951</v>
      </c>
      <c r="H24" s="161">
        <f t="shared" si="3"/>
        <v>1.0213922272404321</v>
      </c>
      <c r="I24" s="42">
        <f t="shared" si="4"/>
        <v>-752039.9697427057</v>
      </c>
    </row>
    <row r="25" spans="1:9" x14ac:dyDescent="0.25">
      <c r="A25" s="38">
        <f>Données!A25</f>
        <v>5426</v>
      </c>
      <c r="B25" s="27" t="str">
        <f>Données!B25</f>
        <v>Bougy-Villars</v>
      </c>
      <c r="C25" s="31">
        <f>Données!Z25</f>
        <v>506</v>
      </c>
      <c r="D25" s="241">
        <f>Ecrêtage!E25</f>
        <v>122.50105718458599</v>
      </c>
      <c r="E25" s="241">
        <f t="shared" si="1"/>
        <v>0</v>
      </c>
      <c r="F25" s="241">
        <f>+Données!X25</f>
        <v>64.5</v>
      </c>
      <c r="G25" s="382">
        <f t="shared" si="2"/>
        <v>0</v>
      </c>
      <c r="H25" s="161">
        <f t="shared" si="3"/>
        <v>0.95477969068127344</v>
      </c>
      <c r="I25" s="42">
        <f t="shared" si="4"/>
        <v>0</v>
      </c>
    </row>
    <row r="26" spans="1:9" x14ac:dyDescent="0.25">
      <c r="A26" s="38">
        <f>Données!A26</f>
        <v>5427</v>
      </c>
      <c r="B26" s="27" t="str">
        <f>Données!B26</f>
        <v>Féchy</v>
      </c>
      <c r="C26" s="31">
        <f>Données!Z26</f>
        <v>887</v>
      </c>
      <c r="D26" s="241">
        <f>Ecrêtage!E26</f>
        <v>98.052742051318177</v>
      </c>
      <c r="E26" s="241">
        <f t="shared" si="1"/>
        <v>0</v>
      </c>
      <c r="F26" s="241">
        <f>+Données!X26</f>
        <v>64</v>
      </c>
      <c r="G26" s="382">
        <f t="shared" si="2"/>
        <v>0</v>
      </c>
      <c r="H26" s="161">
        <f t="shared" si="3"/>
        <v>0.94737829773025584</v>
      </c>
      <c r="I26" s="42">
        <f t="shared" si="4"/>
        <v>0</v>
      </c>
    </row>
    <row r="27" spans="1:9" x14ac:dyDescent="0.25">
      <c r="A27" s="38">
        <f>Données!A27</f>
        <v>5428</v>
      </c>
      <c r="B27" s="27" t="str">
        <f>Données!B27</f>
        <v>Gimel</v>
      </c>
      <c r="C27" s="31">
        <f>Données!Z27</f>
        <v>2414</v>
      </c>
      <c r="D27" s="241">
        <f>Ecrêtage!E27</f>
        <v>29.559895603387396</v>
      </c>
      <c r="E27" s="241">
        <f t="shared" si="1"/>
        <v>18.88183803937951</v>
      </c>
      <c r="F27" s="241">
        <f>+Données!X27</f>
        <v>74.5</v>
      </c>
      <c r="G27" s="382">
        <f t="shared" si="2"/>
        <v>-916856.927599355</v>
      </c>
      <c r="H27" s="161">
        <f t="shared" si="3"/>
        <v>1.1028075497016259</v>
      </c>
      <c r="I27" s="42">
        <f t="shared" si="4"/>
        <v>-1011116.7417528057</v>
      </c>
    </row>
    <row r="28" spans="1:9" x14ac:dyDescent="0.25">
      <c r="A28" s="38">
        <f>Données!A28</f>
        <v>5429</v>
      </c>
      <c r="B28" s="27" t="str">
        <f>Données!B28</f>
        <v>Longirod</v>
      </c>
      <c r="C28" s="31">
        <f>Données!Z28</f>
        <v>542</v>
      </c>
      <c r="D28" s="241">
        <f>Ecrêtage!E28</f>
        <v>31.628009760742774</v>
      </c>
      <c r="E28" s="241">
        <f t="shared" si="1"/>
        <v>16.813723882024131</v>
      </c>
      <c r="F28" s="241">
        <f>+Données!X28</f>
        <v>77.5</v>
      </c>
      <c r="G28" s="382">
        <f t="shared" si="2"/>
        <v>-190690.32734939439</v>
      </c>
      <c r="H28" s="161">
        <f t="shared" si="3"/>
        <v>1.1472159074077317</v>
      </c>
      <c r="I28" s="42">
        <f t="shared" si="4"/>
        <v>-218762.97692401288</v>
      </c>
    </row>
    <row r="29" spans="1:9" x14ac:dyDescent="0.25">
      <c r="A29" s="38">
        <f>Données!A29</f>
        <v>5430</v>
      </c>
      <c r="B29" s="27" t="str">
        <f>Données!B29</f>
        <v>Marchissy</v>
      </c>
      <c r="C29" s="31">
        <f>Données!Z29</f>
        <v>501</v>
      </c>
      <c r="D29" s="241">
        <f>Ecrêtage!E29</f>
        <v>34.175080806129678</v>
      </c>
      <c r="E29" s="241">
        <f t="shared" si="1"/>
        <v>14.266652836637228</v>
      </c>
      <c r="F29" s="241">
        <f>+Données!X29</f>
        <v>77.5</v>
      </c>
      <c r="G29" s="382">
        <f t="shared" si="2"/>
        <v>-149563.38501392366</v>
      </c>
      <c r="H29" s="161">
        <f t="shared" si="3"/>
        <v>1.1472159074077317</v>
      </c>
      <c r="I29" s="42">
        <f t="shared" si="4"/>
        <v>-171581.49445372037</v>
      </c>
    </row>
    <row r="30" spans="1:9" x14ac:dyDescent="0.25">
      <c r="A30" s="38">
        <f>Données!A30</f>
        <v>5431</v>
      </c>
      <c r="B30" s="27" t="str">
        <f>Données!B30</f>
        <v>Mollens</v>
      </c>
      <c r="C30" s="31">
        <f>Données!Z30</f>
        <v>324</v>
      </c>
      <c r="D30" s="241">
        <f>Ecrêtage!E30</f>
        <v>29.243980230230232</v>
      </c>
      <c r="E30" s="241">
        <f t="shared" si="1"/>
        <v>19.197753412536674</v>
      </c>
      <c r="F30" s="241">
        <f>+Données!X30</f>
        <v>74</v>
      </c>
      <c r="G30" s="382">
        <f t="shared" si="2"/>
        <v>-124277.04067112441</v>
      </c>
      <c r="H30" s="161">
        <f t="shared" si="3"/>
        <v>1.0954061567506084</v>
      </c>
      <c r="I30" s="42">
        <f t="shared" si="4"/>
        <v>-136133.83549389543</v>
      </c>
    </row>
    <row r="31" spans="1:9" x14ac:dyDescent="0.25">
      <c r="A31" s="38">
        <f>Données!A31</f>
        <v>5434</v>
      </c>
      <c r="B31" s="27" t="str">
        <f>Données!B31</f>
        <v>Saint-George</v>
      </c>
      <c r="C31" s="31">
        <f>Données!Z31</f>
        <v>1069</v>
      </c>
      <c r="D31" s="241">
        <f>Ecrêtage!E31</f>
        <v>38.455958727872698</v>
      </c>
      <c r="E31" s="241">
        <f t="shared" si="1"/>
        <v>9.9857749148942077</v>
      </c>
      <c r="F31" s="241">
        <f>+Données!X31</f>
        <v>69.5</v>
      </c>
      <c r="G31" s="382">
        <f t="shared" si="2"/>
        <v>-200312.49785117112</v>
      </c>
      <c r="H31" s="161">
        <f t="shared" si="3"/>
        <v>1.0287936201914498</v>
      </c>
      <c r="I31" s="42">
        <f t="shared" si="4"/>
        <v>-206080.21983389836</v>
      </c>
    </row>
    <row r="32" spans="1:9" x14ac:dyDescent="0.25">
      <c r="A32" s="38">
        <f>Données!A32</f>
        <v>5435</v>
      </c>
      <c r="B32" s="27" t="str">
        <f>Données!B32</f>
        <v>Saint-Livres</v>
      </c>
      <c r="C32" s="31">
        <f>Données!Z32</f>
        <v>698</v>
      </c>
      <c r="D32" s="241">
        <f>Ecrêtage!E32</f>
        <v>36.478928200656114</v>
      </c>
      <c r="E32" s="241">
        <f t="shared" si="1"/>
        <v>11.962805442110792</v>
      </c>
      <c r="F32" s="241">
        <f>+Données!X32</f>
        <v>69</v>
      </c>
      <c r="G32" s="382">
        <f t="shared" si="2"/>
        <v>-155561.21163979379</v>
      </c>
      <c r="H32" s="161">
        <f t="shared" si="3"/>
        <v>1.0213922272404321</v>
      </c>
      <c r="I32" s="42">
        <f t="shared" si="4"/>
        <v>-158889.01242898923</v>
      </c>
    </row>
    <row r="33" spans="1:9" x14ac:dyDescent="0.25">
      <c r="A33" s="38">
        <f>Données!A33</f>
        <v>5436</v>
      </c>
      <c r="B33" s="27" t="str">
        <f>Données!B33</f>
        <v>Saint-Oyens</v>
      </c>
      <c r="C33" s="31">
        <f>Données!Z33</f>
        <v>456</v>
      </c>
      <c r="D33" s="241">
        <f>Ecrêtage!E33</f>
        <v>36.020552131912062</v>
      </c>
      <c r="E33" s="241">
        <f t="shared" si="1"/>
        <v>12.421181510854844</v>
      </c>
      <c r="F33" s="241">
        <f>+Données!X33</f>
        <v>79</v>
      </c>
      <c r="G33" s="382">
        <f t="shared" si="2"/>
        <v>-120814.37354169943</v>
      </c>
      <c r="H33" s="161">
        <f t="shared" si="3"/>
        <v>1.1694200862607846</v>
      </c>
      <c r="I33" s="42">
        <f t="shared" si="4"/>
        <v>-141282.7551286768</v>
      </c>
    </row>
    <row r="34" spans="1:9" x14ac:dyDescent="0.25">
      <c r="A34" s="38">
        <f>Données!A34</f>
        <v>5437</v>
      </c>
      <c r="B34" s="27" t="str">
        <f>Données!B34</f>
        <v>Saubraz</v>
      </c>
      <c r="C34" s="31">
        <f>Données!Z34</f>
        <v>449</v>
      </c>
      <c r="D34" s="241">
        <f>Ecrêtage!E34</f>
        <v>27.010951559020047</v>
      </c>
      <c r="E34" s="241">
        <f t="shared" si="1"/>
        <v>21.430782083746859</v>
      </c>
      <c r="F34" s="241">
        <f>+Données!X34</f>
        <v>80</v>
      </c>
      <c r="G34" s="382">
        <f t="shared" si="2"/>
        <v>-207844.29696101055</v>
      </c>
      <c r="H34" s="161">
        <f t="shared" si="3"/>
        <v>1.1842228721628199</v>
      </c>
      <c r="I34" s="42">
        <f t="shared" si="4"/>
        <v>-246133.97030982995</v>
      </c>
    </row>
    <row r="35" spans="1:9" x14ac:dyDescent="0.25">
      <c r="A35" s="38">
        <f>Données!A35</f>
        <v>5451</v>
      </c>
      <c r="B35" s="27" t="str">
        <f>Données!B35</f>
        <v>Avenches</v>
      </c>
      <c r="C35" s="31">
        <f>Données!Z35</f>
        <v>4699</v>
      </c>
      <c r="D35" s="241">
        <f>Ecrêtage!E35</f>
        <v>30.353929876830819</v>
      </c>
      <c r="E35" s="241">
        <f t="shared" si="1"/>
        <v>18.087803765936087</v>
      </c>
      <c r="F35" s="241">
        <f>+Données!X35</f>
        <v>66.5</v>
      </c>
      <c r="G35" s="382">
        <f t="shared" si="2"/>
        <v>-1526077.8615850802</v>
      </c>
      <c r="H35" s="161">
        <f t="shared" si="3"/>
        <v>0.98438526248534397</v>
      </c>
      <c r="I35" s="42">
        <f t="shared" si="4"/>
        <v>-1502248.5563495015</v>
      </c>
    </row>
    <row r="36" spans="1:9" x14ac:dyDescent="0.25">
      <c r="A36" s="38">
        <f>Données!A36</f>
        <v>5456</v>
      </c>
      <c r="B36" s="27" t="str">
        <f>Données!B36</f>
        <v>Cudrefin</v>
      </c>
      <c r="C36" s="31">
        <f>Données!Z36</f>
        <v>1876</v>
      </c>
      <c r="D36" s="241">
        <f>Ecrêtage!E36</f>
        <v>34.147327255971952</v>
      </c>
      <c r="E36" s="241">
        <f t="shared" si="1"/>
        <v>14.294406386794954</v>
      </c>
      <c r="F36" s="241">
        <f>+Données!X36</f>
        <v>59</v>
      </c>
      <c r="G36" s="382">
        <f t="shared" si="2"/>
        <v>-427183.76065932342</v>
      </c>
      <c r="H36" s="161">
        <f t="shared" si="3"/>
        <v>0.87336436822007968</v>
      </c>
      <c r="I36" s="42">
        <f t="shared" si="4"/>
        <v>-373087.07524210773</v>
      </c>
    </row>
    <row r="37" spans="1:9" x14ac:dyDescent="0.25">
      <c r="A37" s="38">
        <f>Données!A37</f>
        <v>5458</v>
      </c>
      <c r="B37" s="27" t="str">
        <f>Données!B37</f>
        <v>Faoug</v>
      </c>
      <c r="C37" s="31">
        <f>Données!Z37</f>
        <v>904</v>
      </c>
      <c r="D37" s="241">
        <f>Ecrêtage!E37</f>
        <v>36.0961510097572</v>
      </c>
      <c r="E37" s="241">
        <f t="shared" si="1"/>
        <v>12.345582633009705</v>
      </c>
      <c r="F37" s="241">
        <f>+Données!X37</f>
        <v>65</v>
      </c>
      <c r="G37" s="382">
        <f t="shared" si="2"/>
        <v>-195865.1375892256</v>
      </c>
      <c r="H37" s="161">
        <f t="shared" si="3"/>
        <v>0.96218108363229116</v>
      </c>
      <c r="I37" s="42">
        <f t="shared" si="4"/>
        <v>-188457.73033138888</v>
      </c>
    </row>
    <row r="38" spans="1:9" x14ac:dyDescent="0.25">
      <c r="A38" s="38">
        <f>Données!A38</f>
        <v>5464</v>
      </c>
      <c r="B38" s="27" t="str">
        <f>Données!B38</f>
        <v>Vully-les-Lacs</v>
      </c>
      <c r="C38" s="31">
        <f>Données!Z38</f>
        <v>3543</v>
      </c>
      <c r="D38" s="241">
        <f>Ecrêtage!E38</f>
        <v>33.286324389904841</v>
      </c>
      <c r="E38" s="241">
        <f t="shared" si="1"/>
        <v>15.155409252862064</v>
      </c>
      <c r="F38" s="241">
        <f>+Données!X38</f>
        <v>67</v>
      </c>
      <c r="G38" s="382">
        <f t="shared" si="2"/>
        <v>-971353.67504048545</v>
      </c>
      <c r="H38" s="161">
        <f t="shared" si="3"/>
        <v>0.99178665543636157</v>
      </c>
      <c r="I38" s="42">
        <f t="shared" si="4"/>
        <v>-963375.61261422152</v>
      </c>
    </row>
    <row r="39" spans="1:9" x14ac:dyDescent="0.25">
      <c r="A39" s="38">
        <f>Données!A39</f>
        <v>5471</v>
      </c>
      <c r="B39" s="27" t="str">
        <f>Données!B39</f>
        <v>Bettens</v>
      </c>
      <c r="C39" s="31">
        <f>Données!Z39</f>
        <v>650</v>
      </c>
      <c r="D39" s="241">
        <f>Ecrêtage!E39</f>
        <v>34.911211404151402</v>
      </c>
      <c r="E39" s="241">
        <f t="shared" si="1"/>
        <v>13.530522238615504</v>
      </c>
      <c r="F39" s="241">
        <f>+Données!X39</f>
        <v>70</v>
      </c>
      <c r="G39" s="382">
        <f t="shared" si="2"/>
        <v>-166222.46570139151</v>
      </c>
      <c r="H39" s="161">
        <f t="shared" si="3"/>
        <v>1.0361950131424673</v>
      </c>
      <c r="I39" s="42">
        <f t="shared" si="4"/>
        <v>-172238.89003202671</v>
      </c>
    </row>
    <row r="40" spans="1:9" x14ac:dyDescent="0.25">
      <c r="A40" s="38">
        <f>Données!A40</f>
        <v>5472</v>
      </c>
      <c r="B40" s="27" t="str">
        <f>Données!B40</f>
        <v>Bournens</v>
      </c>
      <c r="C40" s="31">
        <f>Données!Z40</f>
        <v>514</v>
      </c>
      <c r="D40" s="241">
        <f>Ecrêtage!E40</f>
        <v>38.861549839780274</v>
      </c>
      <c r="E40" s="241">
        <f t="shared" si="1"/>
        <v>9.5801838029866317</v>
      </c>
      <c r="F40" s="241">
        <f>+Données!X40</f>
        <v>68</v>
      </c>
      <c r="G40" s="382">
        <f t="shared" si="2"/>
        <v>-90408.577756136961</v>
      </c>
      <c r="H40" s="161">
        <f t="shared" si="3"/>
        <v>1.0065894413383969</v>
      </c>
      <c r="I40" s="42">
        <f t="shared" si="4"/>
        <v>-91004.319775748925</v>
      </c>
    </row>
    <row r="41" spans="1:9" x14ac:dyDescent="0.25">
      <c r="A41" s="38">
        <f>Données!A41</f>
        <v>5473</v>
      </c>
      <c r="B41" s="27" t="str">
        <f>Données!B41</f>
        <v>Boussens</v>
      </c>
      <c r="C41" s="31">
        <f>Données!Z41</f>
        <v>1010</v>
      </c>
      <c r="D41" s="241">
        <f>Ecrêtage!E41</f>
        <v>41.601066006600661</v>
      </c>
      <c r="E41" s="241">
        <f t="shared" si="1"/>
        <v>6.8406676361662448</v>
      </c>
      <c r="F41" s="241">
        <f>+Données!X41</f>
        <v>66</v>
      </c>
      <c r="G41" s="382">
        <f t="shared" si="2"/>
        <v>-123119.70424924731</v>
      </c>
      <c r="H41" s="161">
        <f t="shared" si="3"/>
        <v>0.97698386953432637</v>
      </c>
      <c r="I41" s="42">
        <f t="shared" si="4"/>
        <v>-120285.96507335149</v>
      </c>
    </row>
    <row r="42" spans="1:9" x14ac:dyDescent="0.25">
      <c r="A42" s="38">
        <f>Données!A42</f>
        <v>5474</v>
      </c>
      <c r="B42" s="27" t="str">
        <f>Données!B42</f>
        <v>La Chaux (Cossonay)</v>
      </c>
      <c r="C42" s="31">
        <f>Données!Z42</f>
        <v>412</v>
      </c>
      <c r="D42" s="241">
        <f>Ecrêtage!E42</f>
        <v>33.646884527763582</v>
      </c>
      <c r="E42" s="241">
        <f t="shared" si="1"/>
        <v>14.794849115003323</v>
      </c>
      <c r="F42" s="241">
        <f>+Données!X42</f>
        <v>76</v>
      </c>
      <c r="G42" s="382">
        <f t="shared" si="2"/>
        <v>-125079.2051820257</v>
      </c>
      <c r="H42" s="161">
        <f t="shared" si="3"/>
        <v>1.1250117285546788</v>
      </c>
      <c r="I42" s="42">
        <f t="shared" si="4"/>
        <v>-140715.57282807608</v>
      </c>
    </row>
    <row r="43" spans="1:9" x14ac:dyDescent="0.25">
      <c r="A43" s="38">
        <f>Données!A43</f>
        <v>5475</v>
      </c>
      <c r="B43" s="27" t="str">
        <f>Données!B43</f>
        <v>Chavannes-le-Veyron</v>
      </c>
      <c r="C43" s="31">
        <f>Données!Z43</f>
        <v>163</v>
      </c>
      <c r="D43" s="241">
        <f>Ecrêtage!E43</f>
        <v>26.363219631901842</v>
      </c>
      <c r="E43" s="241">
        <f t="shared" si="1"/>
        <v>22.078514010865064</v>
      </c>
      <c r="F43" s="241">
        <f>+Données!X43</f>
        <v>75</v>
      </c>
      <c r="G43" s="382">
        <f t="shared" si="2"/>
        <v>-72875.655121362855</v>
      </c>
      <c r="H43" s="161">
        <f t="shared" si="3"/>
        <v>1.1102089426526436</v>
      </c>
      <c r="I43" s="42">
        <f t="shared" si="4"/>
        <v>-80907.20401740697</v>
      </c>
    </row>
    <row r="44" spans="1:9" x14ac:dyDescent="0.25">
      <c r="A44" s="38">
        <f>Données!A44</f>
        <v>5476</v>
      </c>
      <c r="B44" s="27" t="str">
        <f>Données!B44</f>
        <v>Chevilly</v>
      </c>
      <c r="C44" s="31">
        <f>Données!Z44</f>
        <v>331</v>
      </c>
      <c r="D44" s="241">
        <f>Ecrêtage!E44</f>
        <v>40.962093551411613</v>
      </c>
      <c r="E44" s="241">
        <f t="shared" si="1"/>
        <v>7.479640091355293</v>
      </c>
      <c r="F44" s="241">
        <f>+Données!X44</f>
        <v>72.5</v>
      </c>
      <c r="G44" s="382">
        <f t="shared" si="2"/>
        <v>-48463.019034920639</v>
      </c>
      <c r="H44" s="161">
        <f t="shared" si="3"/>
        <v>1.0732019778975554</v>
      </c>
      <c r="I44" s="42">
        <f t="shared" si="4"/>
        <v>-52010.607883163706</v>
      </c>
    </row>
    <row r="45" spans="1:9" x14ac:dyDescent="0.25">
      <c r="A45" s="38">
        <f>Données!A45</f>
        <v>5477</v>
      </c>
      <c r="B45" s="27" t="str">
        <f>Données!B45</f>
        <v>Cossonay</v>
      </c>
      <c r="C45" s="31">
        <f>Données!Z45</f>
        <v>4390</v>
      </c>
      <c r="D45" s="241">
        <f>Ecrêtage!E45</f>
        <v>34.508093126088703</v>
      </c>
      <c r="E45" s="241">
        <f t="shared" si="1"/>
        <v>13.933640516678203</v>
      </c>
      <c r="F45" s="241">
        <f>+Données!X45</f>
        <v>68</v>
      </c>
      <c r="G45" s="382">
        <f t="shared" si="2"/>
        <v>-1123056.99910047</v>
      </c>
      <c r="H45" s="161">
        <f t="shared" si="3"/>
        <v>1.0065894413383969</v>
      </c>
      <c r="I45" s="42">
        <f t="shared" si="4"/>
        <v>-1130457.3173157186</v>
      </c>
    </row>
    <row r="46" spans="1:9" x14ac:dyDescent="0.25">
      <c r="A46" s="38">
        <f>Données!A46</f>
        <v>5479</v>
      </c>
      <c r="B46" s="27" t="str">
        <f>Données!B46</f>
        <v>Cuarnens</v>
      </c>
      <c r="C46" s="31">
        <f>Données!Z46</f>
        <v>545</v>
      </c>
      <c r="D46" s="241">
        <f>Ecrêtage!E46</f>
        <v>26.296032646252829</v>
      </c>
      <c r="E46" s="241">
        <f t="shared" si="1"/>
        <v>22.145700996514076</v>
      </c>
      <c r="F46" s="241">
        <f>+Données!X46</f>
        <v>77</v>
      </c>
      <c r="G46" s="382">
        <f t="shared" si="2"/>
        <v>-250922.97242605258</v>
      </c>
      <c r="H46" s="161">
        <f t="shared" si="3"/>
        <v>1.139814514456714</v>
      </c>
      <c r="I46" s="42">
        <f t="shared" si="4"/>
        <v>-286005.64598183654</v>
      </c>
    </row>
    <row r="47" spans="1:9" x14ac:dyDescent="0.25">
      <c r="A47" s="38">
        <f>Données!A47</f>
        <v>5480</v>
      </c>
      <c r="B47" s="27" t="str">
        <f>Données!B47</f>
        <v>Daillens</v>
      </c>
      <c r="C47" s="31">
        <f>Données!Z47</f>
        <v>1057</v>
      </c>
      <c r="D47" s="241">
        <f>Ecrêtage!E47</f>
        <v>40.416523656622992</v>
      </c>
      <c r="E47" s="241">
        <f t="shared" si="1"/>
        <v>8.0252099861439135</v>
      </c>
      <c r="F47" s="241">
        <f>+Données!X47</f>
        <v>66</v>
      </c>
      <c r="G47" s="382">
        <f t="shared" si="2"/>
        <v>-151160.76874441039</v>
      </c>
      <c r="H47" s="161">
        <f t="shared" si="3"/>
        <v>0.97698386953432637</v>
      </c>
      <c r="I47" s="42">
        <f t="shared" si="4"/>
        <v>-147681.63276969752</v>
      </c>
    </row>
    <row r="48" spans="1:9" x14ac:dyDescent="0.25">
      <c r="A48" s="38">
        <f>Données!A48</f>
        <v>5481</v>
      </c>
      <c r="B48" s="27" t="str">
        <f>Données!B48</f>
        <v>Dizy</v>
      </c>
      <c r="C48" s="31">
        <f>Données!Z48</f>
        <v>232</v>
      </c>
      <c r="D48" s="241">
        <f>Ecrêtage!E48</f>
        <v>36.865153448275869</v>
      </c>
      <c r="E48" s="241">
        <f t="shared" si="1"/>
        <v>11.576580194491036</v>
      </c>
      <c r="F48" s="241">
        <f>+Données!X48</f>
        <v>75</v>
      </c>
      <c r="G48" s="382">
        <f t="shared" si="2"/>
        <v>-54386.773753718888</v>
      </c>
      <c r="H48" s="161">
        <f t="shared" si="3"/>
        <v>1.1102089426526436</v>
      </c>
      <c r="I48" s="42">
        <f t="shared" si="4"/>
        <v>-60380.682583404792</v>
      </c>
    </row>
    <row r="49" spans="1:9" x14ac:dyDescent="0.25">
      <c r="A49" s="38">
        <f>Données!A49</f>
        <v>5482</v>
      </c>
      <c r="B49" s="27" t="str">
        <f>Données!B49</f>
        <v>Eclépens</v>
      </c>
      <c r="C49" s="31">
        <f>Données!Z49</f>
        <v>1199</v>
      </c>
      <c r="D49" s="241">
        <f>Ecrêtage!E49</f>
        <v>40.295699858577805</v>
      </c>
      <c r="E49" s="241">
        <f t="shared" si="1"/>
        <v>8.1460337841891004</v>
      </c>
      <c r="F49" s="241">
        <f>+Données!X49</f>
        <v>46</v>
      </c>
      <c r="G49" s="382">
        <f t="shared" si="2"/>
        <v>-121307.31377995473</v>
      </c>
      <c r="H49" s="161">
        <f t="shared" si="3"/>
        <v>0.6809281514936214</v>
      </c>
      <c r="I49" s="42">
        <f t="shared" si="4"/>
        <v>-82601.564934841284</v>
      </c>
    </row>
    <row r="50" spans="1:9" x14ac:dyDescent="0.25">
      <c r="A50" s="38">
        <f>Données!A50</f>
        <v>5483</v>
      </c>
      <c r="B50" s="27" t="str">
        <f>Données!B50</f>
        <v>Ferreyres</v>
      </c>
      <c r="C50" s="31">
        <f>Données!Z50</f>
        <v>308</v>
      </c>
      <c r="D50" s="241">
        <f>Ecrêtage!E50</f>
        <v>33.390530160628842</v>
      </c>
      <c r="E50" s="241">
        <f t="shared" si="1"/>
        <v>15.051203482138064</v>
      </c>
      <c r="F50" s="241">
        <f>+Données!X50</f>
        <v>76</v>
      </c>
      <c r="G50" s="382">
        <f t="shared" si="2"/>
        <v>-95126.014199669706</v>
      </c>
      <c r="H50" s="161">
        <f t="shared" si="3"/>
        <v>1.1250117285546788</v>
      </c>
      <c r="I50" s="42">
        <f t="shared" si="4"/>
        <v>-107017.88166528734</v>
      </c>
    </row>
    <row r="51" spans="1:9" x14ac:dyDescent="0.25">
      <c r="A51" s="38">
        <f>Données!A51</f>
        <v>5484</v>
      </c>
      <c r="B51" s="27" t="str">
        <f>Données!B51</f>
        <v>Gollion</v>
      </c>
      <c r="C51" s="31">
        <f>Données!Z51</f>
        <v>1037</v>
      </c>
      <c r="D51" s="241">
        <f>Ecrêtage!E51</f>
        <v>31.438448356746331</v>
      </c>
      <c r="E51" s="241">
        <f t="shared" si="1"/>
        <v>17.003285286020574</v>
      </c>
      <c r="F51" s="241">
        <f>+Données!X51</f>
        <v>74</v>
      </c>
      <c r="G51" s="382">
        <f t="shared" si="2"/>
        <v>-352295.4886952347</v>
      </c>
      <c r="H51" s="161">
        <f t="shared" si="3"/>
        <v>1.0954061567506084</v>
      </c>
      <c r="I51" s="42">
        <f t="shared" si="4"/>
        <v>-385906.64731222444</v>
      </c>
    </row>
    <row r="52" spans="1:9" x14ac:dyDescent="0.25">
      <c r="A52" s="38">
        <f>Données!A52</f>
        <v>5485</v>
      </c>
      <c r="B52" s="27" t="str">
        <f>Données!B52</f>
        <v>Grancy</v>
      </c>
      <c r="C52" s="31">
        <f>Données!Z52</f>
        <v>490</v>
      </c>
      <c r="D52" s="241">
        <f>Ecrêtage!E52</f>
        <v>38.696694752186588</v>
      </c>
      <c r="E52" s="241">
        <f t="shared" si="1"/>
        <v>9.745038890580318</v>
      </c>
      <c r="F52" s="241">
        <f>+Données!X52</f>
        <v>70</v>
      </c>
      <c r="G52" s="382">
        <f t="shared" si="2"/>
        <v>-90248.805165664322</v>
      </c>
      <c r="H52" s="161">
        <f t="shared" si="3"/>
        <v>1.0361950131424673</v>
      </c>
      <c r="I52" s="42">
        <f t="shared" si="4"/>
        <v>-93515.361854727511</v>
      </c>
    </row>
    <row r="53" spans="1:9" x14ac:dyDescent="0.25">
      <c r="A53" s="38">
        <f>Données!A53</f>
        <v>5486</v>
      </c>
      <c r="B53" s="27" t="str">
        <f>Données!B53</f>
        <v>L'Isle</v>
      </c>
      <c r="C53" s="31">
        <f>Données!Z53</f>
        <v>1095</v>
      </c>
      <c r="D53" s="241">
        <f>Ecrêtage!E53</f>
        <v>31.740836042617968</v>
      </c>
      <c r="E53" s="241">
        <f t="shared" si="1"/>
        <v>16.700897600148938</v>
      </c>
      <c r="F53" s="241">
        <f>+Données!X53</f>
        <v>75</v>
      </c>
      <c r="G53" s="382">
        <f t="shared" si="2"/>
        <v>-370321.52816130256</v>
      </c>
      <c r="H53" s="161">
        <f t="shared" si="3"/>
        <v>1.1102089426526436</v>
      </c>
      <c r="I53" s="42">
        <f t="shared" si="4"/>
        <v>-411134.27222147089</v>
      </c>
    </row>
    <row r="54" spans="1:9" x14ac:dyDescent="0.25">
      <c r="A54" s="38">
        <f>Données!A54</f>
        <v>5487</v>
      </c>
      <c r="B54" s="27" t="str">
        <f>Données!B54</f>
        <v>Lussery-Villars</v>
      </c>
      <c r="C54" s="31">
        <f>Données!Z54</f>
        <v>482</v>
      </c>
      <c r="D54" s="241">
        <f>Ecrêtage!E54</f>
        <v>24.984688520055325</v>
      </c>
      <c r="E54" s="241">
        <f t="shared" si="1"/>
        <v>23.45704512271158</v>
      </c>
      <c r="F54" s="241">
        <f>+Données!X54</f>
        <v>75</v>
      </c>
      <c r="G54" s="382">
        <f t="shared" si="2"/>
        <v>-228952.4889202264</v>
      </c>
      <c r="H54" s="161">
        <f t="shared" si="3"/>
        <v>1.1102089426526436</v>
      </c>
      <c r="I54" s="42">
        <f t="shared" si="4"/>
        <v>-254185.10064181566</v>
      </c>
    </row>
    <row r="55" spans="1:9" x14ac:dyDescent="0.25">
      <c r="A55" s="38">
        <f>Données!A55</f>
        <v>5488</v>
      </c>
      <c r="B55" s="27" t="str">
        <f>Données!B55</f>
        <v>Mauraz</v>
      </c>
      <c r="C55" s="31">
        <f>Données!Z55</f>
        <v>65</v>
      </c>
      <c r="D55" s="241">
        <f>Ecrêtage!E55</f>
        <v>32.793942057942068</v>
      </c>
      <c r="E55" s="241">
        <f t="shared" si="1"/>
        <v>15.647791584824837</v>
      </c>
      <c r="F55" s="241">
        <f>+Données!X55</f>
        <v>77</v>
      </c>
      <c r="G55" s="382">
        <f t="shared" si="2"/>
        <v>-21145.643158153045</v>
      </c>
      <c r="H55" s="161">
        <f t="shared" si="3"/>
        <v>1.139814514456714</v>
      </c>
      <c r="I55" s="42">
        <f t="shared" si="4"/>
        <v>-24102.110989185148</v>
      </c>
    </row>
    <row r="56" spans="1:9" x14ac:dyDescent="0.25">
      <c r="A56" s="38">
        <f>Données!A56</f>
        <v>5489</v>
      </c>
      <c r="B56" s="27" t="str">
        <f>Données!B56</f>
        <v>Mex</v>
      </c>
      <c r="C56" s="31">
        <f>Données!Z56</f>
        <v>817</v>
      </c>
      <c r="D56" s="241">
        <f>Ecrêtage!E56</f>
        <v>74.345615749359723</v>
      </c>
      <c r="E56" s="241">
        <f t="shared" si="1"/>
        <v>0</v>
      </c>
      <c r="F56" s="241">
        <f>+Données!X56</f>
        <v>59.5</v>
      </c>
      <c r="G56" s="382">
        <f t="shared" si="2"/>
        <v>0</v>
      </c>
      <c r="H56" s="161">
        <f t="shared" si="3"/>
        <v>0.88076576117109728</v>
      </c>
      <c r="I56" s="42">
        <f t="shared" si="4"/>
        <v>0</v>
      </c>
    </row>
    <row r="57" spans="1:9" x14ac:dyDescent="0.25">
      <c r="A57" s="38">
        <f>Données!A57</f>
        <v>5490</v>
      </c>
      <c r="B57" s="27" t="str">
        <f>Données!B57</f>
        <v>Moiry</v>
      </c>
      <c r="C57" s="31">
        <f>Données!Z57</f>
        <v>296</v>
      </c>
      <c r="D57" s="241">
        <f>Ecrêtage!E57</f>
        <v>28.584298438048439</v>
      </c>
      <c r="E57" s="241">
        <f t="shared" si="1"/>
        <v>19.857435204718467</v>
      </c>
      <c r="F57" s="241">
        <f>+Données!X57</f>
        <v>77</v>
      </c>
      <c r="G57" s="382">
        <f t="shared" si="2"/>
        <v>-122199.4790602047</v>
      </c>
      <c r="H57" s="161">
        <f t="shared" si="3"/>
        <v>1.139814514456714</v>
      </c>
      <c r="I57" s="42">
        <f t="shared" si="4"/>
        <v>-139284.73989187062</v>
      </c>
    </row>
    <row r="58" spans="1:9" x14ac:dyDescent="0.25">
      <c r="A58" s="38">
        <f>Données!A58</f>
        <v>5491</v>
      </c>
      <c r="B58" s="27" t="str">
        <f>Données!B58</f>
        <v>Mont-la-Ville</v>
      </c>
      <c r="C58" s="31">
        <f>Données!Z58</f>
        <v>502</v>
      </c>
      <c r="D58" s="241">
        <f>Ecrêtage!E58</f>
        <v>27.574137921996225</v>
      </c>
      <c r="E58" s="241">
        <f t="shared" si="1"/>
        <v>20.86759572077068</v>
      </c>
      <c r="F58" s="241">
        <f>+Données!X58</f>
        <v>76</v>
      </c>
      <c r="G58" s="382">
        <f t="shared" si="2"/>
        <v>-214957.93822348764</v>
      </c>
      <c r="H58" s="161">
        <f t="shared" si="3"/>
        <v>1.1250117285546788</v>
      </c>
      <c r="I58" s="42">
        <f t="shared" si="4"/>
        <v>-241830.20164735569</v>
      </c>
    </row>
    <row r="59" spans="1:9" x14ac:dyDescent="0.25">
      <c r="A59" s="38">
        <f>Données!A59</f>
        <v>5492</v>
      </c>
      <c r="B59" s="27" t="str">
        <f>Données!B59</f>
        <v>Montricher</v>
      </c>
      <c r="C59" s="31">
        <f>Données!Z59</f>
        <v>979</v>
      </c>
      <c r="D59" s="241">
        <f>Ecrêtage!E59</f>
        <v>153.12316713483139</v>
      </c>
      <c r="E59" s="241">
        <f t="shared" si="1"/>
        <v>0</v>
      </c>
      <c r="F59" s="241">
        <f>+Données!X59</f>
        <v>64</v>
      </c>
      <c r="G59" s="382">
        <f t="shared" si="2"/>
        <v>0</v>
      </c>
      <c r="H59" s="161">
        <f t="shared" si="3"/>
        <v>0.94737829773025584</v>
      </c>
      <c r="I59" s="42">
        <f t="shared" si="4"/>
        <v>0</v>
      </c>
    </row>
    <row r="60" spans="1:9" x14ac:dyDescent="0.25">
      <c r="A60" s="38">
        <f>Données!A60</f>
        <v>5493</v>
      </c>
      <c r="B60" s="27" t="str">
        <f>Données!B60</f>
        <v>Orny</v>
      </c>
      <c r="C60" s="31">
        <f>Données!Z60</f>
        <v>484</v>
      </c>
      <c r="D60" s="241">
        <f>Ecrêtage!E60</f>
        <v>30.23931937925089</v>
      </c>
      <c r="E60" s="241">
        <f t="shared" si="1"/>
        <v>18.202414263516015</v>
      </c>
      <c r="F60" s="241">
        <f>+Données!X60</f>
        <v>73</v>
      </c>
      <c r="G60" s="382">
        <f t="shared" si="2"/>
        <v>-173644.47920480793</v>
      </c>
      <c r="H60" s="161">
        <f t="shared" si="3"/>
        <v>1.0806033708485732</v>
      </c>
      <c r="I60" s="42">
        <f t="shared" si="4"/>
        <v>-187640.8095579604</v>
      </c>
    </row>
    <row r="61" spans="1:9" x14ac:dyDescent="0.25">
      <c r="A61" s="38">
        <f>Données!A61</f>
        <v>5495</v>
      </c>
      <c r="B61" s="27" t="str">
        <f>Données!B61</f>
        <v>Penthalaz</v>
      </c>
      <c r="C61" s="31">
        <f>Données!Z61</f>
        <v>3216</v>
      </c>
      <c r="D61" s="241">
        <f>Ecrêtage!E61</f>
        <v>32.04495398850343</v>
      </c>
      <c r="E61" s="241">
        <f t="shared" si="1"/>
        <v>16.396779654263476</v>
      </c>
      <c r="F61" s="241">
        <f>+Données!X61</f>
        <v>74</v>
      </c>
      <c r="G61" s="382">
        <f t="shared" si="2"/>
        <v>-1053586.2264948646</v>
      </c>
      <c r="H61" s="161">
        <f t="shared" si="3"/>
        <v>1.0954061567506084</v>
      </c>
      <c r="I61" s="42">
        <f t="shared" si="4"/>
        <v>-1154104.8391701155</v>
      </c>
    </row>
    <row r="62" spans="1:9" x14ac:dyDescent="0.25">
      <c r="A62" s="38">
        <f>Données!A62</f>
        <v>5496</v>
      </c>
      <c r="B62" s="27" t="str">
        <f>Données!B62</f>
        <v>Penthaz</v>
      </c>
      <c r="C62" s="31">
        <f>Données!Z62</f>
        <v>1923</v>
      </c>
      <c r="D62" s="241">
        <f>Ecrêtage!E62</f>
        <v>32.060072129503887</v>
      </c>
      <c r="E62" s="241">
        <f t="shared" si="1"/>
        <v>16.381661513263019</v>
      </c>
      <c r="F62" s="241">
        <f>+Données!X62</f>
        <v>69.5</v>
      </c>
      <c r="G62" s="382">
        <f t="shared" si="2"/>
        <v>-591133.81196393992</v>
      </c>
      <c r="H62" s="161">
        <f t="shared" si="3"/>
        <v>1.0287936201914498</v>
      </c>
      <c r="I62" s="42">
        <f t="shared" si="4"/>
        <v>-608154.69442795357</v>
      </c>
    </row>
    <row r="63" spans="1:9" x14ac:dyDescent="0.25">
      <c r="A63" s="38">
        <f>Données!A63</f>
        <v>5497</v>
      </c>
      <c r="B63" s="27" t="str">
        <f>Données!B63</f>
        <v>Pompaples</v>
      </c>
      <c r="C63" s="31">
        <f>Données!Z63</f>
        <v>860</v>
      </c>
      <c r="D63" s="241">
        <f>Ecrêtage!E63</f>
        <v>26.685849541930938</v>
      </c>
      <c r="E63" s="241">
        <f t="shared" si="1"/>
        <v>21.755884100835967</v>
      </c>
      <c r="F63" s="241">
        <f>+Données!X63</f>
        <v>66</v>
      </c>
      <c r="G63" s="382">
        <f t="shared" si="2"/>
        <v>-333413.27502213139</v>
      </c>
      <c r="H63" s="161">
        <f t="shared" si="3"/>
        <v>0.97698386953432637</v>
      </c>
      <c r="I63" s="42">
        <f t="shared" si="4"/>
        <v>-325739.39158523449</v>
      </c>
    </row>
    <row r="64" spans="1:9" x14ac:dyDescent="0.25">
      <c r="A64" s="38">
        <f>Données!A64</f>
        <v>5498</v>
      </c>
      <c r="B64" s="27" t="str">
        <f>Données!B64</f>
        <v>La Sarraz</v>
      </c>
      <c r="C64" s="31">
        <f>Données!Z64</f>
        <v>2609</v>
      </c>
      <c r="D64" s="241">
        <f>Ecrêtage!E64</f>
        <v>28.265103720222541</v>
      </c>
      <c r="E64" s="241">
        <f t="shared" si="1"/>
        <v>20.176629922544365</v>
      </c>
      <c r="F64" s="241">
        <f>+Données!X64</f>
        <v>66</v>
      </c>
      <c r="G64" s="382">
        <f t="shared" si="2"/>
        <v>-938059.54547830322</v>
      </c>
      <c r="H64" s="161">
        <f t="shared" si="3"/>
        <v>0.97698386953432637</v>
      </c>
      <c r="I64" s="42">
        <f t="shared" si="4"/>
        <v>-916469.04459500406</v>
      </c>
    </row>
    <row r="65" spans="1:9" x14ac:dyDescent="0.25">
      <c r="A65" s="38">
        <f>Données!A65</f>
        <v>5499</v>
      </c>
      <c r="B65" s="27" t="str">
        <f>Données!B65</f>
        <v>Senarclens</v>
      </c>
      <c r="C65" s="31">
        <f>Données!Z65</f>
        <v>496</v>
      </c>
      <c r="D65" s="241">
        <f>Ecrêtage!E65</f>
        <v>41.312707793736749</v>
      </c>
      <c r="E65" s="241">
        <f t="shared" si="1"/>
        <v>7.1290258490301568</v>
      </c>
      <c r="F65" s="241">
        <f>+Données!X65</f>
        <v>68.5</v>
      </c>
      <c r="G65" s="382">
        <f t="shared" si="2"/>
        <v>-65398.261206595133</v>
      </c>
      <c r="H65" s="161">
        <f t="shared" si="3"/>
        <v>1.0139908342894144</v>
      </c>
      <c r="I65" s="42">
        <f t="shared" si="4"/>
        <v>-66313.237441952442</v>
      </c>
    </row>
    <row r="66" spans="1:9" x14ac:dyDescent="0.25">
      <c r="A66" s="38">
        <f>Données!A66</f>
        <v>5501</v>
      </c>
      <c r="B66" s="27" t="str">
        <f>Données!B66</f>
        <v>Sullens</v>
      </c>
      <c r="C66" s="31">
        <f>Données!Z66</f>
        <v>1170</v>
      </c>
      <c r="D66" s="241">
        <f>Ecrêtage!E66</f>
        <v>46.017669337606833</v>
      </c>
      <c r="E66" s="241">
        <f t="shared" si="1"/>
        <v>2.4240643051600728</v>
      </c>
      <c r="F66" s="241">
        <f>+Données!X66</f>
        <v>64</v>
      </c>
      <c r="G66" s="382">
        <f t="shared" si="2"/>
        <v>-49008.762496004289</v>
      </c>
      <c r="H66" s="161">
        <f t="shared" si="3"/>
        <v>0.94737829773025584</v>
      </c>
      <c r="I66" s="42">
        <f t="shared" si="4"/>
        <v>-46429.837987330946</v>
      </c>
    </row>
    <row r="67" spans="1:9" x14ac:dyDescent="0.25">
      <c r="A67" s="38">
        <f>Données!A67</f>
        <v>5503</v>
      </c>
      <c r="B67" s="27" t="str">
        <f>Données!B67</f>
        <v>Vufflens-la-Ville</v>
      </c>
      <c r="C67" s="31">
        <f>Données!Z67</f>
        <v>1334</v>
      </c>
      <c r="D67" s="241">
        <f>Ecrêtage!E67</f>
        <v>56.388803583283</v>
      </c>
      <c r="E67" s="241">
        <f t="shared" si="1"/>
        <v>0</v>
      </c>
      <c r="F67" s="241">
        <f>+Données!X67</f>
        <v>67</v>
      </c>
      <c r="G67" s="382">
        <f t="shared" si="2"/>
        <v>0</v>
      </c>
      <c r="H67" s="161">
        <f t="shared" si="3"/>
        <v>0.99178665543636157</v>
      </c>
      <c r="I67" s="42">
        <f t="shared" si="4"/>
        <v>0</v>
      </c>
    </row>
    <row r="68" spans="1:9" x14ac:dyDescent="0.25">
      <c r="A68" s="38">
        <f>Données!A68</f>
        <v>5511</v>
      </c>
      <c r="B68" s="27" t="str">
        <f>Données!B68</f>
        <v>Assens</v>
      </c>
      <c r="C68" s="31">
        <f>Données!Z68</f>
        <v>1669</v>
      </c>
      <c r="D68" s="241">
        <f>Ecrêtage!E68</f>
        <v>43.64037079517248</v>
      </c>
      <c r="E68" s="241">
        <f t="shared" si="1"/>
        <v>4.8013628475944259</v>
      </c>
      <c r="F68" s="241">
        <f>+Données!X68</f>
        <v>70</v>
      </c>
      <c r="G68" s="382">
        <f t="shared" si="2"/>
        <v>-151454.66980080336</v>
      </c>
      <c r="H68" s="161">
        <f t="shared" si="3"/>
        <v>1.0361950131424673</v>
      </c>
      <c r="I68" s="42">
        <f t="shared" si="4"/>
        <v>-156936.57356473149</v>
      </c>
    </row>
    <row r="69" spans="1:9" x14ac:dyDescent="0.25">
      <c r="A69" s="38">
        <f>Données!A69</f>
        <v>5512</v>
      </c>
      <c r="B69" s="27" t="str">
        <f>Données!B69</f>
        <v>Bercher</v>
      </c>
      <c r="C69" s="31">
        <f>Données!Z69</f>
        <v>1359</v>
      </c>
      <c r="D69" s="241">
        <f>Ecrêtage!E69</f>
        <v>30.315473309674836</v>
      </c>
      <c r="E69" s="241">
        <f t="shared" si="1"/>
        <v>18.12626033309207</v>
      </c>
      <c r="F69" s="241">
        <f>+Données!X69</f>
        <v>79</v>
      </c>
      <c r="G69" s="382">
        <f t="shared" si="2"/>
        <v>-525434.42761769646</v>
      </c>
      <c r="H69" s="161">
        <f t="shared" si="3"/>
        <v>1.1694200862607846</v>
      </c>
      <c r="I69" s="42">
        <f t="shared" si="4"/>
        <v>-614453.57366907259</v>
      </c>
    </row>
    <row r="70" spans="1:9" x14ac:dyDescent="0.25">
      <c r="A70" s="38">
        <f>Données!A70</f>
        <v>5514</v>
      </c>
      <c r="B70" s="27" t="str">
        <f>Données!B70</f>
        <v>Bottens</v>
      </c>
      <c r="C70" s="31">
        <f>Données!Z70</f>
        <v>1356</v>
      </c>
      <c r="D70" s="241">
        <f>Ecrêtage!E70</f>
        <v>33.71108819041806</v>
      </c>
      <c r="E70" s="241">
        <f t="shared" si="1"/>
        <v>14.730645452348845</v>
      </c>
      <c r="F70" s="241">
        <f>+Données!X70</f>
        <v>72.5</v>
      </c>
      <c r="G70" s="382">
        <f t="shared" si="2"/>
        <v>-391005.83369351208</v>
      </c>
      <c r="H70" s="161">
        <f t="shared" si="3"/>
        <v>1.0732019778975554</v>
      </c>
      <c r="I70" s="42">
        <f t="shared" si="4"/>
        <v>-419628.23408935982</v>
      </c>
    </row>
    <row r="71" spans="1:9" x14ac:dyDescent="0.25">
      <c r="A71" s="38">
        <f>Données!A71</f>
        <v>5515</v>
      </c>
      <c r="B71" s="27" t="str">
        <f>Données!B71</f>
        <v>Bretigny-sur-Morrens</v>
      </c>
      <c r="C71" s="31">
        <f>Données!Z71</f>
        <v>878</v>
      </c>
      <c r="D71" s="241">
        <f>Ecrêtage!E71</f>
        <v>33.354551136031773</v>
      </c>
      <c r="E71" s="241">
        <f t="shared" ref="E71:E134" si="5">IF($D$306-D71&lt;0,0,$D$306-D71)</f>
        <v>15.087182506735132</v>
      </c>
      <c r="F71" s="241">
        <f>+Données!X71</f>
        <v>78</v>
      </c>
      <c r="G71" s="382">
        <f t="shared" ref="G71:G134" si="6">-((C71*E71*F71)*$E$5)</f>
        <v>-278972.26383363723</v>
      </c>
      <c r="H71" s="161">
        <f t="shared" ref="H71:H134" si="7">F71/$F$306</f>
        <v>1.1546173003587494</v>
      </c>
      <c r="I71" s="42">
        <f t="shared" ref="I71:I134" si="8">G71*H71</f>
        <v>-322106.20214256301</v>
      </c>
    </row>
    <row r="72" spans="1:9" x14ac:dyDescent="0.25">
      <c r="A72" s="38">
        <f>Données!A72</f>
        <v>5516</v>
      </c>
      <c r="B72" s="27" t="str">
        <f>Données!B72</f>
        <v>Cugy</v>
      </c>
      <c r="C72" s="31">
        <f>Données!Z72</f>
        <v>2699</v>
      </c>
      <c r="D72" s="241">
        <f>Ecrêtage!E72</f>
        <v>40.863374430425814</v>
      </c>
      <c r="E72" s="241">
        <f t="shared" si="5"/>
        <v>7.5783592123410912</v>
      </c>
      <c r="F72" s="241">
        <f>+Données!X72</f>
        <v>76</v>
      </c>
      <c r="G72" s="382">
        <f t="shared" si="6"/>
        <v>-419715.90586950863</v>
      </c>
      <c r="H72" s="161">
        <f t="shared" si="7"/>
        <v>1.1250117285546788</v>
      </c>
      <c r="I72" s="42">
        <f t="shared" si="8"/>
        <v>-472185.31676414877</v>
      </c>
    </row>
    <row r="73" spans="1:9" x14ac:dyDescent="0.25">
      <c r="A73" s="38">
        <f>Données!A73</f>
        <v>5518</v>
      </c>
      <c r="B73" s="27" t="str">
        <f>Données!B73</f>
        <v>Echallens</v>
      </c>
      <c r="C73" s="31">
        <f>Données!Z73</f>
        <v>5817</v>
      </c>
      <c r="D73" s="241">
        <f>Ecrêtage!E73</f>
        <v>33.227142276205889</v>
      </c>
      <c r="E73" s="241">
        <f t="shared" si="5"/>
        <v>15.214591366561017</v>
      </c>
      <c r="F73" s="241">
        <f>+Données!X73</f>
        <v>72.5</v>
      </c>
      <c r="G73" s="382">
        <f t="shared" si="6"/>
        <v>-1732451.6664445123</v>
      </c>
      <c r="H73" s="161">
        <f t="shared" si="7"/>
        <v>1.0732019778975554</v>
      </c>
      <c r="I73" s="42">
        <f t="shared" si="8"/>
        <v>-1859270.5550401667</v>
      </c>
    </row>
    <row r="74" spans="1:9" x14ac:dyDescent="0.25">
      <c r="A74" s="38">
        <f>Données!A74</f>
        <v>5520</v>
      </c>
      <c r="B74" s="27" t="str">
        <f>Données!B74</f>
        <v>Essertines-sur-Yverdon</v>
      </c>
      <c r="C74" s="31">
        <f>Données!Z74</f>
        <v>1081</v>
      </c>
      <c r="D74" s="241">
        <f>Ecrêtage!E74</f>
        <v>29.067563317248791</v>
      </c>
      <c r="E74" s="241">
        <f t="shared" si="5"/>
        <v>19.374170325518115</v>
      </c>
      <c r="F74" s="241">
        <f>+Données!X74</f>
        <v>74</v>
      </c>
      <c r="G74" s="382">
        <f t="shared" si="6"/>
        <v>-418450.69287526398</v>
      </c>
      <c r="H74" s="161">
        <f t="shared" si="7"/>
        <v>1.0954061567506084</v>
      </c>
      <c r="I74" s="42">
        <f t="shared" si="8"/>
        <v>-458373.46527212212</v>
      </c>
    </row>
    <row r="75" spans="1:9" x14ac:dyDescent="0.25">
      <c r="A75" s="38">
        <f>Données!A75</f>
        <v>5521</v>
      </c>
      <c r="B75" s="27" t="str">
        <f>Données!B75</f>
        <v>Etagnières</v>
      </c>
      <c r="C75" s="31">
        <f>Données!Z75</f>
        <v>1151</v>
      </c>
      <c r="D75" s="241">
        <f>Ecrêtage!E75</f>
        <v>40.998840912607271</v>
      </c>
      <c r="E75" s="241">
        <f t="shared" si="5"/>
        <v>7.4428927301596346</v>
      </c>
      <c r="F75" s="241">
        <f>+Données!X75</f>
        <v>73</v>
      </c>
      <c r="G75" s="382">
        <f t="shared" si="6"/>
        <v>-168851.02748387484</v>
      </c>
      <c r="H75" s="161">
        <f t="shared" si="7"/>
        <v>1.0806033708485732</v>
      </c>
      <c r="I75" s="42">
        <f t="shared" si="8"/>
        <v>-182460.98947032023</v>
      </c>
    </row>
    <row r="76" spans="1:9" x14ac:dyDescent="0.25">
      <c r="A76" s="38">
        <f>Données!A76</f>
        <v>5522</v>
      </c>
      <c r="B76" s="27" t="str">
        <f>Données!B76</f>
        <v>Fey</v>
      </c>
      <c r="C76" s="31">
        <f>Données!Z76</f>
        <v>736</v>
      </c>
      <c r="D76" s="241">
        <f>Ecrêtage!E76</f>
        <v>32.843021376811592</v>
      </c>
      <c r="E76" s="241">
        <f t="shared" si="5"/>
        <v>15.598712265955314</v>
      </c>
      <c r="F76" s="241">
        <f>+Données!X76</f>
        <v>75</v>
      </c>
      <c r="G76" s="382">
        <f t="shared" si="6"/>
        <v>-232483.20761179799</v>
      </c>
      <c r="H76" s="161">
        <f t="shared" si="7"/>
        <v>1.1102089426526436</v>
      </c>
      <c r="I76" s="42">
        <f t="shared" si="8"/>
        <v>-258104.93610718928</v>
      </c>
    </row>
    <row r="77" spans="1:9" x14ac:dyDescent="0.25">
      <c r="A77" s="38">
        <f>Données!A77</f>
        <v>5523</v>
      </c>
      <c r="B77" s="27" t="str">
        <f>Données!B77</f>
        <v>Froideville</v>
      </c>
      <c r="C77" s="31">
        <f>Données!Z77</f>
        <v>2720</v>
      </c>
      <c r="D77" s="241">
        <f>Ecrêtage!E77</f>
        <v>33.908568831699341</v>
      </c>
      <c r="E77" s="241">
        <f t="shared" si="5"/>
        <v>14.533164811067564</v>
      </c>
      <c r="F77" s="241">
        <f>+Données!X77</f>
        <v>72</v>
      </c>
      <c r="G77" s="382">
        <f t="shared" si="6"/>
        <v>-768467.2490818575</v>
      </c>
      <c r="H77" s="161">
        <f t="shared" si="7"/>
        <v>1.065800584946538</v>
      </c>
      <c r="I77" s="42">
        <f t="shared" si="8"/>
        <v>-819032.8435837006</v>
      </c>
    </row>
    <row r="78" spans="1:9" x14ac:dyDescent="0.25">
      <c r="A78" s="38">
        <f>Données!A78</f>
        <v>5527</v>
      </c>
      <c r="B78" s="27" t="str">
        <f>Données!B78</f>
        <v>Morrens</v>
      </c>
      <c r="C78" s="31">
        <f>Données!Z78</f>
        <v>1172</v>
      </c>
      <c r="D78" s="241">
        <f>Ecrêtage!E78</f>
        <v>34.746165252283006</v>
      </c>
      <c r="E78" s="241">
        <f t="shared" si="5"/>
        <v>13.695568390483899</v>
      </c>
      <c r="F78" s="241">
        <f>+Données!X78</f>
        <v>74</v>
      </c>
      <c r="G78" s="382">
        <f t="shared" si="6"/>
        <v>-320703.09894986969</v>
      </c>
      <c r="H78" s="161">
        <f t="shared" si="7"/>
        <v>1.0954061567506084</v>
      </c>
      <c r="I78" s="42">
        <f t="shared" si="8"/>
        <v>-351300.14907868684</v>
      </c>
    </row>
    <row r="79" spans="1:9" x14ac:dyDescent="0.25">
      <c r="A79" s="38">
        <f>Données!A79</f>
        <v>5529</v>
      </c>
      <c r="B79" s="27" t="str">
        <f>Données!B79</f>
        <v>Oulens-sous-Echallens</v>
      </c>
      <c r="C79" s="31">
        <f>Données!Z79</f>
        <v>606</v>
      </c>
      <c r="D79" s="241">
        <f>Ecrêtage!E79</f>
        <v>37.420814158880681</v>
      </c>
      <c r="E79" s="241">
        <f t="shared" si="5"/>
        <v>11.020919483886225</v>
      </c>
      <c r="F79" s="241">
        <f>+Données!X79</f>
        <v>71</v>
      </c>
      <c r="G79" s="382">
        <f t="shared" si="6"/>
        <v>-128030.24206269596</v>
      </c>
      <c r="H79" s="161">
        <f t="shared" si="7"/>
        <v>1.0509977990445025</v>
      </c>
      <c r="I79" s="42">
        <f t="shared" si="8"/>
        <v>-134559.50261902835</v>
      </c>
    </row>
    <row r="80" spans="1:9" x14ac:dyDescent="0.25">
      <c r="A80" s="38">
        <f>Données!A80</f>
        <v>5530</v>
      </c>
      <c r="B80" s="27" t="str">
        <f>Données!B80</f>
        <v>Pailly</v>
      </c>
      <c r="C80" s="31">
        <f>Données!Z80</f>
        <v>566</v>
      </c>
      <c r="D80" s="241">
        <f>Ecrêtage!E80</f>
        <v>35.533876154609132</v>
      </c>
      <c r="E80" s="241">
        <f t="shared" si="5"/>
        <v>12.907857488157774</v>
      </c>
      <c r="F80" s="241">
        <f>+Données!X80</f>
        <v>76</v>
      </c>
      <c r="G80" s="382">
        <f t="shared" si="6"/>
        <v>-149915.98738186061</v>
      </c>
      <c r="H80" s="161">
        <f t="shared" si="7"/>
        <v>1.1250117285546788</v>
      </c>
      <c r="I80" s="42">
        <f t="shared" si="8"/>
        <v>-168657.24410244843</v>
      </c>
    </row>
    <row r="81" spans="1:9" x14ac:dyDescent="0.25">
      <c r="A81" s="38">
        <f>Données!A81</f>
        <v>5531</v>
      </c>
      <c r="B81" s="27" t="str">
        <f>Données!B81</f>
        <v>Penthéréaz</v>
      </c>
      <c r="C81" s="31">
        <f>Données!Z81</f>
        <v>433</v>
      </c>
      <c r="D81" s="241">
        <f>Ecrêtage!E81</f>
        <v>39.952208351538609</v>
      </c>
      <c r="E81" s="241">
        <f t="shared" si="5"/>
        <v>8.489525291228297</v>
      </c>
      <c r="F81" s="241">
        <f>+Données!X81</f>
        <v>74</v>
      </c>
      <c r="G81" s="382">
        <f t="shared" si="6"/>
        <v>-73445.769733015011</v>
      </c>
      <c r="H81" s="161">
        <f t="shared" si="7"/>
        <v>1.0954061567506084</v>
      </c>
      <c r="I81" s="42">
        <f t="shared" si="8"/>
        <v>-80452.948352832129</v>
      </c>
    </row>
    <row r="82" spans="1:9" x14ac:dyDescent="0.25">
      <c r="A82" s="38">
        <f>Données!A82</f>
        <v>5533</v>
      </c>
      <c r="B82" s="27" t="str">
        <f>Données!B82</f>
        <v>Poliez-Pittet</v>
      </c>
      <c r="C82" s="31">
        <f>Données!Z82</f>
        <v>847</v>
      </c>
      <c r="D82" s="241">
        <f>Ecrêtage!E82</f>
        <v>33.072468826316893</v>
      </c>
      <c r="E82" s="241">
        <f t="shared" si="5"/>
        <v>15.369264816450013</v>
      </c>
      <c r="F82" s="241">
        <f>+Données!X82</f>
        <v>73</v>
      </c>
      <c r="G82" s="382">
        <f t="shared" si="6"/>
        <v>-256580.19347379863</v>
      </c>
      <c r="H82" s="161">
        <f t="shared" si="7"/>
        <v>1.0806033708485732</v>
      </c>
      <c r="I82" s="42">
        <f t="shared" si="8"/>
        <v>-277261.42196076585</v>
      </c>
    </row>
    <row r="83" spans="1:9" x14ac:dyDescent="0.25">
      <c r="A83" s="38">
        <f>Données!A83</f>
        <v>5534</v>
      </c>
      <c r="B83" s="27" t="str">
        <f>Données!B83</f>
        <v>Rueyres</v>
      </c>
      <c r="C83" s="31">
        <f>Données!Z83</f>
        <v>303</v>
      </c>
      <c r="D83" s="241">
        <f>Ecrêtage!E83</f>
        <v>49.64374662808747</v>
      </c>
      <c r="E83" s="241">
        <f t="shared" si="5"/>
        <v>0</v>
      </c>
      <c r="F83" s="241">
        <f>+Données!X83</f>
        <v>73</v>
      </c>
      <c r="G83" s="382">
        <f t="shared" si="6"/>
        <v>0</v>
      </c>
      <c r="H83" s="161">
        <f t="shared" si="7"/>
        <v>1.0806033708485732</v>
      </c>
      <c r="I83" s="42">
        <f t="shared" si="8"/>
        <v>0</v>
      </c>
    </row>
    <row r="84" spans="1:9" x14ac:dyDescent="0.25">
      <c r="A84" s="38">
        <f>Données!A84</f>
        <v>5535</v>
      </c>
      <c r="B84" s="27" t="str">
        <f>Données!B84</f>
        <v>Saint-Barthélemy</v>
      </c>
      <c r="C84" s="31">
        <f>Données!Z84</f>
        <v>814</v>
      </c>
      <c r="D84" s="241">
        <f>Ecrêtage!E84</f>
        <v>31.313198689598686</v>
      </c>
      <c r="E84" s="241">
        <f t="shared" si="5"/>
        <v>17.12853495316822</v>
      </c>
      <c r="F84" s="241">
        <f>+Données!X84</f>
        <v>75</v>
      </c>
      <c r="G84" s="382">
        <f t="shared" si="6"/>
        <v>-282338.20590054838</v>
      </c>
      <c r="H84" s="161">
        <f t="shared" si="7"/>
        <v>1.1102089426526436</v>
      </c>
      <c r="I84" s="42">
        <f t="shared" si="8"/>
        <v>-313454.40104329219</v>
      </c>
    </row>
    <row r="85" spans="1:9" x14ac:dyDescent="0.25">
      <c r="A85" s="38">
        <f>Données!A85</f>
        <v>5537</v>
      </c>
      <c r="B85" s="27" t="str">
        <f>Données!B85</f>
        <v>Villars-le-Terroir</v>
      </c>
      <c r="C85" s="31">
        <f>Données!Z85</f>
        <v>1310</v>
      </c>
      <c r="D85" s="241">
        <f>Ecrêtage!E85</f>
        <v>29.896276918441146</v>
      </c>
      <c r="E85" s="241">
        <f t="shared" si="5"/>
        <v>18.54545672432576</v>
      </c>
      <c r="F85" s="241">
        <f>+Données!X85</f>
        <v>76</v>
      </c>
      <c r="G85" s="382">
        <f t="shared" si="6"/>
        <v>-498524.13129794563</v>
      </c>
      <c r="H85" s="161">
        <f t="shared" si="7"/>
        <v>1.1250117285546788</v>
      </c>
      <c r="I85" s="42">
        <f t="shared" si="8"/>
        <v>-560845.49467772141</v>
      </c>
    </row>
    <row r="86" spans="1:9" x14ac:dyDescent="0.25">
      <c r="A86" s="38">
        <f>Données!A86</f>
        <v>5539</v>
      </c>
      <c r="B86" s="27" t="str">
        <f>Données!B86</f>
        <v>Vuarrens</v>
      </c>
      <c r="C86" s="31">
        <f>Données!Z86</f>
        <v>1106</v>
      </c>
      <c r="D86" s="241">
        <f>Ecrêtage!E86</f>
        <v>31.141463784428783</v>
      </c>
      <c r="E86" s="241">
        <f t="shared" si="5"/>
        <v>17.300269858338122</v>
      </c>
      <c r="F86" s="241">
        <f>+Données!X86</f>
        <v>73.5</v>
      </c>
      <c r="G86" s="382">
        <f t="shared" si="6"/>
        <v>-379716.18400462437</v>
      </c>
      <c r="H86" s="161">
        <f t="shared" si="7"/>
        <v>1.0880047637995907</v>
      </c>
      <c r="I86" s="42">
        <f t="shared" si="8"/>
        <v>-413133.01708883327</v>
      </c>
    </row>
    <row r="87" spans="1:9" x14ac:dyDescent="0.25">
      <c r="A87" s="38">
        <f>Données!A87</f>
        <v>5540</v>
      </c>
      <c r="B87" s="27" t="str">
        <f>Données!B87</f>
        <v>Montilliez</v>
      </c>
      <c r="C87" s="31">
        <f>Données!Z87</f>
        <v>1895</v>
      </c>
      <c r="D87" s="241">
        <f>Ecrêtage!E87</f>
        <v>35.601302210899831</v>
      </c>
      <c r="E87" s="241">
        <f t="shared" si="5"/>
        <v>12.840431431867074</v>
      </c>
      <c r="F87" s="241">
        <f>+Données!X87</f>
        <v>72.5</v>
      </c>
      <c r="G87" s="382">
        <f t="shared" si="6"/>
        <v>-476310.98880332225</v>
      </c>
      <c r="H87" s="161">
        <f t="shared" si="7"/>
        <v>1.0732019778975554</v>
      </c>
      <c r="I87" s="42">
        <f t="shared" si="8"/>
        <v>-511177.89527806581</v>
      </c>
    </row>
    <row r="88" spans="1:9" x14ac:dyDescent="0.25">
      <c r="A88" s="38">
        <f>Données!A88</f>
        <v>5541</v>
      </c>
      <c r="B88" s="27" t="str">
        <f>Données!B88</f>
        <v>Goumoëns</v>
      </c>
      <c r="C88" s="31">
        <f>Données!Z88</f>
        <v>1175</v>
      </c>
      <c r="D88" s="241">
        <f>Ecrêtage!E88</f>
        <v>35.511669155981402</v>
      </c>
      <c r="E88" s="241">
        <f t="shared" si="5"/>
        <v>12.930064486785504</v>
      </c>
      <c r="F88" s="241">
        <f>+Données!X88</f>
        <v>75.5</v>
      </c>
      <c r="G88" s="382">
        <f t="shared" si="6"/>
        <v>-309705.75336166896</v>
      </c>
      <c r="H88" s="161">
        <f t="shared" si="7"/>
        <v>1.1176103356036613</v>
      </c>
      <c r="I88" s="42">
        <f t="shared" si="8"/>
        <v>-346130.35095291957</v>
      </c>
    </row>
    <row r="89" spans="1:9" x14ac:dyDescent="0.25">
      <c r="A89" s="38">
        <f>Données!A89</f>
        <v>5551</v>
      </c>
      <c r="B89" s="27" t="str">
        <f>Données!B89</f>
        <v>Bonvillars</v>
      </c>
      <c r="C89" s="31">
        <f>Données!Z89</f>
        <v>501</v>
      </c>
      <c r="D89" s="241">
        <f>Ecrêtage!E89</f>
        <v>37.075894282862841</v>
      </c>
      <c r="E89" s="241">
        <f t="shared" si="5"/>
        <v>11.365839359904065</v>
      </c>
      <c r="F89" s="241">
        <f>+Données!X89</f>
        <v>56</v>
      </c>
      <c r="G89" s="382">
        <f t="shared" si="6"/>
        <v>-86097.597051996476</v>
      </c>
      <c r="H89" s="161">
        <f t="shared" si="7"/>
        <v>0.82895601051397383</v>
      </c>
      <c r="I89" s="42">
        <f t="shared" si="8"/>
        <v>-71371.120567062666</v>
      </c>
    </row>
    <row r="90" spans="1:9" x14ac:dyDescent="0.25">
      <c r="A90" s="38">
        <f>Données!A90</f>
        <v>5552</v>
      </c>
      <c r="B90" s="27" t="str">
        <f>Données!B90</f>
        <v>Bullet</v>
      </c>
      <c r="C90" s="31">
        <f>Données!Z90</f>
        <v>651</v>
      </c>
      <c r="D90" s="241">
        <f>Ecrêtage!E90</f>
        <v>29.24570225473451</v>
      </c>
      <c r="E90" s="241">
        <f t="shared" si="5"/>
        <v>19.196031388032395</v>
      </c>
      <c r="F90" s="241">
        <f>+Données!X90</f>
        <v>71.5</v>
      </c>
      <c r="G90" s="382">
        <f t="shared" si="6"/>
        <v>-241247.1802508235</v>
      </c>
      <c r="H90" s="161">
        <f t="shared" si="7"/>
        <v>1.0583991919955202</v>
      </c>
      <c r="I90" s="42">
        <f t="shared" si="8"/>
        <v>-255335.82064866921</v>
      </c>
    </row>
    <row r="91" spans="1:9" x14ac:dyDescent="0.25">
      <c r="A91" s="38">
        <f>Données!A91</f>
        <v>5553</v>
      </c>
      <c r="B91" s="27" t="str">
        <f>Données!B91</f>
        <v>Champagne</v>
      </c>
      <c r="C91" s="31">
        <f>Données!Z91</f>
        <v>1077</v>
      </c>
      <c r="D91" s="241">
        <f>Ecrêtage!E91</f>
        <v>35.528130847796589</v>
      </c>
      <c r="E91" s="241">
        <f t="shared" si="5"/>
        <v>12.913602794970316</v>
      </c>
      <c r="F91" s="241">
        <f>+Données!X91</f>
        <v>65</v>
      </c>
      <c r="G91" s="382">
        <f t="shared" si="6"/>
        <v>-244084.52618871222</v>
      </c>
      <c r="H91" s="161">
        <f t="shared" si="7"/>
        <v>0.96218108363229116</v>
      </c>
      <c r="I91" s="42">
        <f t="shared" si="8"/>
        <v>-234853.51390612946</v>
      </c>
    </row>
    <row r="92" spans="1:9" x14ac:dyDescent="0.25">
      <c r="A92" s="38">
        <f>Données!A92</f>
        <v>5554</v>
      </c>
      <c r="B92" s="27" t="str">
        <f>Données!B92</f>
        <v>Concise</v>
      </c>
      <c r="C92" s="31">
        <f>Données!Z92</f>
        <v>1002</v>
      </c>
      <c r="D92" s="241">
        <f>Ecrêtage!E92</f>
        <v>33.83948702594811</v>
      </c>
      <c r="E92" s="241">
        <f t="shared" si="5"/>
        <v>14.602246616818796</v>
      </c>
      <c r="F92" s="241">
        <f>+Données!X92</f>
        <v>75</v>
      </c>
      <c r="G92" s="382">
        <f t="shared" si="6"/>
        <v>-296286.88497856184</v>
      </c>
      <c r="H92" s="161">
        <f t="shared" si="7"/>
        <v>1.1102089426526436</v>
      </c>
      <c r="I92" s="42">
        <f t="shared" si="8"/>
        <v>-328940.34929389454</v>
      </c>
    </row>
    <row r="93" spans="1:9" x14ac:dyDescent="0.25">
      <c r="A93" s="38">
        <f>Données!A93</f>
        <v>5555</v>
      </c>
      <c r="B93" s="27" t="str">
        <f>Données!B93</f>
        <v>Corcelles-près-Concise</v>
      </c>
      <c r="C93" s="31">
        <f>Données!Z93</f>
        <v>412</v>
      </c>
      <c r="D93" s="241">
        <f>Ecrêtage!E93</f>
        <v>32.585440762628394</v>
      </c>
      <c r="E93" s="241">
        <f t="shared" si="5"/>
        <v>15.856292880138511</v>
      </c>
      <c r="F93" s="241">
        <f>+Données!X93</f>
        <v>69</v>
      </c>
      <c r="G93" s="382">
        <f t="shared" si="6"/>
        <v>-121705.92737907598</v>
      </c>
      <c r="H93" s="161">
        <f t="shared" si="7"/>
        <v>1.0213922272404321</v>
      </c>
      <c r="I93" s="42">
        <f t="shared" si="8"/>
        <v>-124309.48823407669</v>
      </c>
    </row>
    <row r="94" spans="1:9" x14ac:dyDescent="0.25">
      <c r="A94" s="38">
        <f>Données!A94</f>
        <v>5556</v>
      </c>
      <c r="B94" s="27" t="str">
        <f>Données!B94</f>
        <v>Fiez</v>
      </c>
      <c r="C94" s="31">
        <f>Données!Z94</f>
        <v>436</v>
      </c>
      <c r="D94" s="241">
        <f>Ecrêtage!E94</f>
        <v>30.514316026237644</v>
      </c>
      <c r="E94" s="241">
        <f t="shared" si="5"/>
        <v>17.927417616529262</v>
      </c>
      <c r="F94" s="241">
        <f>+Données!X94</f>
        <v>69</v>
      </c>
      <c r="G94" s="382">
        <f t="shared" si="6"/>
        <v>-145618.67652542991</v>
      </c>
      <c r="H94" s="161">
        <f t="shared" si="7"/>
        <v>1.0213922272404321</v>
      </c>
      <c r="I94" s="42">
        <f t="shared" si="8"/>
        <v>-148733.78434411288</v>
      </c>
    </row>
    <row r="95" spans="1:9" x14ac:dyDescent="0.25">
      <c r="A95" s="38">
        <f>Données!A95</f>
        <v>5557</v>
      </c>
      <c r="B95" s="27" t="str">
        <f>Données!B95</f>
        <v>Fontaines-sur-Grandson</v>
      </c>
      <c r="C95" s="31">
        <f>Données!Z95</f>
        <v>214</v>
      </c>
      <c r="D95" s="241">
        <f>Ecrêtage!E95</f>
        <v>23.825950832994714</v>
      </c>
      <c r="E95" s="241">
        <f t="shared" si="5"/>
        <v>24.615782809772192</v>
      </c>
      <c r="F95" s="241">
        <f>+Données!X95</f>
        <v>69</v>
      </c>
      <c r="G95" s="382">
        <f t="shared" si="6"/>
        <v>-98138.695221655973</v>
      </c>
      <c r="H95" s="161">
        <f t="shared" si="7"/>
        <v>1.0213922272404321</v>
      </c>
      <c r="I95" s="42">
        <f t="shared" si="8"/>
        <v>-100238.10049091715</v>
      </c>
    </row>
    <row r="96" spans="1:9" x14ac:dyDescent="0.25">
      <c r="A96" s="38">
        <f>Données!A96</f>
        <v>5559</v>
      </c>
      <c r="B96" s="27" t="str">
        <f>Données!B96</f>
        <v>Giez</v>
      </c>
      <c r="C96" s="31">
        <f>Données!Z96</f>
        <v>450</v>
      </c>
      <c r="D96" s="241">
        <f>Ecrêtage!E96</f>
        <v>46.691179124579122</v>
      </c>
      <c r="E96" s="241">
        <f t="shared" si="5"/>
        <v>1.7505545181877835</v>
      </c>
      <c r="F96" s="241">
        <f>+Données!X96</f>
        <v>66</v>
      </c>
      <c r="G96" s="382">
        <f t="shared" si="6"/>
        <v>-14037.696681347836</v>
      </c>
      <c r="H96" s="161">
        <f t="shared" si="7"/>
        <v>0.97698386953432637</v>
      </c>
      <c r="I96" s="42">
        <f t="shared" si="8"/>
        <v>-13714.603223092379</v>
      </c>
    </row>
    <row r="97" spans="1:9" x14ac:dyDescent="0.25">
      <c r="A97" s="38">
        <f>Données!A97</f>
        <v>5560</v>
      </c>
      <c r="B97" s="27" t="str">
        <f>Données!B97</f>
        <v>Grandevent</v>
      </c>
      <c r="C97" s="31">
        <f>Données!Z97</f>
        <v>237</v>
      </c>
      <c r="D97" s="241">
        <f>Ecrêtage!E97</f>
        <v>37.958417424377494</v>
      </c>
      <c r="E97" s="241">
        <f t="shared" si="5"/>
        <v>10.483316218389412</v>
      </c>
      <c r="F97" s="241">
        <f>+Données!X97</f>
        <v>71</v>
      </c>
      <c r="G97" s="382">
        <f t="shared" si="6"/>
        <v>-47628.745741846433</v>
      </c>
      <c r="H97" s="161">
        <f t="shared" si="7"/>
        <v>1.0509977990445025</v>
      </c>
      <c r="I97" s="42">
        <f t="shared" si="8"/>
        <v>-50057.706945930826</v>
      </c>
    </row>
    <row r="98" spans="1:9" x14ac:dyDescent="0.25">
      <c r="A98" s="38">
        <f>Données!A98</f>
        <v>5561</v>
      </c>
      <c r="B98" s="27" t="str">
        <f>Données!B98</f>
        <v>Grandson</v>
      </c>
      <c r="C98" s="31">
        <f>Données!Z98</f>
        <v>3359</v>
      </c>
      <c r="D98" s="241">
        <f>Ecrêtage!E98</f>
        <v>39.409373605843705</v>
      </c>
      <c r="E98" s="241">
        <f t="shared" si="5"/>
        <v>9.0323600369232011</v>
      </c>
      <c r="F98" s="241">
        <f>+Données!X98</f>
        <v>69</v>
      </c>
      <c r="G98" s="382">
        <f t="shared" si="6"/>
        <v>-565228.5618917864</v>
      </c>
      <c r="H98" s="161">
        <f t="shared" si="7"/>
        <v>1.0213922272404321</v>
      </c>
      <c r="I98" s="42">
        <f t="shared" si="8"/>
        <v>-577320.05973055819</v>
      </c>
    </row>
    <row r="99" spans="1:9" x14ac:dyDescent="0.25">
      <c r="A99" s="38">
        <f>Données!A99</f>
        <v>5562</v>
      </c>
      <c r="B99" s="27" t="str">
        <f>Données!B99</f>
        <v>Mauborget</v>
      </c>
      <c r="C99" s="31">
        <f>Données!Z99</f>
        <v>138</v>
      </c>
      <c r="D99" s="241">
        <f>Ecrêtage!E99</f>
        <v>33.042395272601787</v>
      </c>
      <c r="E99" s="241">
        <f t="shared" si="5"/>
        <v>15.399338370165118</v>
      </c>
      <c r="F99" s="241">
        <f>+Données!X99</f>
        <v>70</v>
      </c>
      <c r="G99" s="382">
        <f t="shared" si="6"/>
        <v>-40164.554337064663</v>
      </c>
      <c r="H99" s="161">
        <f t="shared" si="7"/>
        <v>1.0361950131424673</v>
      </c>
      <c r="I99" s="42">
        <f t="shared" si="8"/>
        <v>-41618.310909156062</v>
      </c>
    </row>
    <row r="100" spans="1:9" x14ac:dyDescent="0.25">
      <c r="A100" s="38">
        <f>Données!A100</f>
        <v>5563</v>
      </c>
      <c r="B100" s="27" t="str">
        <f>Données!B100</f>
        <v>Mutrux</v>
      </c>
      <c r="C100" s="31">
        <f>Données!Z100</f>
        <v>151</v>
      </c>
      <c r="D100" s="241">
        <f>Ecrêtage!E100</f>
        <v>15.114663907284768</v>
      </c>
      <c r="E100" s="241">
        <f t="shared" si="5"/>
        <v>33.327069735482141</v>
      </c>
      <c r="F100" s="241">
        <f>+Données!X100</f>
        <v>80</v>
      </c>
      <c r="G100" s="382">
        <f t="shared" si="6"/>
        <v>-108699.57064924855</v>
      </c>
      <c r="H100" s="161">
        <f t="shared" si="7"/>
        <v>1.1842228721628199</v>
      </c>
      <c r="I100" s="42">
        <f t="shared" si="8"/>
        <v>-128724.51775711846</v>
      </c>
    </row>
    <row r="101" spans="1:9" x14ac:dyDescent="0.25">
      <c r="A101" s="38">
        <f>Données!A101</f>
        <v>5564</v>
      </c>
      <c r="B101" s="27" t="str">
        <f>Données!B101</f>
        <v>Novalles</v>
      </c>
      <c r="C101" s="31">
        <f>Données!Z101</f>
        <v>99</v>
      </c>
      <c r="D101" s="241">
        <f>Ecrêtage!E101</f>
        <v>25.746187200956939</v>
      </c>
      <c r="E101" s="241">
        <f t="shared" si="5"/>
        <v>22.695546441809967</v>
      </c>
      <c r="F101" s="241">
        <f>+Données!X101</f>
        <v>76</v>
      </c>
      <c r="G101" s="382">
        <f t="shared" si="6"/>
        <v>-46105.548685608119</v>
      </c>
      <c r="H101" s="161">
        <f t="shared" si="7"/>
        <v>1.1250117285546788</v>
      </c>
      <c r="I101" s="42">
        <f t="shared" si="8"/>
        <v>-51869.283022757889</v>
      </c>
    </row>
    <row r="102" spans="1:9" x14ac:dyDescent="0.25">
      <c r="A102" s="38">
        <f>Données!A102</f>
        <v>5565</v>
      </c>
      <c r="B102" s="27" t="str">
        <f>Données!B102</f>
        <v>Onnens</v>
      </c>
      <c r="C102" s="31">
        <f>Données!Z102</f>
        <v>496</v>
      </c>
      <c r="D102" s="241">
        <f>Ecrêtage!E102</f>
        <v>23.505445453390902</v>
      </c>
      <c r="E102" s="241">
        <f t="shared" si="5"/>
        <v>24.936288189376004</v>
      </c>
      <c r="F102" s="241">
        <f>+Données!X102</f>
        <v>63.5</v>
      </c>
      <c r="G102" s="382">
        <f t="shared" si="6"/>
        <v>-212056.19985939842</v>
      </c>
      <c r="H102" s="161">
        <f t="shared" si="7"/>
        <v>0.93997690477923823</v>
      </c>
      <c r="I102" s="42">
        <f t="shared" si="8"/>
        <v>-199327.93038308487</v>
      </c>
    </row>
    <row r="103" spans="1:9" x14ac:dyDescent="0.25">
      <c r="A103" s="38">
        <f>Données!A103</f>
        <v>5566</v>
      </c>
      <c r="B103" s="27" t="str">
        <f>Données!B103</f>
        <v>Provence</v>
      </c>
      <c r="C103" s="31">
        <f>Données!Z103</f>
        <v>403</v>
      </c>
      <c r="D103" s="241">
        <f>Ecrêtage!E103</f>
        <v>21.163572690418565</v>
      </c>
      <c r="E103" s="241">
        <f t="shared" si="5"/>
        <v>27.27816095234834</v>
      </c>
      <c r="F103" s="241">
        <f>+Données!X103</f>
        <v>81</v>
      </c>
      <c r="G103" s="382">
        <f t="shared" si="6"/>
        <v>-240419.07215122686</v>
      </c>
      <c r="H103" s="161">
        <f t="shared" si="7"/>
        <v>1.1990256580648551</v>
      </c>
      <c r="I103" s="42">
        <f t="shared" si="8"/>
        <v>-288268.63619746664</v>
      </c>
    </row>
    <row r="104" spans="1:9" x14ac:dyDescent="0.25">
      <c r="A104" s="38">
        <f>Données!A104</f>
        <v>5568</v>
      </c>
      <c r="B104" s="27" t="str">
        <f>Données!B104</f>
        <v>Sainte-Croix</v>
      </c>
      <c r="C104" s="31">
        <f>Données!Z104</f>
        <v>4869</v>
      </c>
      <c r="D104" s="241">
        <f>Ecrêtage!E104</f>
        <v>21.771404688554409</v>
      </c>
      <c r="E104" s="241">
        <f t="shared" si="5"/>
        <v>26.670328954212497</v>
      </c>
      <c r="F104" s="241">
        <f>+Données!X104</f>
        <v>70</v>
      </c>
      <c r="G104" s="382">
        <f t="shared" si="6"/>
        <v>-2454313.0187153467</v>
      </c>
      <c r="H104" s="161">
        <f t="shared" si="7"/>
        <v>1.0361950131424673</v>
      </c>
      <c r="I104" s="42">
        <f t="shared" si="8"/>
        <v>-2543146.9106834773</v>
      </c>
    </row>
    <row r="105" spans="1:9" x14ac:dyDescent="0.25">
      <c r="A105" s="38">
        <f>Données!A105</f>
        <v>5571</v>
      </c>
      <c r="B105" s="27" t="str">
        <f>Données!B105</f>
        <v>Tévenon</v>
      </c>
      <c r="C105" s="31">
        <f>Données!Z105</f>
        <v>867</v>
      </c>
      <c r="D105" s="241">
        <f>Ecrêtage!E105</f>
        <v>29.881209432628118</v>
      </c>
      <c r="E105" s="241">
        <f t="shared" si="5"/>
        <v>18.560524210138787</v>
      </c>
      <c r="F105" s="241">
        <f>+Données!X105</f>
        <v>71.5</v>
      </c>
      <c r="G105" s="382">
        <f t="shared" si="6"/>
        <v>-310655.5675331243</v>
      </c>
      <c r="H105" s="161">
        <f t="shared" si="7"/>
        <v>1.0583991919955202</v>
      </c>
      <c r="I105" s="42">
        <f t="shared" si="8"/>
        <v>-328797.60166596854</v>
      </c>
    </row>
    <row r="106" spans="1:9" x14ac:dyDescent="0.25">
      <c r="A106" s="38">
        <f>Données!A106</f>
        <v>5581</v>
      </c>
      <c r="B106" s="27" t="str">
        <f>Données!B106</f>
        <v>Belmont-sur-Lausanne</v>
      </c>
      <c r="C106" s="31">
        <f>Données!Z106</f>
        <v>3838</v>
      </c>
      <c r="D106" s="241">
        <f>Ecrêtage!E106</f>
        <v>60.894180092351334</v>
      </c>
      <c r="E106" s="241">
        <f t="shared" si="5"/>
        <v>0</v>
      </c>
      <c r="F106" s="241">
        <f>+Données!X106</f>
        <v>72</v>
      </c>
      <c r="G106" s="382">
        <f t="shared" si="6"/>
        <v>0</v>
      </c>
      <c r="H106" s="161">
        <f t="shared" si="7"/>
        <v>1.065800584946538</v>
      </c>
      <c r="I106" s="42">
        <f t="shared" si="8"/>
        <v>0</v>
      </c>
    </row>
    <row r="107" spans="1:9" x14ac:dyDescent="0.25">
      <c r="A107" s="38">
        <f>Données!A107</f>
        <v>5582</v>
      </c>
      <c r="B107" s="27" t="str">
        <f>Données!B107</f>
        <v>Cheseaux-sur-Lausanne</v>
      </c>
      <c r="C107" s="31">
        <f>Données!Z107</f>
        <v>4527</v>
      </c>
      <c r="D107" s="241">
        <f>Ecrêtage!E107</f>
        <v>37.647181537865642</v>
      </c>
      <c r="E107" s="241">
        <f t="shared" si="5"/>
        <v>10.794552104901264</v>
      </c>
      <c r="F107" s="241">
        <f>+Données!X107</f>
        <v>73</v>
      </c>
      <c r="G107" s="382">
        <f t="shared" si="6"/>
        <v>-963167.335737883</v>
      </c>
      <c r="H107" s="161">
        <f t="shared" si="7"/>
        <v>1.0806033708485732</v>
      </c>
      <c r="I107" s="42">
        <f t="shared" si="8"/>
        <v>-1040801.8696895958</v>
      </c>
    </row>
    <row r="108" spans="1:9" x14ac:dyDescent="0.25">
      <c r="A108" s="38">
        <f>Données!A108</f>
        <v>5583</v>
      </c>
      <c r="B108" s="27" t="str">
        <f>Données!B108</f>
        <v>Crissier</v>
      </c>
      <c r="C108" s="31">
        <f>Données!Z108</f>
        <v>9165</v>
      </c>
      <c r="D108" s="241">
        <f>Ecrêtage!E108</f>
        <v>37.151832467750047</v>
      </c>
      <c r="E108" s="241">
        <f t="shared" si="5"/>
        <v>11.289901175016858</v>
      </c>
      <c r="F108" s="241">
        <f>+Données!X108</f>
        <v>63.5</v>
      </c>
      <c r="G108" s="382">
        <f t="shared" si="6"/>
        <v>-1774026.484492511</v>
      </c>
      <c r="H108" s="161">
        <f t="shared" si="7"/>
        <v>0.93997690477923823</v>
      </c>
      <c r="I108" s="42">
        <f t="shared" si="8"/>
        <v>-1667543.9238896638</v>
      </c>
    </row>
    <row r="109" spans="1:9" x14ac:dyDescent="0.25">
      <c r="A109" s="38">
        <f>Données!A109</f>
        <v>5584</v>
      </c>
      <c r="B109" s="27" t="str">
        <f>Données!B109</f>
        <v>Epalinges</v>
      </c>
      <c r="C109" s="31">
        <f>Données!Z109</f>
        <v>9828</v>
      </c>
      <c r="D109" s="241">
        <f>Ecrêtage!E109</f>
        <v>49.833763065817337</v>
      </c>
      <c r="E109" s="241">
        <f t="shared" si="5"/>
        <v>0</v>
      </c>
      <c r="F109" s="241">
        <f>+Données!X109</f>
        <v>64.5</v>
      </c>
      <c r="G109" s="382">
        <f t="shared" si="6"/>
        <v>0</v>
      </c>
      <c r="H109" s="161">
        <f t="shared" si="7"/>
        <v>0.95477969068127344</v>
      </c>
      <c r="I109" s="42">
        <f t="shared" si="8"/>
        <v>0</v>
      </c>
    </row>
    <row r="110" spans="1:9" x14ac:dyDescent="0.25">
      <c r="A110" s="38">
        <f>Données!A110</f>
        <v>5585</v>
      </c>
      <c r="B110" s="27" t="str">
        <f>Données!B110</f>
        <v>Jouxtens-Mézery</v>
      </c>
      <c r="C110" s="31">
        <f>Données!Z110</f>
        <v>1469</v>
      </c>
      <c r="D110" s="241">
        <f>Ecrêtage!E110</f>
        <v>172.18960009691818</v>
      </c>
      <c r="E110" s="241">
        <f t="shared" si="5"/>
        <v>0</v>
      </c>
      <c r="F110" s="241">
        <f>+Données!X110</f>
        <v>59</v>
      </c>
      <c r="G110" s="382">
        <f t="shared" si="6"/>
        <v>0</v>
      </c>
      <c r="H110" s="161">
        <f t="shared" si="7"/>
        <v>0.87336436822007968</v>
      </c>
      <c r="I110" s="42">
        <f t="shared" si="8"/>
        <v>0</v>
      </c>
    </row>
    <row r="111" spans="1:9" x14ac:dyDescent="0.25">
      <c r="A111" s="38">
        <f>Données!A111</f>
        <v>5586</v>
      </c>
      <c r="B111" s="27" t="str">
        <f>Données!B111</f>
        <v>Lausanne</v>
      </c>
      <c r="C111" s="31">
        <f>Données!Z111</f>
        <v>141616</v>
      </c>
      <c r="D111" s="241">
        <f>Ecrêtage!E111</f>
        <v>47.109446618420407</v>
      </c>
      <c r="E111" s="241">
        <f t="shared" si="5"/>
        <v>1.332287024346499</v>
      </c>
      <c r="F111" s="241">
        <f>+Données!X111</f>
        <v>78.5</v>
      </c>
      <c r="G111" s="382">
        <f t="shared" si="6"/>
        <v>-3998927.6100887018</v>
      </c>
      <c r="H111" s="161">
        <f t="shared" si="7"/>
        <v>1.1620186933097669</v>
      </c>
      <c r="I111" s="42">
        <f t="shared" si="8"/>
        <v>-4646828.6361156227</v>
      </c>
    </row>
    <row r="112" spans="1:9" x14ac:dyDescent="0.25">
      <c r="A112" s="38">
        <f>Données!A112</f>
        <v>5587</v>
      </c>
      <c r="B112" s="27" t="str">
        <f>Données!B112</f>
        <v>Le Mont-sur-Lausanne</v>
      </c>
      <c r="C112" s="31">
        <f>Données!Z112</f>
        <v>9301</v>
      </c>
      <c r="D112" s="241">
        <f>Ecrêtage!E112</f>
        <v>52.042826650926997</v>
      </c>
      <c r="E112" s="241">
        <f t="shared" si="5"/>
        <v>0</v>
      </c>
      <c r="F112" s="241">
        <f>+Données!X112</f>
        <v>73.5</v>
      </c>
      <c r="G112" s="382">
        <f t="shared" si="6"/>
        <v>0</v>
      </c>
      <c r="H112" s="161">
        <f t="shared" si="7"/>
        <v>1.0880047637995907</v>
      </c>
      <c r="I112" s="42">
        <f t="shared" si="8"/>
        <v>0</v>
      </c>
    </row>
    <row r="113" spans="1:9" x14ac:dyDescent="0.25">
      <c r="A113" s="38">
        <f>Données!A113</f>
        <v>5588</v>
      </c>
      <c r="B113" s="27" t="str">
        <f>Données!B113</f>
        <v>Paudex</v>
      </c>
      <c r="C113" s="31">
        <f>Données!Z113</f>
        <v>1549</v>
      </c>
      <c r="D113" s="241">
        <f>Ecrêtage!E113</f>
        <v>88.803428760039878</v>
      </c>
      <c r="E113" s="241">
        <f t="shared" si="5"/>
        <v>0</v>
      </c>
      <c r="F113" s="241">
        <f>+Données!X113</f>
        <v>66.5</v>
      </c>
      <c r="G113" s="382">
        <f t="shared" si="6"/>
        <v>0</v>
      </c>
      <c r="H113" s="161">
        <f t="shared" si="7"/>
        <v>0.98438526248534397</v>
      </c>
      <c r="I113" s="42">
        <f t="shared" si="8"/>
        <v>0</v>
      </c>
    </row>
    <row r="114" spans="1:9" x14ac:dyDescent="0.25">
      <c r="A114" s="38">
        <f>Données!A114</f>
        <v>5589</v>
      </c>
      <c r="B114" s="27" t="str">
        <f>Données!B114</f>
        <v>Prilly</v>
      </c>
      <c r="C114" s="31">
        <f>Données!Z114</f>
        <v>12323</v>
      </c>
      <c r="D114" s="241">
        <f>Ecrêtage!E114</f>
        <v>32.802004383771823</v>
      </c>
      <c r="E114" s="241">
        <f t="shared" si="5"/>
        <v>15.639729258995082</v>
      </c>
      <c r="F114" s="241">
        <f>+Données!X114</f>
        <v>72.5</v>
      </c>
      <c r="G114" s="382">
        <f t="shared" si="6"/>
        <v>-3772658.1101170252</v>
      </c>
      <c r="H114" s="161">
        <f t="shared" si="7"/>
        <v>1.0732019778975554</v>
      </c>
      <c r="I114" s="42">
        <f t="shared" si="8"/>
        <v>-4048824.145708845</v>
      </c>
    </row>
    <row r="115" spans="1:9" x14ac:dyDescent="0.25">
      <c r="A115" s="38">
        <f>Données!A115</f>
        <v>5590</v>
      </c>
      <c r="B115" s="27" t="str">
        <f>Données!B115</f>
        <v>Pully</v>
      </c>
      <c r="C115" s="31">
        <f>Données!Z115</f>
        <v>19014</v>
      </c>
      <c r="D115" s="241">
        <f>Ecrêtage!E115</f>
        <v>73.44441788363018</v>
      </c>
      <c r="E115" s="241">
        <f t="shared" si="5"/>
        <v>0</v>
      </c>
      <c r="F115" s="241">
        <f>+Données!X115</f>
        <v>61</v>
      </c>
      <c r="G115" s="382">
        <f t="shared" si="6"/>
        <v>0</v>
      </c>
      <c r="H115" s="161">
        <f t="shared" si="7"/>
        <v>0.9029699400241501</v>
      </c>
      <c r="I115" s="42">
        <f t="shared" si="8"/>
        <v>0</v>
      </c>
    </row>
    <row r="116" spans="1:9" x14ac:dyDescent="0.25">
      <c r="A116" s="38">
        <f>Données!A116</f>
        <v>5591</v>
      </c>
      <c r="B116" s="27" t="str">
        <f>Données!B116</f>
        <v>Renens</v>
      </c>
      <c r="C116" s="31">
        <f>Données!Z116</f>
        <v>21128</v>
      </c>
      <c r="D116" s="241">
        <f>Ecrêtage!E116</f>
        <v>28.062653076152497</v>
      </c>
      <c r="E116" s="241">
        <f t="shared" si="5"/>
        <v>20.379080566614409</v>
      </c>
      <c r="F116" s="241">
        <f>+Données!X116</f>
        <v>77</v>
      </c>
      <c r="G116" s="382">
        <f t="shared" si="6"/>
        <v>-8951533.9634556137</v>
      </c>
      <c r="H116" s="161">
        <f t="shared" si="7"/>
        <v>1.139814514456714</v>
      </c>
      <c r="I116" s="42">
        <f t="shared" si="8"/>
        <v>-10203088.338198945</v>
      </c>
    </row>
    <row r="117" spans="1:9" x14ac:dyDescent="0.25">
      <c r="A117" s="38">
        <f>Données!A117</f>
        <v>5592</v>
      </c>
      <c r="B117" s="27" t="str">
        <f>Données!B117</f>
        <v>Romanel-sur-Lausanne</v>
      </c>
      <c r="C117" s="31">
        <f>Données!Z117</f>
        <v>3796</v>
      </c>
      <c r="D117" s="241">
        <f>Ecrêtage!E117</f>
        <v>29.927461418888115</v>
      </c>
      <c r="E117" s="241">
        <f t="shared" si="5"/>
        <v>18.514272223878791</v>
      </c>
      <c r="F117" s="241">
        <f>+Données!X117</f>
        <v>70.5</v>
      </c>
      <c r="G117" s="382">
        <f t="shared" si="6"/>
        <v>-1337783.1760826984</v>
      </c>
      <c r="H117" s="161">
        <f t="shared" si="7"/>
        <v>1.043596406093485</v>
      </c>
      <c r="I117" s="42">
        <f t="shared" si="8"/>
        <v>-1396105.714692232</v>
      </c>
    </row>
    <row r="118" spans="1:9" x14ac:dyDescent="0.25">
      <c r="A118" s="38">
        <f>Données!A118</f>
        <v>5601</v>
      </c>
      <c r="B118" s="27" t="str">
        <f>Données!B118</f>
        <v>Chexbres</v>
      </c>
      <c r="C118" s="31">
        <f>Données!Z118</f>
        <v>2207</v>
      </c>
      <c r="D118" s="241">
        <f>Ecrêtage!E118</f>
        <v>48.035928913054427</v>
      </c>
      <c r="E118" s="241">
        <f t="shared" si="5"/>
        <v>0.40580472971247872</v>
      </c>
      <c r="F118" s="241">
        <f>+Données!X118</f>
        <v>67.5</v>
      </c>
      <c r="G118" s="382">
        <f t="shared" si="6"/>
        <v>-16322.511176214904</v>
      </c>
      <c r="H118" s="161">
        <f t="shared" si="7"/>
        <v>0.99918804838737918</v>
      </c>
      <c r="I118" s="42">
        <f t="shared" si="8"/>
        <v>-16309.258086943355</v>
      </c>
    </row>
    <row r="119" spans="1:9" x14ac:dyDescent="0.25">
      <c r="A119" s="38">
        <f>Données!A119</f>
        <v>5604</v>
      </c>
      <c r="B119" s="27" t="str">
        <f>Données!B119</f>
        <v>Forel (Lavaux)</v>
      </c>
      <c r="C119" s="31">
        <f>Données!Z119</f>
        <v>2071</v>
      </c>
      <c r="D119" s="241">
        <f>Ecrêtage!E119</f>
        <v>34.264276167083054</v>
      </c>
      <c r="E119" s="241">
        <f t="shared" si="5"/>
        <v>14.177457475683852</v>
      </c>
      <c r="F119" s="241">
        <f>+Données!X119</f>
        <v>69</v>
      </c>
      <c r="G119" s="382">
        <f t="shared" si="6"/>
        <v>-547005.01387079165</v>
      </c>
      <c r="H119" s="161">
        <f t="shared" si="7"/>
        <v>1.0213922272404321</v>
      </c>
      <c r="I119" s="42">
        <f t="shared" si="8"/>
        <v>-558706.66942917136</v>
      </c>
    </row>
    <row r="120" spans="1:9" x14ac:dyDescent="0.25">
      <c r="A120" s="38">
        <f>Données!A120</f>
        <v>5606</v>
      </c>
      <c r="B120" s="27" t="str">
        <f>Données!B120</f>
        <v>Lutry</v>
      </c>
      <c r="C120" s="31">
        <f>Données!Z120</f>
        <v>10718</v>
      </c>
      <c r="D120" s="241">
        <f>Ecrêtage!E120</f>
        <v>113.096774147925</v>
      </c>
      <c r="E120" s="241">
        <f t="shared" si="5"/>
        <v>0</v>
      </c>
      <c r="F120" s="241">
        <f>+Données!X120</f>
        <v>54</v>
      </c>
      <c r="G120" s="382">
        <f t="shared" si="6"/>
        <v>0</v>
      </c>
      <c r="H120" s="161">
        <f t="shared" si="7"/>
        <v>0.79935043870990341</v>
      </c>
      <c r="I120" s="42">
        <f t="shared" si="8"/>
        <v>0</v>
      </c>
    </row>
    <row r="121" spans="1:9" x14ac:dyDescent="0.25">
      <c r="A121" s="38">
        <f>Données!A121</f>
        <v>5607</v>
      </c>
      <c r="B121" s="27" t="str">
        <f>Données!B121</f>
        <v>Puidoux</v>
      </c>
      <c r="C121" s="31">
        <f>Données!Z121</f>
        <v>2994</v>
      </c>
      <c r="D121" s="241">
        <f>Ecrêtage!E121</f>
        <v>39.243834668172688</v>
      </c>
      <c r="E121" s="241">
        <f t="shared" si="5"/>
        <v>9.1978989745942172</v>
      </c>
      <c r="F121" s="241">
        <f>+Données!X121</f>
        <v>68.5</v>
      </c>
      <c r="G121" s="382">
        <f t="shared" si="6"/>
        <v>-509324.73375614948</v>
      </c>
      <c r="H121" s="161">
        <f t="shared" si="7"/>
        <v>1.0139908342894144</v>
      </c>
      <c r="I121" s="42">
        <f t="shared" si="8"/>
        <v>-516450.61170563189</v>
      </c>
    </row>
    <row r="122" spans="1:9" x14ac:dyDescent="0.25">
      <c r="A122" s="38">
        <f>Données!A122</f>
        <v>5609</v>
      </c>
      <c r="B122" s="27" t="str">
        <f>Données!B122</f>
        <v>Rivaz</v>
      </c>
      <c r="C122" s="31">
        <f>Données!Z122</f>
        <v>332</v>
      </c>
      <c r="D122" s="241">
        <f>Ecrêtage!E122</f>
        <v>44.970486785853097</v>
      </c>
      <c r="E122" s="241">
        <f t="shared" si="5"/>
        <v>3.4712468569138082</v>
      </c>
      <c r="F122" s="241">
        <f>+Données!X122</f>
        <v>62</v>
      </c>
      <c r="G122" s="382">
        <f t="shared" si="6"/>
        <v>-19292.079231732736</v>
      </c>
      <c r="H122" s="161">
        <f t="shared" si="7"/>
        <v>0.91777272592618542</v>
      </c>
      <c r="I122" s="42">
        <f t="shared" si="8"/>
        <v>-17705.744145291301</v>
      </c>
    </row>
    <row r="123" spans="1:9" x14ac:dyDescent="0.25">
      <c r="A123" s="38">
        <f>Données!A123</f>
        <v>5610</v>
      </c>
      <c r="B123" s="27" t="str">
        <f>Données!B123</f>
        <v>St-Saphorin (Lavaux)</v>
      </c>
      <c r="C123" s="31">
        <f>Données!Z123</f>
        <v>402</v>
      </c>
      <c r="D123" s="241">
        <f>Ecrêtage!E123</f>
        <v>53.051441864750316</v>
      </c>
      <c r="E123" s="241">
        <f t="shared" si="5"/>
        <v>0</v>
      </c>
      <c r="F123" s="241">
        <f>+Données!X123</f>
        <v>72</v>
      </c>
      <c r="G123" s="382">
        <f t="shared" si="6"/>
        <v>0</v>
      </c>
      <c r="H123" s="161">
        <f t="shared" si="7"/>
        <v>1.065800584946538</v>
      </c>
      <c r="I123" s="42">
        <f t="shared" si="8"/>
        <v>0</v>
      </c>
    </row>
    <row r="124" spans="1:9" x14ac:dyDescent="0.25">
      <c r="A124" s="38">
        <f>Données!A124</f>
        <v>5611</v>
      </c>
      <c r="B124" s="27" t="str">
        <f>Données!B124</f>
        <v>Savigny</v>
      </c>
      <c r="C124" s="31">
        <f>Données!Z124</f>
        <v>3421</v>
      </c>
      <c r="D124" s="241">
        <f>Ecrêtage!E124</f>
        <v>40.81545465136476</v>
      </c>
      <c r="E124" s="241">
        <f t="shared" si="5"/>
        <v>7.6262789914021454</v>
      </c>
      <c r="F124" s="241">
        <f>+Données!X124</f>
        <v>69</v>
      </c>
      <c r="G124" s="382">
        <f t="shared" si="6"/>
        <v>-486047.393003201</v>
      </c>
      <c r="H124" s="161">
        <f t="shared" si="7"/>
        <v>1.0213922272404321</v>
      </c>
      <c r="I124" s="42">
        <f t="shared" si="8"/>
        <v>-496445.0292839451</v>
      </c>
    </row>
    <row r="125" spans="1:9" x14ac:dyDescent="0.25">
      <c r="A125" s="38">
        <f>Données!A125</f>
        <v>5613</v>
      </c>
      <c r="B125" s="27" t="str">
        <f>Données!B125</f>
        <v>Bourg-en-Lavaux</v>
      </c>
      <c r="C125" s="31">
        <f>Données!Z125</f>
        <v>5394</v>
      </c>
      <c r="D125" s="241">
        <f>Ecrêtage!E125</f>
        <v>68.076818104066248</v>
      </c>
      <c r="E125" s="241">
        <f t="shared" si="5"/>
        <v>0</v>
      </c>
      <c r="F125" s="241">
        <f>+Données!X125</f>
        <v>62.5</v>
      </c>
      <c r="G125" s="382">
        <f t="shared" si="6"/>
        <v>0</v>
      </c>
      <c r="H125" s="161">
        <f t="shared" si="7"/>
        <v>0.92517411887720302</v>
      </c>
      <c r="I125" s="42">
        <f t="shared" si="8"/>
        <v>0</v>
      </c>
    </row>
    <row r="126" spans="1:9" x14ac:dyDescent="0.25">
      <c r="A126" s="38">
        <f>Données!A126</f>
        <v>5621</v>
      </c>
      <c r="B126" s="27" t="str">
        <f>Données!B126</f>
        <v>Aclens</v>
      </c>
      <c r="C126" s="31">
        <f>Données!Z126</f>
        <v>557</v>
      </c>
      <c r="D126" s="241">
        <f>Ecrêtage!E126</f>
        <v>70.382574643171154</v>
      </c>
      <c r="E126" s="241">
        <f t="shared" si="5"/>
        <v>0</v>
      </c>
      <c r="F126" s="241">
        <f>+Données!X126</f>
        <v>62</v>
      </c>
      <c r="G126" s="382">
        <f t="shared" si="6"/>
        <v>0</v>
      </c>
      <c r="H126" s="161">
        <f t="shared" si="7"/>
        <v>0.91777272592618542</v>
      </c>
      <c r="I126" s="42">
        <f t="shared" si="8"/>
        <v>0</v>
      </c>
    </row>
    <row r="127" spans="1:9" x14ac:dyDescent="0.25">
      <c r="A127" s="38">
        <f>Données!A127</f>
        <v>5622</v>
      </c>
      <c r="B127" s="27" t="str">
        <f>Données!B127</f>
        <v>Bremblens</v>
      </c>
      <c r="C127" s="31">
        <f>Données!Z127</f>
        <v>604</v>
      </c>
      <c r="D127" s="241">
        <f>Ecrêtage!E127</f>
        <v>51.080731155044802</v>
      </c>
      <c r="E127" s="241">
        <f t="shared" si="5"/>
        <v>0</v>
      </c>
      <c r="F127" s="241">
        <f>+Données!X127</f>
        <v>68</v>
      </c>
      <c r="G127" s="382">
        <f t="shared" si="6"/>
        <v>0</v>
      </c>
      <c r="H127" s="161">
        <f t="shared" si="7"/>
        <v>1.0065894413383969</v>
      </c>
      <c r="I127" s="42">
        <f t="shared" si="8"/>
        <v>0</v>
      </c>
    </row>
    <row r="128" spans="1:9" x14ac:dyDescent="0.25">
      <c r="A128" s="38">
        <f>Données!A128</f>
        <v>5623</v>
      </c>
      <c r="B128" s="27" t="str">
        <f>Données!B128</f>
        <v>Buchillon</v>
      </c>
      <c r="C128" s="31">
        <f>Données!Z128</f>
        <v>670</v>
      </c>
      <c r="D128" s="241">
        <f>Ecrêtage!E128</f>
        <v>131.94490068886336</v>
      </c>
      <c r="E128" s="241">
        <f t="shared" si="5"/>
        <v>0</v>
      </c>
      <c r="F128" s="241">
        <f>+Données!X128</f>
        <v>52</v>
      </c>
      <c r="G128" s="382">
        <f t="shared" si="6"/>
        <v>0</v>
      </c>
      <c r="H128" s="161">
        <f t="shared" si="7"/>
        <v>0.76974486690583288</v>
      </c>
      <c r="I128" s="42">
        <f t="shared" si="8"/>
        <v>0</v>
      </c>
    </row>
    <row r="129" spans="1:9" x14ac:dyDescent="0.25">
      <c r="A129" s="38">
        <f>Données!A129</f>
        <v>5624</v>
      </c>
      <c r="B129" s="27" t="str">
        <f>Données!B129</f>
        <v>Bussigny</v>
      </c>
      <c r="C129" s="31">
        <f>Données!Z129</f>
        <v>10397</v>
      </c>
      <c r="D129" s="241">
        <f>Ecrêtage!E129</f>
        <v>50.278714413773194</v>
      </c>
      <c r="E129" s="241">
        <f t="shared" si="5"/>
        <v>0</v>
      </c>
      <c r="F129" s="241">
        <f>+Données!X129</f>
        <v>62.5</v>
      </c>
      <c r="G129" s="382">
        <f t="shared" si="6"/>
        <v>0</v>
      </c>
      <c r="H129" s="161">
        <f t="shared" si="7"/>
        <v>0.92517411887720302</v>
      </c>
      <c r="I129" s="42">
        <f t="shared" si="8"/>
        <v>0</v>
      </c>
    </row>
    <row r="130" spans="1:9" x14ac:dyDescent="0.25">
      <c r="A130" s="38">
        <f>Données!A130</f>
        <v>5627</v>
      </c>
      <c r="B130" s="27" t="str">
        <f>Données!B130</f>
        <v>Chavannes-près-Renens</v>
      </c>
      <c r="C130" s="31">
        <f>Données!Z130</f>
        <v>8734</v>
      </c>
      <c r="D130" s="241">
        <f>Ecrêtage!E130</f>
        <v>21.60416250914114</v>
      </c>
      <c r="E130" s="241">
        <f t="shared" si="5"/>
        <v>26.837571133625765</v>
      </c>
      <c r="F130" s="241">
        <f>+Données!X130</f>
        <v>77.5</v>
      </c>
      <c r="G130" s="382">
        <f t="shared" si="6"/>
        <v>-4904806.320931755</v>
      </c>
      <c r="H130" s="161">
        <f t="shared" si="7"/>
        <v>1.1472159074077317</v>
      </c>
      <c r="I130" s="42">
        <f t="shared" si="8"/>
        <v>-5626871.8341269018</v>
      </c>
    </row>
    <row r="131" spans="1:9" x14ac:dyDescent="0.25">
      <c r="A131" s="38">
        <f>Données!A131</f>
        <v>5628</v>
      </c>
      <c r="B131" s="27" t="str">
        <f>Données!B131</f>
        <v>Chigny</v>
      </c>
      <c r="C131" s="31">
        <f>Données!Z131</f>
        <v>419</v>
      </c>
      <c r="D131" s="241">
        <f>Ecrêtage!E131</f>
        <v>65.936465855724066</v>
      </c>
      <c r="E131" s="241">
        <f t="shared" si="5"/>
        <v>0</v>
      </c>
      <c r="F131" s="241">
        <f>+Données!X131</f>
        <v>62</v>
      </c>
      <c r="G131" s="382">
        <f t="shared" si="6"/>
        <v>0</v>
      </c>
      <c r="H131" s="161">
        <f t="shared" si="7"/>
        <v>0.91777272592618542</v>
      </c>
      <c r="I131" s="42">
        <f t="shared" si="8"/>
        <v>0</v>
      </c>
    </row>
    <row r="132" spans="1:9" x14ac:dyDescent="0.25">
      <c r="A132" s="38">
        <f>Données!A132</f>
        <v>5629</v>
      </c>
      <c r="B132" s="27" t="str">
        <f>Données!B132</f>
        <v>Clarmont</v>
      </c>
      <c r="C132" s="31">
        <f>Données!Z132</f>
        <v>218</v>
      </c>
      <c r="D132" s="241">
        <f>Ecrêtage!E132</f>
        <v>45.709830530071351</v>
      </c>
      <c r="E132" s="241">
        <f t="shared" si="5"/>
        <v>2.7319031126955551</v>
      </c>
      <c r="F132" s="241">
        <f>+Données!X132</f>
        <v>72</v>
      </c>
      <c r="G132" s="382">
        <f t="shared" si="6"/>
        <v>-11577.586839354748</v>
      </c>
      <c r="H132" s="161">
        <f t="shared" si="7"/>
        <v>1.065800584946538</v>
      </c>
      <c r="I132" s="42">
        <f t="shared" si="8"/>
        <v>-12339.39882565363</v>
      </c>
    </row>
    <row r="133" spans="1:9" x14ac:dyDescent="0.25">
      <c r="A133" s="38">
        <f>Données!A133</f>
        <v>5631</v>
      </c>
      <c r="B133" s="27" t="str">
        <f>Données!B133</f>
        <v>Denens</v>
      </c>
      <c r="C133" s="31">
        <f>Données!Z133</f>
        <v>716</v>
      </c>
      <c r="D133" s="241">
        <f>Ecrêtage!E133</f>
        <v>58.232277357870529</v>
      </c>
      <c r="E133" s="241">
        <f t="shared" si="5"/>
        <v>0</v>
      </c>
      <c r="F133" s="241">
        <f>+Données!X133</f>
        <v>68</v>
      </c>
      <c r="G133" s="382">
        <f t="shared" si="6"/>
        <v>0</v>
      </c>
      <c r="H133" s="161">
        <f t="shared" si="7"/>
        <v>1.0065894413383969</v>
      </c>
      <c r="I133" s="42">
        <f t="shared" si="8"/>
        <v>0</v>
      </c>
    </row>
    <row r="134" spans="1:9" x14ac:dyDescent="0.25">
      <c r="A134" s="38">
        <f>Données!A134</f>
        <v>5632</v>
      </c>
      <c r="B134" s="27" t="str">
        <f>Données!B134</f>
        <v>Denges</v>
      </c>
      <c r="C134" s="31">
        <f>Données!Z134</f>
        <v>1777</v>
      </c>
      <c r="D134" s="241">
        <f>Ecrêtage!E134</f>
        <v>45.944024542995628</v>
      </c>
      <c r="E134" s="241">
        <f t="shared" si="5"/>
        <v>2.4977090997712779</v>
      </c>
      <c r="F134" s="241">
        <f>+Données!X134</f>
        <v>62</v>
      </c>
      <c r="G134" s="382">
        <f t="shared" si="6"/>
        <v>-74299.302636714216</v>
      </c>
      <c r="H134" s="161">
        <f t="shared" si="7"/>
        <v>0.91777272592618542</v>
      </c>
      <c r="I134" s="42">
        <f t="shared" si="8"/>
        <v>-68189.873515311818</v>
      </c>
    </row>
    <row r="135" spans="1:9" x14ac:dyDescent="0.25">
      <c r="A135" s="38">
        <f>Données!A135</f>
        <v>5633</v>
      </c>
      <c r="B135" s="27" t="str">
        <f>Données!B135</f>
        <v>Echandens</v>
      </c>
      <c r="C135" s="31">
        <f>Données!Z135</f>
        <v>2891</v>
      </c>
      <c r="D135" s="241">
        <f>Ecrêtage!E135</f>
        <v>51.828207517773883</v>
      </c>
      <c r="E135" s="241">
        <f t="shared" ref="E135:E198" si="9">IF($D$306-D135&lt;0,0,$D$306-D135)</f>
        <v>0</v>
      </c>
      <c r="F135" s="241">
        <f>+Données!X135</f>
        <v>60.5</v>
      </c>
      <c r="G135" s="382">
        <f t="shared" ref="G135:G198" si="10">-((C135*E135*F135)*$E$5)</f>
        <v>0</v>
      </c>
      <c r="H135" s="161">
        <f t="shared" ref="H135:H198" si="11">F135/$F$306</f>
        <v>0.89556854707313249</v>
      </c>
      <c r="I135" s="42">
        <f t="shared" ref="I135:I198" si="12">G135*H135</f>
        <v>0</v>
      </c>
    </row>
    <row r="136" spans="1:9" x14ac:dyDescent="0.25">
      <c r="A136" s="38">
        <f>Données!A136</f>
        <v>5634</v>
      </c>
      <c r="B136" s="27" t="str">
        <f>Données!B136</f>
        <v>Echichens</v>
      </c>
      <c r="C136" s="31">
        <f>Données!Z136</f>
        <v>3214</v>
      </c>
      <c r="D136" s="241">
        <f>Ecrêtage!E136</f>
        <v>56.981217872565111</v>
      </c>
      <c r="E136" s="241">
        <f t="shared" si="9"/>
        <v>0</v>
      </c>
      <c r="F136" s="241">
        <f>+Données!X136</f>
        <v>66</v>
      </c>
      <c r="G136" s="382">
        <f t="shared" si="10"/>
        <v>0</v>
      </c>
      <c r="H136" s="161">
        <f t="shared" si="11"/>
        <v>0.97698386953432637</v>
      </c>
      <c r="I136" s="42">
        <f t="shared" si="12"/>
        <v>0</v>
      </c>
    </row>
    <row r="137" spans="1:9" x14ac:dyDescent="0.25">
      <c r="A137" s="38">
        <f>Données!A137</f>
        <v>5635</v>
      </c>
      <c r="B137" s="27" t="str">
        <f>Données!B137</f>
        <v>Ecublens</v>
      </c>
      <c r="C137" s="31">
        <f>Données!Z137</f>
        <v>13142</v>
      </c>
      <c r="D137" s="241">
        <f>Ecrêtage!E137</f>
        <v>39.276021376756454</v>
      </c>
      <c r="E137" s="241">
        <f t="shared" si="9"/>
        <v>9.165712266010452</v>
      </c>
      <c r="F137" s="241">
        <f>+Données!X137</f>
        <v>62.5</v>
      </c>
      <c r="G137" s="382">
        <f t="shared" si="10"/>
        <v>-2032691.4663734706</v>
      </c>
      <c r="H137" s="161">
        <f t="shared" si="11"/>
        <v>0.92517411887720302</v>
      </c>
      <c r="I137" s="42">
        <f t="shared" si="12"/>
        <v>-1880593.5363512854</v>
      </c>
    </row>
    <row r="138" spans="1:9" x14ac:dyDescent="0.25">
      <c r="A138" s="38">
        <f>Données!A138</f>
        <v>5636</v>
      </c>
      <c r="B138" s="27" t="str">
        <f>Données!B138</f>
        <v>Etoy</v>
      </c>
      <c r="C138" s="31">
        <f>Données!Z138</f>
        <v>2941</v>
      </c>
      <c r="D138" s="241">
        <f>Ecrêtage!E138</f>
        <v>64.419704352261149</v>
      </c>
      <c r="E138" s="241">
        <f t="shared" si="9"/>
        <v>0</v>
      </c>
      <c r="F138" s="241">
        <f>+Données!X138</f>
        <v>60</v>
      </c>
      <c r="G138" s="382">
        <f t="shared" si="10"/>
        <v>0</v>
      </c>
      <c r="H138" s="161">
        <f t="shared" si="11"/>
        <v>0.88816715412211489</v>
      </c>
      <c r="I138" s="42">
        <f t="shared" si="12"/>
        <v>0</v>
      </c>
    </row>
    <row r="139" spans="1:9" x14ac:dyDescent="0.25">
      <c r="A139" s="38">
        <f>Données!A139</f>
        <v>5637</v>
      </c>
      <c r="B139" s="27" t="str">
        <f>Données!B139</f>
        <v>Lavigny</v>
      </c>
      <c r="C139" s="31">
        <f>Données!Z139</f>
        <v>1038</v>
      </c>
      <c r="D139" s="241">
        <f>Ecrêtage!E139</f>
        <v>34.965134742787768</v>
      </c>
      <c r="E139" s="241">
        <f t="shared" si="9"/>
        <v>13.476598899979138</v>
      </c>
      <c r="F139" s="241">
        <f>+Données!X139</f>
        <v>73</v>
      </c>
      <c r="G139" s="382">
        <f t="shared" si="10"/>
        <v>-275717.4673626952</v>
      </c>
      <c r="H139" s="161">
        <f t="shared" si="11"/>
        <v>1.0806033708485732</v>
      </c>
      <c r="I139" s="42">
        <f t="shared" si="12"/>
        <v>-297941.22463395988</v>
      </c>
    </row>
    <row r="140" spans="1:9" x14ac:dyDescent="0.25">
      <c r="A140" s="38">
        <f>Données!A140</f>
        <v>5638</v>
      </c>
      <c r="B140" s="27" t="str">
        <f>Données!B140</f>
        <v>Lonay</v>
      </c>
      <c r="C140" s="31">
        <f>Données!Z140</f>
        <v>2677</v>
      </c>
      <c r="D140" s="241">
        <f>Ecrêtage!E140</f>
        <v>57.487426562977554</v>
      </c>
      <c r="E140" s="241">
        <f t="shared" si="9"/>
        <v>0</v>
      </c>
      <c r="F140" s="241">
        <f>+Données!X140</f>
        <v>55</v>
      </c>
      <c r="G140" s="382">
        <f t="shared" si="10"/>
        <v>0</v>
      </c>
      <c r="H140" s="161">
        <f t="shared" si="11"/>
        <v>0.81415322461193862</v>
      </c>
      <c r="I140" s="42">
        <f t="shared" si="12"/>
        <v>0</v>
      </c>
    </row>
    <row r="141" spans="1:9" x14ac:dyDescent="0.25">
      <c r="A141" s="38">
        <f>Données!A141</f>
        <v>5639</v>
      </c>
      <c r="B141" s="27" t="str">
        <f>Données!B141</f>
        <v>Lully</v>
      </c>
      <c r="C141" s="31">
        <f>Données!Z141</f>
        <v>827</v>
      </c>
      <c r="D141" s="241">
        <f>Ecrêtage!E141</f>
        <v>63.170705096437835</v>
      </c>
      <c r="E141" s="241">
        <f t="shared" si="9"/>
        <v>0</v>
      </c>
      <c r="F141" s="241">
        <f>+Données!X141</f>
        <v>61</v>
      </c>
      <c r="G141" s="382">
        <f t="shared" si="10"/>
        <v>0</v>
      </c>
      <c r="H141" s="161">
        <f t="shared" si="11"/>
        <v>0.9029699400241501</v>
      </c>
      <c r="I141" s="42">
        <f t="shared" si="12"/>
        <v>0</v>
      </c>
    </row>
    <row r="142" spans="1:9" x14ac:dyDescent="0.25">
      <c r="A142" s="38">
        <f>Données!A142</f>
        <v>5640</v>
      </c>
      <c r="B142" s="27" t="str">
        <f>Données!B142</f>
        <v>Lussy-sur-Morges</v>
      </c>
      <c r="C142" s="31">
        <f>Données!Z142</f>
        <v>730</v>
      </c>
      <c r="D142" s="241">
        <f>Ecrêtage!E142</f>
        <v>79.139031113942863</v>
      </c>
      <c r="E142" s="241">
        <f t="shared" si="9"/>
        <v>0</v>
      </c>
      <c r="F142" s="241">
        <f>+Données!X142</f>
        <v>64.5</v>
      </c>
      <c r="G142" s="382">
        <f t="shared" si="10"/>
        <v>0</v>
      </c>
      <c r="H142" s="161">
        <f t="shared" si="11"/>
        <v>0.95477969068127344</v>
      </c>
      <c r="I142" s="42">
        <f t="shared" si="12"/>
        <v>0</v>
      </c>
    </row>
    <row r="143" spans="1:9" x14ac:dyDescent="0.25">
      <c r="A143" s="38">
        <f>Données!A143</f>
        <v>5642</v>
      </c>
      <c r="B143" s="27" t="str">
        <f>Données!B143</f>
        <v>Morges</v>
      </c>
      <c r="C143" s="31">
        <f>Données!Z143</f>
        <v>17535</v>
      </c>
      <c r="D143" s="241">
        <f>Ecrêtage!E143</f>
        <v>55.919431678221386</v>
      </c>
      <c r="E143" s="241">
        <f t="shared" si="9"/>
        <v>0</v>
      </c>
      <c r="F143" s="241">
        <f>+Données!X143</f>
        <v>67</v>
      </c>
      <c r="G143" s="382">
        <f t="shared" si="10"/>
        <v>0</v>
      </c>
      <c r="H143" s="161">
        <f t="shared" si="11"/>
        <v>0.99178665543636157</v>
      </c>
      <c r="I143" s="42">
        <f t="shared" si="12"/>
        <v>0</v>
      </c>
    </row>
    <row r="144" spans="1:9" x14ac:dyDescent="0.25">
      <c r="A144" s="38">
        <f>Données!A144</f>
        <v>5643</v>
      </c>
      <c r="B144" s="27" t="str">
        <f>Données!B144</f>
        <v>Préverenges</v>
      </c>
      <c r="C144" s="31">
        <f>Données!Z144</f>
        <v>5218</v>
      </c>
      <c r="D144" s="241">
        <f>Ecrêtage!E144</f>
        <v>48.433190770410114</v>
      </c>
      <c r="E144" s="241">
        <f t="shared" si="9"/>
        <v>8.5428723567915199E-3</v>
      </c>
      <c r="F144" s="241">
        <f>+Données!X144</f>
        <v>62.5</v>
      </c>
      <c r="G144" s="382">
        <f t="shared" si="10"/>
        <v>-752.23194678683137</v>
      </c>
      <c r="H144" s="161">
        <f t="shared" si="11"/>
        <v>0.92517411887720302</v>
      </c>
      <c r="I144" s="42">
        <f t="shared" si="12"/>
        <v>-695.94552855978975</v>
      </c>
    </row>
    <row r="145" spans="1:9" x14ac:dyDescent="0.25">
      <c r="A145" s="38">
        <f>Données!A145</f>
        <v>5645</v>
      </c>
      <c r="B145" s="27" t="str">
        <f>Données!B145</f>
        <v>Romanel-sur-Morges</v>
      </c>
      <c r="C145" s="31">
        <f>Données!Z145</f>
        <v>458</v>
      </c>
      <c r="D145" s="241">
        <f>Ecrêtage!E145</f>
        <v>51.897374064254528</v>
      </c>
      <c r="E145" s="241">
        <f t="shared" si="9"/>
        <v>0</v>
      </c>
      <c r="F145" s="241">
        <f>+Données!X145</f>
        <v>56</v>
      </c>
      <c r="G145" s="382">
        <f t="shared" si="10"/>
        <v>0</v>
      </c>
      <c r="H145" s="161">
        <f t="shared" si="11"/>
        <v>0.82895601051397383</v>
      </c>
      <c r="I145" s="42">
        <f t="shared" si="12"/>
        <v>0</v>
      </c>
    </row>
    <row r="146" spans="1:9" x14ac:dyDescent="0.25">
      <c r="A146" s="38">
        <f>Données!A146</f>
        <v>5646</v>
      </c>
      <c r="B146" s="27" t="str">
        <f>Données!B146</f>
        <v>Saint-Prex</v>
      </c>
      <c r="C146" s="31">
        <f>Données!Z146</f>
        <v>5877</v>
      </c>
      <c r="D146" s="241">
        <f>Ecrêtage!E146</f>
        <v>87.728137366868239</v>
      </c>
      <c r="E146" s="241">
        <f t="shared" si="9"/>
        <v>0</v>
      </c>
      <c r="F146" s="241">
        <f>+Données!X146</f>
        <v>59</v>
      </c>
      <c r="G146" s="382">
        <f t="shared" si="10"/>
        <v>0</v>
      </c>
      <c r="H146" s="161">
        <f t="shared" si="11"/>
        <v>0.87336436822007968</v>
      </c>
      <c r="I146" s="42">
        <f t="shared" si="12"/>
        <v>0</v>
      </c>
    </row>
    <row r="147" spans="1:9" x14ac:dyDescent="0.25">
      <c r="A147" s="38">
        <f>Données!A147</f>
        <v>5648</v>
      </c>
      <c r="B147" s="27" t="str">
        <f>Données!B147</f>
        <v>Saint-Sulpice</v>
      </c>
      <c r="C147" s="31">
        <f>Données!Z147</f>
        <v>5043</v>
      </c>
      <c r="D147" s="241">
        <f>Ecrêtage!E147</f>
        <v>82.696895832206664</v>
      </c>
      <c r="E147" s="241">
        <f t="shared" si="9"/>
        <v>0</v>
      </c>
      <c r="F147" s="241">
        <f>+Données!X147</f>
        <v>55</v>
      </c>
      <c r="G147" s="382">
        <f t="shared" si="10"/>
        <v>0</v>
      </c>
      <c r="H147" s="161">
        <f t="shared" si="11"/>
        <v>0.81415322461193862</v>
      </c>
      <c r="I147" s="42">
        <f t="shared" si="12"/>
        <v>0</v>
      </c>
    </row>
    <row r="148" spans="1:9" x14ac:dyDescent="0.25">
      <c r="A148" s="38">
        <f>Données!A148</f>
        <v>5649</v>
      </c>
      <c r="B148" s="27" t="str">
        <f>Données!B148</f>
        <v>Tolochenaz</v>
      </c>
      <c r="C148" s="31">
        <f>Données!Z148</f>
        <v>1890</v>
      </c>
      <c r="D148" s="241">
        <f>Ecrêtage!E148</f>
        <v>91.779921875000014</v>
      </c>
      <c r="E148" s="241">
        <f t="shared" si="9"/>
        <v>0</v>
      </c>
      <c r="F148" s="241">
        <f>+Données!X148</f>
        <v>64</v>
      </c>
      <c r="G148" s="382">
        <f t="shared" si="10"/>
        <v>0</v>
      </c>
      <c r="H148" s="161">
        <f t="shared" si="11"/>
        <v>0.94737829773025584</v>
      </c>
      <c r="I148" s="42">
        <f t="shared" si="12"/>
        <v>0</v>
      </c>
    </row>
    <row r="149" spans="1:9" x14ac:dyDescent="0.25">
      <c r="A149" s="38">
        <f>Données!A149</f>
        <v>5650</v>
      </c>
      <c r="B149" s="27" t="str">
        <f>Données!B149</f>
        <v>Vaux-sur-Morges</v>
      </c>
      <c r="C149" s="31">
        <f>Données!Z149</f>
        <v>187</v>
      </c>
      <c r="D149" s="241">
        <f>Ecrêtage!E149</f>
        <v>483.46451298701305</v>
      </c>
      <c r="E149" s="241">
        <f t="shared" si="9"/>
        <v>0</v>
      </c>
      <c r="F149" s="241">
        <f>+Données!X149</f>
        <v>56</v>
      </c>
      <c r="G149" s="382">
        <f t="shared" si="10"/>
        <v>0</v>
      </c>
      <c r="H149" s="161">
        <f t="shared" si="11"/>
        <v>0.82895601051397383</v>
      </c>
      <c r="I149" s="42">
        <f t="shared" si="12"/>
        <v>0</v>
      </c>
    </row>
    <row r="150" spans="1:9" x14ac:dyDescent="0.25">
      <c r="A150" s="38">
        <f>Données!A150</f>
        <v>5651</v>
      </c>
      <c r="B150" s="27" t="str">
        <f>Données!B150</f>
        <v>Villars-Sainte-Croix</v>
      </c>
      <c r="C150" s="31">
        <f>Données!Z150</f>
        <v>978</v>
      </c>
      <c r="D150" s="241">
        <f>Ecrêtage!E150</f>
        <v>57.268044246142416</v>
      </c>
      <c r="E150" s="241">
        <f t="shared" si="9"/>
        <v>0</v>
      </c>
      <c r="F150" s="241">
        <f>+Données!X150</f>
        <v>60.5</v>
      </c>
      <c r="G150" s="382">
        <f t="shared" si="10"/>
        <v>0</v>
      </c>
      <c r="H150" s="161">
        <f t="shared" si="11"/>
        <v>0.89556854707313249</v>
      </c>
      <c r="I150" s="42">
        <f t="shared" si="12"/>
        <v>0</v>
      </c>
    </row>
    <row r="151" spans="1:9" x14ac:dyDescent="0.25">
      <c r="A151" s="38">
        <f>Données!A151</f>
        <v>5652</v>
      </c>
      <c r="B151" s="27" t="str">
        <f>Données!B151</f>
        <v>Villars-sous-Yens</v>
      </c>
      <c r="C151" s="31">
        <f>Données!Z151</f>
        <v>615</v>
      </c>
      <c r="D151" s="241">
        <f>Ecrêtage!E151</f>
        <v>42.206849629154185</v>
      </c>
      <c r="E151" s="241">
        <f t="shared" si="9"/>
        <v>6.2348840136127208</v>
      </c>
      <c r="F151" s="241">
        <f>+Données!X151</f>
        <v>76</v>
      </c>
      <c r="G151" s="382">
        <f t="shared" si="10"/>
        <v>-78682.989274989814</v>
      </c>
      <c r="H151" s="161">
        <f t="shared" si="11"/>
        <v>1.1250117285546788</v>
      </c>
      <c r="I151" s="42">
        <f t="shared" si="12"/>
        <v>-88519.285772105548</v>
      </c>
    </row>
    <row r="152" spans="1:9" x14ac:dyDescent="0.25">
      <c r="A152" s="38">
        <f>Données!A152</f>
        <v>5653</v>
      </c>
      <c r="B152" s="27" t="str">
        <f>Données!B152</f>
        <v>Vufflens-le-Château</v>
      </c>
      <c r="C152" s="31">
        <f>Données!Z152</f>
        <v>886</v>
      </c>
      <c r="D152" s="241">
        <f>Ecrêtage!E152</f>
        <v>80.491849086454053</v>
      </c>
      <c r="E152" s="241">
        <f t="shared" si="9"/>
        <v>0</v>
      </c>
      <c r="F152" s="241">
        <f>+Données!X152</f>
        <v>58.5</v>
      </c>
      <c r="G152" s="382">
        <f t="shared" si="10"/>
        <v>0</v>
      </c>
      <c r="H152" s="161">
        <f t="shared" si="11"/>
        <v>0.86596297526906196</v>
      </c>
      <c r="I152" s="42">
        <f t="shared" si="12"/>
        <v>0</v>
      </c>
    </row>
    <row r="153" spans="1:9" x14ac:dyDescent="0.25">
      <c r="A153" s="38">
        <f>Données!A153</f>
        <v>5654</v>
      </c>
      <c r="B153" s="27" t="str">
        <f>Données!B153</f>
        <v>Vullierens</v>
      </c>
      <c r="C153" s="31">
        <f>Données!Z153</f>
        <v>563</v>
      </c>
      <c r="D153" s="241">
        <f>Ecrêtage!E153</f>
        <v>36.840695054688226</v>
      </c>
      <c r="E153" s="241">
        <f t="shared" si="9"/>
        <v>11.60103858807868</v>
      </c>
      <c r="F153" s="241">
        <f>+Données!X153</f>
        <v>76</v>
      </c>
      <c r="G153" s="382">
        <f t="shared" si="10"/>
        <v>-134024.01455881185</v>
      </c>
      <c r="H153" s="161">
        <f t="shared" si="11"/>
        <v>1.1250117285546788</v>
      </c>
      <c r="I153" s="42">
        <f t="shared" si="12"/>
        <v>-150778.58828664635</v>
      </c>
    </row>
    <row r="154" spans="1:9" x14ac:dyDescent="0.25">
      <c r="A154" s="38">
        <f>Données!A154</f>
        <v>5655</v>
      </c>
      <c r="B154" s="27" t="str">
        <f>Données!B154</f>
        <v>Yens</v>
      </c>
      <c r="C154" s="31">
        <f>Données!Z154</f>
        <v>1517</v>
      </c>
      <c r="D154" s="241">
        <f>Ecrêtage!E154</f>
        <v>53.717014073599437</v>
      </c>
      <c r="E154" s="241">
        <f t="shared" si="9"/>
        <v>0</v>
      </c>
      <c r="F154" s="241">
        <f>+Données!X154</f>
        <v>71.5</v>
      </c>
      <c r="G154" s="382">
        <f t="shared" si="10"/>
        <v>0</v>
      </c>
      <c r="H154" s="161">
        <f t="shared" si="11"/>
        <v>1.0583991919955202</v>
      </c>
      <c r="I154" s="42">
        <f t="shared" si="12"/>
        <v>0</v>
      </c>
    </row>
    <row r="155" spans="1:9" x14ac:dyDescent="0.25">
      <c r="A155" s="38">
        <f>Données!A155</f>
        <v>5656</v>
      </c>
      <c r="B155" s="27" t="str">
        <f>Données!B155</f>
        <v>Hautemorges</v>
      </c>
      <c r="C155" s="31">
        <f>Données!Z155</f>
        <v>4263</v>
      </c>
      <c r="D155" s="241">
        <f>Ecrêtage!E155</f>
        <v>39.628193808795807</v>
      </c>
      <c r="E155" s="241">
        <f t="shared" si="9"/>
        <v>8.8135398339710989</v>
      </c>
      <c r="F155" s="241">
        <f>+Données!X155</f>
        <v>72.5</v>
      </c>
      <c r="G155" s="382">
        <f t="shared" si="10"/>
        <v>-735474.25511168293</v>
      </c>
      <c r="H155" s="161">
        <f t="shared" si="11"/>
        <v>1.0732019778975554</v>
      </c>
      <c r="I155" s="42">
        <f t="shared" si="12"/>
        <v>-789312.42527858936</v>
      </c>
    </row>
    <row r="156" spans="1:9" x14ac:dyDescent="0.25">
      <c r="A156" s="38">
        <f>Données!A156</f>
        <v>5661</v>
      </c>
      <c r="B156" s="27" t="str">
        <f>Données!B156</f>
        <v>Boulens</v>
      </c>
      <c r="C156" s="31">
        <f>Données!Z156</f>
        <v>383</v>
      </c>
      <c r="D156" s="241">
        <f>Ecrêtage!E156</f>
        <v>28.74354288009641</v>
      </c>
      <c r="E156" s="241">
        <f t="shared" si="9"/>
        <v>19.698190762670496</v>
      </c>
      <c r="F156" s="241">
        <f>+Données!X156</f>
        <v>71.5</v>
      </c>
      <c r="G156" s="382">
        <f t="shared" si="10"/>
        <v>-145644.77833389456</v>
      </c>
      <c r="H156" s="161">
        <f t="shared" si="11"/>
        <v>1.0583991919955202</v>
      </c>
      <c r="I156" s="42">
        <f t="shared" si="12"/>
        <v>-154150.31570696065</v>
      </c>
    </row>
    <row r="157" spans="1:9" x14ac:dyDescent="0.25">
      <c r="A157" s="38">
        <f>Données!A157</f>
        <v>5663</v>
      </c>
      <c r="B157" s="27" t="str">
        <f>Données!B157</f>
        <v>Bussy-sur-Moudon</v>
      </c>
      <c r="C157" s="31">
        <f>Données!Z157</f>
        <v>246</v>
      </c>
      <c r="D157" s="241">
        <f>Ecrêtage!E157</f>
        <v>26.263276888819846</v>
      </c>
      <c r="E157" s="241">
        <f t="shared" si="9"/>
        <v>22.17845675394706</v>
      </c>
      <c r="F157" s="241">
        <f>+Données!X157</f>
        <v>78.5</v>
      </c>
      <c r="G157" s="382">
        <f t="shared" si="10"/>
        <v>-115637.80816137734</v>
      </c>
      <c r="H157" s="161">
        <f t="shared" si="11"/>
        <v>1.1620186933097669</v>
      </c>
      <c r="I157" s="42">
        <f t="shared" si="12"/>
        <v>-134373.29473688919</v>
      </c>
    </row>
    <row r="158" spans="1:9" x14ac:dyDescent="0.25">
      <c r="A158" s="38">
        <f>Données!A158</f>
        <v>5665</v>
      </c>
      <c r="B158" s="27" t="str">
        <f>Données!B158</f>
        <v>Chavannes-sur-Moudon</v>
      </c>
      <c r="C158" s="31">
        <f>Données!Z158</f>
        <v>218</v>
      </c>
      <c r="D158" s="241">
        <f>Ecrêtage!E158</f>
        <v>26.543857142857149</v>
      </c>
      <c r="E158" s="241">
        <f t="shared" si="9"/>
        <v>21.897876499909756</v>
      </c>
      <c r="F158" s="241">
        <f>+Données!X158</f>
        <v>70</v>
      </c>
      <c r="G158" s="382">
        <f t="shared" si="10"/>
        <v>-90223.630754928177</v>
      </c>
      <c r="H158" s="161">
        <f t="shared" si="11"/>
        <v>1.0361950131424673</v>
      </c>
      <c r="I158" s="42">
        <f t="shared" si="12"/>
        <v>-93489.276255863922</v>
      </c>
    </row>
    <row r="159" spans="1:9" x14ac:dyDescent="0.25">
      <c r="A159" s="38">
        <f>Données!A159</f>
        <v>5669</v>
      </c>
      <c r="B159" s="27" t="str">
        <f>Données!B159</f>
        <v>Curtilles</v>
      </c>
      <c r="C159" s="31">
        <f>Données!Z159</f>
        <v>294</v>
      </c>
      <c r="D159" s="241">
        <f>Ecrêtage!E159</f>
        <v>28.666761718385974</v>
      </c>
      <c r="E159" s="241">
        <f t="shared" si="9"/>
        <v>19.774971924380932</v>
      </c>
      <c r="F159" s="241">
        <f>+Données!X159</f>
        <v>73</v>
      </c>
      <c r="G159" s="382">
        <f t="shared" si="10"/>
        <v>-114590.82080908718</v>
      </c>
      <c r="H159" s="161">
        <f t="shared" si="11"/>
        <v>1.0806033708485732</v>
      </c>
      <c r="I159" s="42">
        <f t="shared" si="12"/>
        <v>-123827.22723460442</v>
      </c>
    </row>
    <row r="160" spans="1:9" x14ac:dyDescent="0.25">
      <c r="A160" s="38">
        <f>Données!A160</f>
        <v>5671</v>
      </c>
      <c r="B160" s="27" t="str">
        <f>Données!B160</f>
        <v>Dompierre</v>
      </c>
      <c r="C160" s="31">
        <f>Données!Z160</f>
        <v>248</v>
      </c>
      <c r="D160" s="241">
        <f>Ecrêtage!E160</f>
        <v>27.223289909015715</v>
      </c>
      <c r="E160" s="241">
        <f t="shared" si="9"/>
        <v>21.21844373375119</v>
      </c>
      <c r="F160" s="241">
        <f>+Données!X160</f>
        <v>78</v>
      </c>
      <c r="G160" s="382">
        <f t="shared" si="10"/>
        <v>-110821.38540813442</v>
      </c>
      <c r="H160" s="161">
        <f t="shared" si="11"/>
        <v>1.1546173003587494</v>
      </c>
      <c r="I160" s="42">
        <f t="shared" si="12"/>
        <v>-127956.28884195667</v>
      </c>
    </row>
    <row r="161" spans="1:9" x14ac:dyDescent="0.25">
      <c r="A161" s="38">
        <f>Données!A161</f>
        <v>5673</v>
      </c>
      <c r="B161" s="27" t="str">
        <f>Données!B161</f>
        <v>Hermenches</v>
      </c>
      <c r="C161" s="31">
        <f>Données!Z161</f>
        <v>374</v>
      </c>
      <c r="D161" s="241">
        <f>Ecrêtage!E161</f>
        <v>25.869003965222447</v>
      </c>
      <c r="E161" s="241">
        <f t="shared" si="9"/>
        <v>22.572729677544459</v>
      </c>
      <c r="F161" s="241">
        <f>+Données!X161</f>
        <v>73.5</v>
      </c>
      <c r="G161" s="382">
        <f t="shared" si="10"/>
        <v>-167535.47684862532</v>
      </c>
      <c r="H161" s="161">
        <f t="shared" si="11"/>
        <v>1.0880047637995907</v>
      </c>
      <c r="I161" s="42">
        <f t="shared" si="12"/>
        <v>-182279.39691674037</v>
      </c>
    </row>
    <row r="162" spans="1:9" x14ac:dyDescent="0.25">
      <c r="A162" s="38">
        <f>Données!A162</f>
        <v>5674</v>
      </c>
      <c r="B162" s="27" t="str">
        <f>Données!B162</f>
        <v>Lovatens</v>
      </c>
      <c r="C162" s="31">
        <f>Données!Z162</f>
        <v>143</v>
      </c>
      <c r="D162" s="241">
        <f>Ecrêtage!E162</f>
        <v>24.747876923076923</v>
      </c>
      <c r="E162" s="241">
        <f t="shared" si="9"/>
        <v>23.693856719689983</v>
      </c>
      <c r="F162" s="241">
        <f>+Données!X162</f>
        <v>75</v>
      </c>
      <c r="G162" s="382">
        <f t="shared" si="10"/>
        <v>-68611.485596042272</v>
      </c>
      <c r="H162" s="161">
        <f t="shared" si="11"/>
        <v>1.1102089426526436</v>
      </c>
      <c r="I162" s="42">
        <f t="shared" si="12"/>
        <v>-76173.084877409172</v>
      </c>
    </row>
    <row r="163" spans="1:9" x14ac:dyDescent="0.25">
      <c r="A163" s="38">
        <f>Données!A163</f>
        <v>5675</v>
      </c>
      <c r="B163" s="27" t="str">
        <f>Données!B163</f>
        <v>Lucens</v>
      </c>
      <c r="C163" s="31">
        <f>Données!Z163</f>
        <v>4429</v>
      </c>
      <c r="D163" s="241">
        <f>Ecrêtage!E163</f>
        <v>20.953673155155961</v>
      </c>
      <c r="E163" s="241">
        <f t="shared" si="9"/>
        <v>27.488060487610944</v>
      </c>
      <c r="F163" s="241">
        <f>+Données!X163</f>
        <v>69.5</v>
      </c>
      <c r="G163" s="382">
        <f t="shared" si="10"/>
        <v>-2284537.7924165362</v>
      </c>
      <c r="H163" s="161">
        <f t="shared" si="11"/>
        <v>1.0287936201914498</v>
      </c>
      <c r="I163" s="42">
        <f t="shared" si="12"/>
        <v>-2350317.905924391</v>
      </c>
    </row>
    <row r="164" spans="1:9" x14ac:dyDescent="0.25">
      <c r="A164" s="38">
        <f>Données!A164</f>
        <v>5678</v>
      </c>
      <c r="B164" s="27" t="str">
        <f>Données!B164</f>
        <v>Moudon</v>
      </c>
      <c r="C164" s="31">
        <f>Données!Z164</f>
        <v>6136</v>
      </c>
      <c r="D164" s="241">
        <f>Ecrêtage!E164</f>
        <v>21.296568066357953</v>
      </c>
      <c r="E164" s="241">
        <f t="shared" si="9"/>
        <v>27.145165576408953</v>
      </c>
      <c r="F164" s="241">
        <f>+Données!X164</f>
        <v>72.5</v>
      </c>
      <c r="G164" s="382">
        <f t="shared" si="10"/>
        <v>-3260465.5567467478</v>
      </c>
      <c r="H164" s="161">
        <f t="shared" si="11"/>
        <v>1.0732019778975554</v>
      </c>
      <c r="I164" s="42">
        <f t="shared" si="12"/>
        <v>-3499138.0843674638</v>
      </c>
    </row>
    <row r="165" spans="1:9" x14ac:dyDescent="0.25">
      <c r="A165" s="38">
        <f>Données!A165</f>
        <v>5680</v>
      </c>
      <c r="B165" s="27" t="str">
        <f>Données!B165</f>
        <v>Ogens</v>
      </c>
      <c r="C165" s="31">
        <f>Données!Z165</f>
        <v>324</v>
      </c>
      <c r="D165" s="241">
        <f>Ecrêtage!E165</f>
        <v>31.137694022369953</v>
      </c>
      <c r="E165" s="241">
        <f t="shared" si="9"/>
        <v>17.304039620396953</v>
      </c>
      <c r="F165" s="241">
        <f>+Données!X165</f>
        <v>78</v>
      </c>
      <c r="G165" s="382">
        <f t="shared" si="10"/>
        <v>-118073.07610740139</v>
      </c>
      <c r="H165" s="161">
        <f t="shared" si="11"/>
        <v>1.1546173003587494</v>
      </c>
      <c r="I165" s="42">
        <f t="shared" si="12"/>
        <v>-136329.21638018094</v>
      </c>
    </row>
    <row r="166" spans="1:9" x14ac:dyDescent="0.25">
      <c r="A166" s="38">
        <f>Données!A166</f>
        <v>5683</v>
      </c>
      <c r="B166" s="27" t="str">
        <f>Données!B166</f>
        <v>Prévonloup</v>
      </c>
      <c r="C166" s="31">
        <f>Données!Z166</f>
        <v>220</v>
      </c>
      <c r="D166" s="241">
        <f>Ecrêtage!E166</f>
        <v>23.552677742946713</v>
      </c>
      <c r="E166" s="241">
        <f t="shared" si="9"/>
        <v>24.889055899820193</v>
      </c>
      <c r="F166" s="241">
        <f>+Données!X166</f>
        <v>72.5</v>
      </c>
      <c r="G166" s="382">
        <f t="shared" si="10"/>
        <v>-107184.71923257566</v>
      </c>
      <c r="H166" s="161">
        <f t="shared" si="11"/>
        <v>1.0732019778975554</v>
      </c>
      <c r="I166" s="42">
        <f t="shared" si="12"/>
        <v>-115030.85268079436</v>
      </c>
    </row>
    <row r="167" spans="1:9" x14ac:dyDescent="0.25">
      <c r="A167" s="38">
        <f>Données!A167</f>
        <v>5684</v>
      </c>
      <c r="B167" s="27" t="str">
        <f>Données!B167</f>
        <v>Rossenges</v>
      </c>
      <c r="C167" s="31">
        <f>Données!Z167</f>
        <v>93</v>
      </c>
      <c r="D167" s="241">
        <f>Ecrêtage!E167</f>
        <v>75.627034408602157</v>
      </c>
      <c r="E167" s="241">
        <f t="shared" si="9"/>
        <v>0</v>
      </c>
      <c r="F167" s="241">
        <f>+Données!X167</f>
        <v>75</v>
      </c>
      <c r="G167" s="382">
        <f t="shared" si="10"/>
        <v>0</v>
      </c>
      <c r="H167" s="161">
        <f t="shared" si="11"/>
        <v>1.1102089426526436</v>
      </c>
      <c r="I167" s="42">
        <f t="shared" si="12"/>
        <v>0</v>
      </c>
    </row>
    <row r="168" spans="1:9" x14ac:dyDescent="0.25">
      <c r="A168" s="38">
        <f>Données!A168</f>
        <v>5688</v>
      </c>
      <c r="B168" s="27" t="str">
        <f>Données!B168</f>
        <v>Syens</v>
      </c>
      <c r="C168" s="31">
        <f>Données!Z168</f>
        <v>164</v>
      </c>
      <c r="D168" s="241">
        <f>Ecrêtage!E168</f>
        <v>32.176893058161355</v>
      </c>
      <c r="E168" s="241">
        <f t="shared" si="9"/>
        <v>16.264840584605551</v>
      </c>
      <c r="F168" s="241">
        <f>+Données!X168</f>
        <v>65</v>
      </c>
      <c r="G168" s="382">
        <f t="shared" si="10"/>
        <v>-46813.464170611696</v>
      </c>
      <c r="H168" s="161">
        <f t="shared" si="11"/>
        <v>0.96218108363229116</v>
      </c>
      <c r="I168" s="42">
        <f t="shared" si="12"/>
        <v>-45043.029684260597</v>
      </c>
    </row>
    <row r="169" spans="1:9" x14ac:dyDescent="0.25">
      <c r="A169" s="38">
        <f>Données!A169</f>
        <v>5690</v>
      </c>
      <c r="B169" s="27" t="str">
        <f>Données!B169</f>
        <v>Villars-le-Comte</v>
      </c>
      <c r="C169" s="31">
        <f>Données!Z169</f>
        <v>138</v>
      </c>
      <c r="D169" s="241">
        <f>Ecrêtage!E169</f>
        <v>31.386838164251209</v>
      </c>
      <c r="E169" s="241">
        <f t="shared" si="9"/>
        <v>17.054895478515697</v>
      </c>
      <c r="F169" s="241">
        <f>+Données!X169</f>
        <v>70</v>
      </c>
      <c r="G169" s="382">
        <f t="shared" si="10"/>
        <v>-44482.578387064641</v>
      </c>
      <c r="H169" s="161">
        <f t="shared" si="11"/>
        <v>1.0361950131424673</v>
      </c>
      <c r="I169" s="42">
        <f t="shared" si="12"/>
        <v>-46092.625896395279</v>
      </c>
    </row>
    <row r="170" spans="1:9" x14ac:dyDescent="0.25">
      <c r="A170" s="38">
        <f>Données!A170</f>
        <v>5692</v>
      </c>
      <c r="B170" s="27" t="str">
        <f>Données!B170</f>
        <v>Vucherens</v>
      </c>
      <c r="C170" s="31">
        <f>Données!Z170</f>
        <v>638</v>
      </c>
      <c r="D170" s="241">
        <f>Ecrêtage!E170</f>
        <v>29.699530594797057</v>
      </c>
      <c r="E170" s="241">
        <f t="shared" si="9"/>
        <v>18.742203047969848</v>
      </c>
      <c r="F170" s="241">
        <f>+Données!X170</f>
        <v>77</v>
      </c>
      <c r="G170" s="382">
        <f t="shared" si="10"/>
        <v>-248596.95607233304</v>
      </c>
      <c r="H170" s="161">
        <f t="shared" si="11"/>
        <v>1.139814514456714</v>
      </c>
      <c r="I170" s="42">
        <f t="shared" si="12"/>
        <v>-283354.41878100333</v>
      </c>
    </row>
    <row r="171" spans="1:9" x14ac:dyDescent="0.25">
      <c r="A171" s="38">
        <f>Données!A171</f>
        <v>5693</v>
      </c>
      <c r="B171" s="27" t="str">
        <f>Données!B171</f>
        <v>Montanaire</v>
      </c>
      <c r="C171" s="31">
        <f>Données!Z171</f>
        <v>2820</v>
      </c>
      <c r="D171" s="241">
        <f>Ecrêtage!E171</f>
        <v>28.396469858156024</v>
      </c>
      <c r="E171" s="241">
        <f t="shared" si="9"/>
        <v>20.045263784610881</v>
      </c>
      <c r="F171" s="241">
        <f>+Données!X171</f>
        <v>70</v>
      </c>
      <c r="G171" s="382">
        <f t="shared" si="10"/>
        <v>-1068372.4691921908</v>
      </c>
      <c r="H171" s="161">
        <f t="shared" si="11"/>
        <v>1.0361950131424673</v>
      </c>
      <c r="I171" s="42">
        <f t="shared" si="12"/>
        <v>-1107042.2247556525</v>
      </c>
    </row>
    <row r="172" spans="1:9" x14ac:dyDescent="0.25">
      <c r="A172" s="38">
        <f>Données!A172</f>
        <v>5701</v>
      </c>
      <c r="B172" s="27" t="str">
        <f>Données!B172</f>
        <v>Arnex-sur-Nyon</v>
      </c>
      <c r="C172" s="31">
        <f>Données!Z172</f>
        <v>240</v>
      </c>
      <c r="D172" s="241">
        <f>Ecrêtage!E172</f>
        <v>54.153442857142856</v>
      </c>
      <c r="E172" s="241">
        <f t="shared" si="9"/>
        <v>0</v>
      </c>
      <c r="F172" s="241">
        <f>+Données!X172</f>
        <v>70</v>
      </c>
      <c r="G172" s="382">
        <f t="shared" si="10"/>
        <v>0</v>
      </c>
      <c r="H172" s="161">
        <f t="shared" si="11"/>
        <v>1.0361950131424673</v>
      </c>
      <c r="I172" s="42">
        <f t="shared" si="12"/>
        <v>0</v>
      </c>
    </row>
    <row r="173" spans="1:9" x14ac:dyDescent="0.25">
      <c r="A173" s="38">
        <f>Données!A173</f>
        <v>5702</v>
      </c>
      <c r="B173" s="27" t="str">
        <f>Données!B173</f>
        <v>Arzier-Le Muids</v>
      </c>
      <c r="C173" s="31">
        <f>Données!Z173</f>
        <v>2955</v>
      </c>
      <c r="D173" s="241">
        <f>Ecrêtage!E173</f>
        <v>63.615720917935704</v>
      </c>
      <c r="E173" s="241">
        <f t="shared" si="9"/>
        <v>0</v>
      </c>
      <c r="F173" s="241">
        <f>+Données!X173</f>
        <v>64</v>
      </c>
      <c r="G173" s="382">
        <f t="shared" si="10"/>
        <v>0</v>
      </c>
      <c r="H173" s="161">
        <f t="shared" si="11"/>
        <v>0.94737829773025584</v>
      </c>
      <c r="I173" s="42">
        <f t="shared" si="12"/>
        <v>0</v>
      </c>
    </row>
    <row r="174" spans="1:9" x14ac:dyDescent="0.25">
      <c r="A174" s="38">
        <f>Données!A174</f>
        <v>5703</v>
      </c>
      <c r="B174" s="27" t="str">
        <f>Données!B174</f>
        <v>Bassins</v>
      </c>
      <c r="C174" s="31">
        <f>Données!Z174</f>
        <v>1478</v>
      </c>
      <c r="D174" s="241">
        <f>Ecrêtage!E174</f>
        <v>44.27689240552737</v>
      </c>
      <c r="E174" s="241">
        <f t="shared" si="9"/>
        <v>4.1648412372395356</v>
      </c>
      <c r="F174" s="241">
        <f>+Données!X174</f>
        <v>72.5</v>
      </c>
      <c r="G174" s="382">
        <f t="shared" si="10"/>
        <v>-120496.56194962867</v>
      </c>
      <c r="H174" s="161">
        <f t="shared" si="11"/>
        <v>1.0732019778975554</v>
      </c>
      <c r="I174" s="42">
        <f t="shared" si="12"/>
        <v>-129317.14861419681</v>
      </c>
    </row>
    <row r="175" spans="1:9" x14ac:dyDescent="0.25">
      <c r="A175" s="38">
        <f>Données!A175</f>
        <v>5704</v>
      </c>
      <c r="B175" s="27" t="str">
        <f>Données!B175</f>
        <v>Begnins</v>
      </c>
      <c r="C175" s="31">
        <f>Données!Z175</f>
        <v>1939</v>
      </c>
      <c r="D175" s="241">
        <f>Ecrêtage!E175</f>
        <v>66.905640460718573</v>
      </c>
      <c r="E175" s="241">
        <f t="shared" si="9"/>
        <v>0</v>
      </c>
      <c r="F175" s="241">
        <f>+Données!X175</f>
        <v>62.5</v>
      </c>
      <c r="G175" s="382">
        <f t="shared" si="10"/>
        <v>0</v>
      </c>
      <c r="H175" s="161">
        <f t="shared" si="11"/>
        <v>0.92517411887720302</v>
      </c>
      <c r="I175" s="42">
        <f t="shared" si="12"/>
        <v>0</v>
      </c>
    </row>
    <row r="176" spans="1:9" x14ac:dyDescent="0.25">
      <c r="A176" s="38">
        <f>Données!A176</f>
        <v>5705</v>
      </c>
      <c r="B176" s="27" t="str">
        <f>Données!B176</f>
        <v>Bogis-Bossey</v>
      </c>
      <c r="C176" s="31">
        <f>Données!Z176</f>
        <v>923</v>
      </c>
      <c r="D176" s="241">
        <f>Ecrêtage!E176</f>
        <v>55.302351247391414</v>
      </c>
      <c r="E176" s="241">
        <f t="shared" si="9"/>
        <v>0</v>
      </c>
      <c r="F176" s="241">
        <f>+Données!X176</f>
        <v>74.5</v>
      </c>
      <c r="G176" s="382">
        <f t="shared" si="10"/>
        <v>0</v>
      </c>
      <c r="H176" s="161">
        <f t="shared" si="11"/>
        <v>1.1028075497016259</v>
      </c>
      <c r="I176" s="42">
        <f t="shared" si="12"/>
        <v>0</v>
      </c>
    </row>
    <row r="177" spans="1:9" x14ac:dyDescent="0.25">
      <c r="A177" s="38">
        <f>Données!A177</f>
        <v>5706</v>
      </c>
      <c r="B177" s="27" t="str">
        <f>Données!B177</f>
        <v>Borex</v>
      </c>
      <c r="C177" s="31">
        <f>Données!Z177</f>
        <v>1131</v>
      </c>
      <c r="D177" s="241">
        <f>Ecrêtage!E177</f>
        <v>138.68963717871159</v>
      </c>
      <c r="E177" s="241">
        <f t="shared" si="9"/>
        <v>0</v>
      </c>
      <c r="F177" s="241">
        <f>+Données!X177</f>
        <v>57</v>
      </c>
      <c r="G177" s="382">
        <f t="shared" si="10"/>
        <v>0</v>
      </c>
      <c r="H177" s="161">
        <f t="shared" si="11"/>
        <v>0.84375879641600915</v>
      </c>
      <c r="I177" s="42">
        <f t="shared" si="12"/>
        <v>0</v>
      </c>
    </row>
    <row r="178" spans="1:9" x14ac:dyDescent="0.25">
      <c r="A178" s="38">
        <f>Données!A178</f>
        <v>5707</v>
      </c>
      <c r="B178" s="27" t="str">
        <f>Données!B178</f>
        <v>Chavannes-de-Bogis</v>
      </c>
      <c r="C178" s="31">
        <f>Données!Z178</f>
        <v>1314</v>
      </c>
      <c r="D178" s="241">
        <f>Ecrêtage!E178</f>
        <v>66.061032820728144</v>
      </c>
      <c r="E178" s="241">
        <f t="shared" si="9"/>
        <v>0</v>
      </c>
      <c r="F178" s="241">
        <f>+Données!X178</f>
        <v>58</v>
      </c>
      <c r="G178" s="382">
        <f t="shared" si="10"/>
        <v>0</v>
      </c>
      <c r="H178" s="161">
        <f t="shared" si="11"/>
        <v>0.85856158231804436</v>
      </c>
      <c r="I178" s="42">
        <f t="shared" si="12"/>
        <v>0</v>
      </c>
    </row>
    <row r="179" spans="1:9" x14ac:dyDescent="0.25">
      <c r="A179" s="38">
        <f>Données!A179</f>
        <v>5708</v>
      </c>
      <c r="B179" s="27" t="str">
        <f>Données!B179</f>
        <v>Chavannes-des-Bois</v>
      </c>
      <c r="C179" s="31">
        <f>Données!Z179</f>
        <v>1020</v>
      </c>
      <c r="D179" s="241">
        <f>Ecrêtage!E179</f>
        <v>67.457609429065727</v>
      </c>
      <c r="E179" s="241">
        <f t="shared" si="9"/>
        <v>0</v>
      </c>
      <c r="F179" s="241">
        <f>+Données!X179</f>
        <v>68</v>
      </c>
      <c r="G179" s="382">
        <f t="shared" si="10"/>
        <v>0</v>
      </c>
      <c r="H179" s="161">
        <f t="shared" si="11"/>
        <v>1.0065894413383969</v>
      </c>
      <c r="I179" s="42">
        <f t="shared" si="12"/>
        <v>0</v>
      </c>
    </row>
    <row r="180" spans="1:9" x14ac:dyDescent="0.25">
      <c r="A180" s="38">
        <f>Données!A180</f>
        <v>5709</v>
      </c>
      <c r="B180" s="27" t="str">
        <f>Données!B180</f>
        <v>Chéserex</v>
      </c>
      <c r="C180" s="31">
        <f>Données!Z180</f>
        <v>1251</v>
      </c>
      <c r="D180" s="241">
        <f>Ecrêtage!E180</f>
        <v>72.728724949864699</v>
      </c>
      <c r="E180" s="241">
        <f t="shared" si="9"/>
        <v>0</v>
      </c>
      <c r="F180" s="241">
        <f>+Données!X180</f>
        <v>57</v>
      </c>
      <c r="G180" s="382">
        <f t="shared" si="10"/>
        <v>0</v>
      </c>
      <c r="H180" s="161">
        <f t="shared" si="11"/>
        <v>0.84375879641600915</v>
      </c>
      <c r="I180" s="42">
        <f t="shared" si="12"/>
        <v>0</v>
      </c>
    </row>
    <row r="181" spans="1:9" x14ac:dyDescent="0.25">
      <c r="A181" s="38">
        <f>Données!A181</f>
        <v>5710</v>
      </c>
      <c r="B181" s="27" t="str">
        <f>Données!B181</f>
        <v>Coinsins</v>
      </c>
      <c r="C181" s="31">
        <f>Données!Z181</f>
        <v>499</v>
      </c>
      <c r="D181" s="241">
        <f>Ecrêtage!E181</f>
        <v>67.233760462100662</v>
      </c>
      <c r="E181" s="241">
        <f t="shared" si="9"/>
        <v>0</v>
      </c>
      <c r="F181" s="241">
        <f>+Données!X181</f>
        <v>51</v>
      </c>
      <c r="G181" s="382">
        <f t="shared" si="10"/>
        <v>0</v>
      </c>
      <c r="H181" s="161">
        <f t="shared" si="11"/>
        <v>0.75494208100379767</v>
      </c>
      <c r="I181" s="42">
        <f t="shared" si="12"/>
        <v>0</v>
      </c>
    </row>
    <row r="182" spans="1:9" x14ac:dyDescent="0.25">
      <c r="A182" s="38">
        <f>Données!A182</f>
        <v>5711</v>
      </c>
      <c r="B182" s="27" t="str">
        <f>Données!B182</f>
        <v>Commugny</v>
      </c>
      <c r="C182" s="31">
        <f>Données!Z182</f>
        <v>2989</v>
      </c>
      <c r="D182" s="241">
        <f>Ecrêtage!E182</f>
        <v>102.19507982711237</v>
      </c>
      <c r="E182" s="241">
        <f t="shared" si="9"/>
        <v>0</v>
      </c>
      <c r="F182" s="241">
        <f>+Données!X182</f>
        <v>57</v>
      </c>
      <c r="G182" s="382">
        <f t="shared" si="10"/>
        <v>0</v>
      </c>
      <c r="H182" s="161">
        <f t="shared" si="11"/>
        <v>0.84375879641600915</v>
      </c>
      <c r="I182" s="42">
        <f t="shared" si="12"/>
        <v>0</v>
      </c>
    </row>
    <row r="183" spans="1:9" x14ac:dyDescent="0.25">
      <c r="A183" s="38">
        <f>Données!A183</f>
        <v>5712</v>
      </c>
      <c r="B183" s="27" t="str">
        <f>Données!B183</f>
        <v>Coppet</v>
      </c>
      <c r="C183" s="31">
        <f>Données!Z183</f>
        <v>3184</v>
      </c>
      <c r="D183" s="241">
        <f>Ecrêtage!E183</f>
        <v>132.78347606744416</v>
      </c>
      <c r="E183" s="241">
        <f t="shared" si="9"/>
        <v>0</v>
      </c>
      <c r="F183" s="241">
        <f>+Données!X183</f>
        <v>53</v>
      </c>
      <c r="G183" s="382">
        <f t="shared" si="10"/>
        <v>0</v>
      </c>
      <c r="H183" s="161">
        <f t="shared" si="11"/>
        <v>0.78454765280786809</v>
      </c>
      <c r="I183" s="42">
        <f t="shared" si="12"/>
        <v>0</v>
      </c>
    </row>
    <row r="184" spans="1:9" x14ac:dyDescent="0.25">
      <c r="A184" s="38">
        <f>Données!A184</f>
        <v>5713</v>
      </c>
      <c r="B184" s="27" t="str">
        <f>Données!B184</f>
        <v>Crans</v>
      </c>
      <c r="C184" s="31">
        <f>Données!Z184</f>
        <v>2360</v>
      </c>
      <c r="D184" s="241">
        <f>Ecrêtage!E184</f>
        <v>120.45303964378054</v>
      </c>
      <c r="E184" s="241">
        <f t="shared" si="9"/>
        <v>0</v>
      </c>
      <c r="F184" s="241">
        <f>+Données!X184</f>
        <v>59</v>
      </c>
      <c r="G184" s="382">
        <f t="shared" si="10"/>
        <v>0</v>
      </c>
      <c r="H184" s="161">
        <f t="shared" si="11"/>
        <v>0.87336436822007968</v>
      </c>
      <c r="I184" s="42">
        <f t="shared" si="12"/>
        <v>0</v>
      </c>
    </row>
    <row r="185" spans="1:9" x14ac:dyDescent="0.25">
      <c r="A185" s="38">
        <f>Données!A185</f>
        <v>5714</v>
      </c>
      <c r="B185" s="27" t="str">
        <f>Données!B185</f>
        <v>Crassier</v>
      </c>
      <c r="C185" s="31">
        <f>Données!Z185</f>
        <v>1234</v>
      </c>
      <c r="D185" s="241">
        <f>Ecrêtage!E185</f>
        <v>50.6682785976286</v>
      </c>
      <c r="E185" s="241">
        <f t="shared" si="9"/>
        <v>0</v>
      </c>
      <c r="F185" s="241">
        <f>+Données!X185</f>
        <v>66.5</v>
      </c>
      <c r="G185" s="382">
        <f t="shared" si="10"/>
        <v>0</v>
      </c>
      <c r="H185" s="161">
        <f t="shared" si="11"/>
        <v>0.98438526248534397</v>
      </c>
      <c r="I185" s="42">
        <f t="shared" si="12"/>
        <v>0</v>
      </c>
    </row>
    <row r="186" spans="1:9" x14ac:dyDescent="0.25">
      <c r="A186" s="38">
        <f>Données!A186</f>
        <v>5715</v>
      </c>
      <c r="B186" s="27" t="str">
        <f>Données!B186</f>
        <v>Duillier</v>
      </c>
      <c r="C186" s="31">
        <f>Données!Z186</f>
        <v>1116</v>
      </c>
      <c r="D186" s="241">
        <f>Ecrêtage!E186</f>
        <v>54.256374361898558</v>
      </c>
      <c r="E186" s="241">
        <f t="shared" si="9"/>
        <v>0</v>
      </c>
      <c r="F186" s="241">
        <f>+Données!X186</f>
        <v>66</v>
      </c>
      <c r="G186" s="382">
        <f t="shared" si="10"/>
        <v>0</v>
      </c>
      <c r="H186" s="161">
        <f t="shared" si="11"/>
        <v>0.97698386953432637</v>
      </c>
      <c r="I186" s="42">
        <f t="shared" si="12"/>
        <v>0</v>
      </c>
    </row>
    <row r="187" spans="1:9" x14ac:dyDescent="0.25">
      <c r="A187" s="38">
        <f>Données!A187</f>
        <v>5716</v>
      </c>
      <c r="B187" s="27" t="str">
        <f>Données!B187</f>
        <v>Eysins</v>
      </c>
      <c r="C187" s="31">
        <f>Données!Z187</f>
        <v>1767</v>
      </c>
      <c r="D187" s="241">
        <f>Ecrêtage!E187</f>
        <v>131.61952252547877</v>
      </c>
      <c r="E187" s="241">
        <f t="shared" si="9"/>
        <v>0</v>
      </c>
      <c r="F187" s="241">
        <f>+Données!X187</f>
        <v>59.5</v>
      </c>
      <c r="G187" s="382">
        <f t="shared" si="10"/>
        <v>0</v>
      </c>
      <c r="H187" s="161">
        <f t="shared" si="11"/>
        <v>0.88076576117109728</v>
      </c>
      <c r="I187" s="42">
        <f t="shared" si="12"/>
        <v>0</v>
      </c>
    </row>
    <row r="188" spans="1:9" x14ac:dyDescent="0.25">
      <c r="A188" s="38">
        <f>Données!A188</f>
        <v>5717</v>
      </c>
      <c r="B188" s="27" t="str">
        <f>Données!B188</f>
        <v>Founex</v>
      </c>
      <c r="C188" s="31">
        <f>Données!Z188</f>
        <v>3766</v>
      </c>
      <c r="D188" s="241">
        <f>Ecrêtage!E188</f>
        <v>96.012472351883417</v>
      </c>
      <c r="E188" s="241">
        <f t="shared" si="9"/>
        <v>0</v>
      </c>
      <c r="F188" s="241">
        <f>+Données!X188</f>
        <v>57</v>
      </c>
      <c r="G188" s="382">
        <f t="shared" si="10"/>
        <v>0</v>
      </c>
      <c r="H188" s="161">
        <f t="shared" si="11"/>
        <v>0.84375879641600915</v>
      </c>
      <c r="I188" s="42">
        <f t="shared" si="12"/>
        <v>0</v>
      </c>
    </row>
    <row r="189" spans="1:9" x14ac:dyDescent="0.25">
      <c r="A189" s="38">
        <f>Données!A189</f>
        <v>5718</v>
      </c>
      <c r="B189" s="27" t="str">
        <f>Données!B189</f>
        <v>Genolier</v>
      </c>
      <c r="C189" s="31">
        <f>Données!Z189</f>
        <v>2027</v>
      </c>
      <c r="D189" s="241">
        <f>Ecrêtage!E189</f>
        <v>104.93301753599137</v>
      </c>
      <c r="E189" s="241">
        <f t="shared" si="9"/>
        <v>0</v>
      </c>
      <c r="F189" s="241">
        <f>+Données!X189</f>
        <v>55</v>
      </c>
      <c r="G189" s="382">
        <f t="shared" si="10"/>
        <v>0</v>
      </c>
      <c r="H189" s="161">
        <f t="shared" si="11"/>
        <v>0.81415322461193862</v>
      </c>
      <c r="I189" s="42">
        <f t="shared" si="12"/>
        <v>0</v>
      </c>
    </row>
    <row r="190" spans="1:9" x14ac:dyDescent="0.25">
      <c r="A190" s="38">
        <f>Données!A190</f>
        <v>5719</v>
      </c>
      <c r="B190" s="27" t="str">
        <f>Données!B190</f>
        <v>Gingins</v>
      </c>
      <c r="C190" s="31">
        <f>Données!Z190</f>
        <v>1271</v>
      </c>
      <c r="D190" s="241">
        <f>Ecrêtage!E190</f>
        <v>94.369236122038629</v>
      </c>
      <c r="E190" s="241">
        <f t="shared" si="9"/>
        <v>0</v>
      </c>
      <c r="F190" s="241">
        <f>+Données!X190</f>
        <v>60</v>
      </c>
      <c r="G190" s="382">
        <f t="shared" si="10"/>
        <v>0</v>
      </c>
      <c r="H190" s="161">
        <f t="shared" si="11"/>
        <v>0.88816715412211489</v>
      </c>
      <c r="I190" s="42">
        <f t="shared" si="12"/>
        <v>0</v>
      </c>
    </row>
    <row r="191" spans="1:9" x14ac:dyDescent="0.25">
      <c r="A191" s="38">
        <f>Données!A191</f>
        <v>5720</v>
      </c>
      <c r="B191" s="27" t="str">
        <f>Données!B191</f>
        <v>Givrins</v>
      </c>
      <c r="C191" s="31">
        <f>Données!Z191</f>
        <v>1026</v>
      </c>
      <c r="D191" s="241">
        <f>Ecrêtage!E191</f>
        <v>82.717770116280192</v>
      </c>
      <c r="E191" s="241">
        <f t="shared" si="9"/>
        <v>0</v>
      </c>
      <c r="F191" s="241">
        <f>+Données!X191</f>
        <v>67</v>
      </c>
      <c r="G191" s="382">
        <f t="shared" si="10"/>
        <v>0</v>
      </c>
      <c r="H191" s="161">
        <f t="shared" si="11"/>
        <v>0.99178665543636157</v>
      </c>
      <c r="I191" s="42">
        <f t="shared" si="12"/>
        <v>0</v>
      </c>
    </row>
    <row r="192" spans="1:9" x14ac:dyDescent="0.25">
      <c r="A192" s="38">
        <f>Données!A192</f>
        <v>5721</v>
      </c>
      <c r="B192" s="27" t="str">
        <f>Données!B192</f>
        <v>Gland</v>
      </c>
      <c r="C192" s="31">
        <f>Données!Z192</f>
        <v>13698</v>
      </c>
      <c r="D192" s="241">
        <f>Ecrêtage!E192</f>
        <v>50.29824097810139</v>
      </c>
      <c r="E192" s="241">
        <f t="shared" si="9"/>
        <v>0</v>
      </c>
      <c r="F192" s="241">
        <f>+Données!X192</f>
        <v>61</v>
      </c>
      <c r="G192" s="382">
        <f t="shared" si="10"/>
        <v>0</v>
      </c>
      <c r="H192" s="161">
        <f t="shared" si="11"/>
        <v>0.9029699400241501</v>
      </c>
      <c r="I192" s="42">
        <f t="shared" si="12"/>
        <v>0</v>
      </c>
    </row>
    <row r="193" spans="1:9" x14ac:dyDescent="0.25">
      <c r="A193" s="38">
        <f>Données!A193</f>
        <v>5722</v>
      </c>
      <c r="B193" s="27" t="str">
        <f>Données!B193</f>
        <v>Grens</v>
      </c>
      <c r="C193" s="31">
        <f>Données!Z193</f>
        <v>400</v>
      </c>
      <c r="D193" s="241">
        <f>Ecrêtage!E193</f>
        <v>52.281808064516134</v>
      </c>
      <c r="E193" s="241">
        <f t="shared" si="9"/>
        <v>0</v>
      </c>
      <c r="F193" s="241">
        <f>+Données!X193</f>
        <v>62</v>
      </c>
      <c r="G193" s="382">
        <f t="shared" si="10"/>
        <v>0</v>
      </c>
      <c r="H193" s="161">
        <f t="shared" si="11"/>
        <v>0.91777272592618542</v>
      </c>
      <c r="I193" s="42">
        <f t="shared" si="12"/>
        <v>0</v>
      </c>
    </row>
    <row r="194" spans="1:9" x14ac:dyDescent="0.25">
      <c r="A194" s="38">
        <f>Données!A194</f>
        <v>5723</v>
      </c>
      <c r="B194" s="27" t="str">
        <f>Données!B194</f>
        <v>Mies</v>
      </c>
      <c r="C194" s="31">
        <f>Données!Z194</f>
        <v>2226</v>
      </c>
      <c r="D194" s="241">
        <f>Ecrêtage!E194</f>
        <v>114.00323147764186</v>
      </c>
      <c r="E194" s="241">
        <f t="shared" si="9"/>
        <v>0</v>
      </c>
      <c r="F194" s="241">
        <f>+Données!X194</f>
        <v>52</v>
      </c>
      <c r="G194" s="382">
        <f t="shared" si="10"/>
        <v>0</v>
      </c>
      <c r="H194" s="161">
        <f t="shared" si="11"/>
        <v>0.76974486690583288</v>
      </c>
      <c r="I194" s="42">
        <f t="shared" si="12"/>
        <v>0</v>
      </c>
    </row>
    <row r="195" spans="1:9" x14ac:dyDescent="0.25">
      <c r="A195" s="38">
        <f>Données!A195</f>
        <v>5724</v>
      </c>
      <c r="B195" s="27" t="str">
        <f>Données!B195</f>
        <v>Nyon</v>
      </c>
      <c r="C195" s="31">
        <f>Données!Z195</f>
        <v>22481</v>
      </c>
      <c r="D195" s="241">
        <f>Ecrêtage!E195</f>
        <v>67.619260730919578</v>
      </c>
      <c r="E195" s="241">
        <f t="shared" si="9"/>
        <v>0</v>
      </c>
      <c r="F195" s="241">
        <f>+Données!X195</f>
        <v>61</v>
      </c>
      <c r="G195" s="382">
        <f t="shared" si="10"/>
        <v>0</v>
      </c>
      <c r="H195" s="161">
        <f t="shared" si="11"/>
        <v>0.9029699400241501</v>
      </c>
      <c r="I195" s="42">
        <f t="shared" si="12"/>
        <v>0</v>
      </c>
    </row>
    <row r="196" spans="1:9" x14ac:dyDescent="0.25">
      <c r="A196" s="38">
        <f>Données!A196</f>
        <v>5725</v>
      </c>
      <c r="B196" s="27" t="str">
        <f>Données!B196</f>
        <v>Prangins</v>
      </c>
      <c r="C196" s="31">
        <f>Données!Z196</f>
        <v>4279</v>
      </c>
      <c r="D196" s="241">
        <f>Ecrêtage!E196</f>
        <v>90.899508314541251</v>
      </c>
      <c r="E196" s="241">
        <f t="shared" si="9"/>
        <v>0</v>
      </c>
      <c r="F196" s="241">
        <f>+Données!X196</f>
        <v>55</v>
      </c>
      <c r="G196" s="382">
        <f t="shared" si="10"/>
        <v>0</v>
      </c>
      <c r="H196" s="161">
        <f t="shared" si="11"/>
        <v>0.81415322461193862</v>
      </c>
      <c r="I196" s="42">
        <f t="shared" si="12"/>
        <v>0</v>
      </c>
    </row>
    <row r="197" spans="1:9" x14ac:dyDescent="0.25">
      <c r="A197" s="38">
        <f>Données!A197</f>
        <v>5726</v>
      </c>
      <c r="B197" s="27" t="str">
        <f>Données!B197</f>
        <v>La Rippe</v>
      </c>
      <c r="C197" s="31">
        <f>Données!Z197</f>
        <v>1198</v>
      </c>
      <c r="D197" s="241">
        <f>Ecrêtage!E197</f>
        <v>58.252014294657783</v>
      </c>
      <c r="E197" s="241">
        <f t="shared" si="9"/>
        <v>0</v>
      </c>
      <c r="F197" s="241">
        <f>+Données!X197</f>
        <v>64</v>
      </c>
      <c r="G197" s="382">
        <f t="shared" si="10"/>
        <v>0</v>
      </c>
      <c r="H197" s="161">
        <f t="shared" si="11"/>
        <v>0.94737829773025584</v>
      </c>
      <c r="I197" s="42">
        <f t="shared" si="12"/>
        <v>0</v>
      </c>
    </row>
    <row r="198" spans="1:9" x14ac:dyDescent="0.25">
      <c r="A198" s="38">
        <f>Données!A198</f>
        <v>5727</v>
      </c>
      <c r="B198" s="27" t="str">
        <f>Données!B198</f>
        <v>Saint-Cergue</v>
      </c>
      <c r="C198" s="31">
        <f>Données!Z198</f>
        <v>2788</v>
      </c>
      <c r="D198" s="241">
        <f>Ecrêtage!E198</f>
        <v>38.396041422112084</v>
      </c>
      <c r="E198" s="241">
        <f t="shared" si="9"/>
        <v>10.045692220654821</v>
      </c>
      <c r="F198" s="241">
        <f>+Données!X198</f>
        <v>66</v>
      </c>
      <c r="G198" s="382">
        <f t="shared" si="10"/>
        <v>-499091.6882173281</v>
      </c>
      <c r="H198" s="161">
        <f t="shared" si="11"/>
        <v>0.97698386953432637</v>
      </c>
      <c r="I198" s="42">
        <f t="shared" si="12"/>
        <v>-487604.52880698477</v>
      </c>
    </row>
    <row r="199" spans="1:9" x14ac:dyDescent="0.25">
      <c r="A199" s="38">
        <f>Données!A199</f>
        <v>5728</v>
      </c>
      <c r="B199" s="27" t="str">
        <f>Données!B199</f>
        <v>Signy-Avenex</v>
      </c>
      <c r="C199" s="31">
        <f>Données!Z199</f>
        <v>583</v>
      </c>
      <c r="D199" s="241">
        <f>Ecrêtage!E199</f>
        <v>113.20885106760514</v>
      </c>
      <c r="E199" s="241">
        <f t="shared" ref="E199:E262" si="13">IF($D$306-D199&lt;0,0,$D$306-D199)</f>
        <v>0</v>
      </c>
      <c r="F199" s="241">
        <f>+Données!X199</f>
        <v>58</v>
      </c>
      <c r="G199" s="382">
        <f t="shared" ref="G199:G262" si="14">-((C199*E199*F199)*$E$5)</f>
        <v>0</v>
      </c>
      <c r="H199" s="161">
        <f t="shared" ref="H199:H262" si="15">F199/$F$306</f>
        <v>0.85856158231804436</v>
      </c>
      <c r="I199" s="42">
        <f t="shared" ref="I199:I262" si="16">G199*H199</f>
        <v>0</v>
      </c>
    </row>
    <row r="200" spans="1:9" x14ac:dyDescent="0.25">
      <c r="A200" s="38">
        <f>Données!A200</f>
        <v>5729</v>
      </c>
      <c r="B200" s="27" t="str">
        <f>Données!B200</f>
        <v>Tannay</v>
      </c>
      <c r="C200" s="31">
        <f>Données!Z200</f>
        <v>1724</v>
      </c>
      <c r="D200" s="241">
        <f>Ecrêtage!E200</f>
        <v>109.67857756003401</v>
      </c>
      <c r="E200" s="241">
        <f t="shared" si="13"/>
        <v>0</v>
      </c>
      <c r="F200" s="241">
        <f>+Données!X200</f>
        <v>60.5</v>
      </c>
      <c r="G200" s="382">
        <f t="shared" si="14"/>
        <v>0</v>
      </c>
      <c r="H200" s="161">
        <f t="shared" si="15"/>
        <v>0.89556854707313249</v>
      </c>
      <c r="I200" s="42">
        <f t="shared" si="16"/>
        <v>0</v>
      </c>
    </row>
    <row r="201" spans="1:9" x14ac:dyDescent="0.25">
      <c r="A201" s="38">
        <f>Données!A201</f>
        <v>5730</v>
      </c>
      <c r="B201" s="27" t="str">
        <f>Données!B201</f>
        <v>Trélex</v>
      </c>
      <c r="C201" s="31">
        <f>Données!Z201</f>
        <v>1429</v>
      </c>
      <c r="D201" s="241">
        <f>Ecrêtage!E201</f>
        <v>84.964549868272755</v>
      </c>
      <c r="E201" s="241">
        <f t="shared" si="13"/>
        <v>0</v>
      </c>
      <c r="F201" s="241">
        <f>+Données!X201</f>
        <v>55.5</v>
      </c>
      <c r="G201" s="382">
        <f t="shared" si="14"/>
        <v>0</v>
      </c>
      <c r="H201" s="161">
        <f t="shared" si="15"/>
        <v>0.82155461756295622</v>
      </c>
      <c r="I201" s="42">
        <f t="shared" si="16"/>
        <v>0</v>
      </c>
    </row>
    <row r="202" spans="1:9" x14ac:dyDescent="0.25">
      <c r="A202" s="38">
        <f>Données!A202</f>
        <v>5731</v>
      </c>
      <c r="B202" s="27" t="str">
        <f>Données!B202</f>
        <v>Le Vaud</v>
      </c>
      <c r="C202" s="31">
        <f>Données!Z202</f>
        <v>1408</v>
      </c>
      <c r="D202" s="241">
        <f>Ecrêtage!E202</f>
        <v>49.439317222051592</v>
      </c>
      <c r="E202" s="241">
        <f t="shared" si="13"/>
        <v>0</v>
      </c>
      <c r="F202" s="241">
        <f>+Données!X202</f>
        <v>74</v>
      </c>
      <c r="G202" s="382">
        <f t="shared" si="14"/>
        <v>0</v>
      </c>
      <c r="H202" s="161">
        <f t="shared" si="15"/>
        <v>1.0954061567506084</v>
      </c>
      <c r="I202" s="42">
        <f t="shared" si="16"/>
        <v>0</v>
      </c>
    </row>
    <row r="203" spans="1:9" x14ac:dyDescent="0.25">
      <c r="A203" s="38">
        <f>Données!A203</f>
        <v>5732</v>
      </c>
      <c r="B203" s="27" t="str">
        <f>Données!B203</f>
        <v>Vich</v>
      </c>
      <c r="C203" s="31">
        <f>Données!Z203</f>
        <v>1160</v>
      </c>
      <c r="D203" s="241">
        <f>Ecrêtage!E203</f>
        <v>68.846326902025197</v>
      </c>
      <c r="E203" s="241">
        <f t="shared" si="13"/>
        <v>0</v>
      </c>
      <c r="F203" s="241">
        <f>+Données!X203</f>
        <v>63</v>
      </c>
      <c r="G203" s="382">
        <f t="shared" si="14"/>
        <v>0</v>
      </c>
      <c r="H203" s="161">
        <f t="shared" si="15"/>
        <v>0.93257551182822063</v>
      </c>
      <c r="I203" s="42">
        <f t="shared" si="16"/>
        <v>0</v>
      </c>
    </row>
    <row r="204" spans="1:9" x14ac:dyDescent="0.25">
      <c r="A204" s="38">
        <f>Données!A204</f>
        <v>5741</v>
      </c>
      <c r="B204" s="27" t="str">
        <f>Données!B204</f>
        <v>L'Abergement</v>
      </c>
      <c r="C204" s="31">
        <f>Données!Z204</f>
        <v>260</v>
      </c>
      <c r="D204" s="241">
        <f>Ecrêtage!E204</f>
        <v>41.668863060897429</v>
      </c>
      <c r="E204" s="241">
        <f t="shared" si="13"/>
        <v>6.7728705818694763</v>
      </c>
      <c r="F204" s="241">
        <f>+Données!X204</f>
        <v>80</v>
      </c>
      <c r="G204" s="382">
        <f t="shared" si="14"/>
        <v>-38036.441187778983</v>
      </c>
      <c r="H204" s="161">
        <f t="shared" si="15"/>
        <v>1.1842228721628199</v>
      </c>
      <c r="I204" s="42">
        <f t="shared" si="16"/>
        <v>-45043.623630243805</v>
      </c>
    </row>
    <row r="205" spans="1:9" x14ac:dyDescent="0.25">
      <c r="A205" s="38">
        <f>Données!A205</f>
        <v>5742</v>
      </c>
      <c r="B205" s="27" t="str">
        <f>Données!B205</f>
        <v>Agiez</v>
      </c>
      <c r="C205" s="31">
        <f>Données!Z205</f>
        <v>381</v>
      </c>
      <c r="D205" s="241">
        <f>Ecrêtage!E205</f>
        <v>23.750751830363313</v>
      </c>
      <c r="E205" s="241">
        <f t="shared" si="13"/>
        <v>24.690981812403592</v>
      </c>
      <c r="F205" s="241">
        <f>+Données!X205</f>
        <v>76</v>
      </c>
      <c r="G205" s="382">
        <f t="shared" si="14"/>
        <v>-193037.05872718879</v>
      </c>
      <c r="H205" s="161">
        <f t="shared" si="15"/>
        <v>1.1250117285546788</v>
      </c>
      <c r="I205" s="42">
        <f t="shared" si="16"/>
        <v>-217168.95511378572</v>
      </c>
    </row>
    <row r="206" spans="1:9" x14ac:dyDescent="0.25">
      <c r="A206" s="38">
        <f>Données!A206</f>
        <v>5743</v>
      </c>
      <c r="B206" s="27" t="str">
        <f>Données!B206</f>
        <v>Arnex-sur-Orbe</v>
      </c>
      <c r="C206" s="31">
        <f>Données!Z206</f>
        <v>692</v>
      </c>
      <c r="D206" s="241">
        <f>Ecrêtage!E206</f>
        <v>28.06870593503216</v>
      </c>
      <c r="E206" s="241">
        <f t="shared" si="13"/>
        <v>20.373027707734746</v>
      </c>
      <c r="F206" s="241">
        <f>+Données!X206</f>
        <v>71</v>
      </c>
      <c r="G206" s="382">
        <f t="shared" si="14"/>
        <v>-270261.25128083437</v>
      </c>
      <c r="H206" s="161">
        <f t="shared" si="15"/>
        <v>1.0509977990445025</v>
      </c>
      <c r="I206" s="42">
        <f t="shared" si="16"/>
        <v>-284043.98026317015</v>
      </c>
    </row>
    <row r="207" spans="1:9" x14ac:dyDescent="0.25">
      <c r="A207" s="38">
        <f>Données!A207</f>
        <v>5744</v>
      </c>
      <c r="B207" s="27" t="str">
        <f>Données!B207</f>
        <v>Ballaigues</v>
      </c>
      <c r="C207" s="31">
        <f>Données!Z207</f>
        <v>1152</v>
      </c>
      <c r="D207" s="241">
        <f>Ecrêtage!E207</f>
        <v>46.966233974358971</v>
      </c>
      <c r="E207" s="241">
        <f t="shared" si="13"/>
        <v>1.4754996684079345</v>
      </c>
      <c r="F207" s="241">
        <f>+Données!X207</f>
        <v>65</v>
      </c>
      <c r="G207" s="382">
        <f t="shared" si="14"/>
        <v>-29831.062096004258</v>
      </c>
      <c r="H207" s="161">
        <f t="shared" si="15"/>
        <v>0.96218108363229116</v>
      </c>
      <c r="I207" s="42">
        <f t="shared" si="16"/>
        <v>-28702.883653435543</v>
      </c>
    </row>
    <row r="208" spans="1:9" x14ac:dyDescent="0.25">
      <c r="A208" s="38">
        <f>Données!A208</f>
        <v>5745</v>
      </c>
      <c r="B208" s="27" t="str">
        <f>Données!B208</f>
        <v>Baulmes</v>
      </c>
      <c r="C208" s="31">
        <f>Données!Z208</f>
        <v>1132</v>
      </c>
      <c r="D208" s="241">
        <f>Ecrêtage!E208</f>
        <v>24.474474352756417</v>
      </c>
      <c r="E208" s="241">
        <f t="shared" si="13"/>
        <v>23.967259290010489</v>
      </c>
      <c r="F208" s="241">
        <f>+Données!X208</f>
        <v>76.5</v>
      </c>
      <c r="G208" s="382">
        <f t="shared" si="14"/>
        <v>-560389.51439900871</v>
      </c>
      <c r="H208" s="161">
        <f t="shared" si="15"/>
        <v>1.1324131215056965</v>
      </c>
      <c r="I208" s="42">
        <f t="shared" si="16"/>
        <v>-634592.43925964297</v>
      </c>
    </row>
    <row r="209" spans="1:9" x14ac:dyDescent="0.25">
      <c r="A209" s="38">
        <f>Données!A209</f>
        <v>5746</v>
      </c>
      <c r="B209" s="27" t="str">
        <f>Données!B209</f>
        <v>Bavois</v>
      </c>
      <c r="C209" s="31">
        <f>Données!Z209</f>
        <v>1009</v>
      </c>
      <c r="D209" s="241">
        <f>Ecrêtage!E209</f>
        <v>29.25033969735345</v>
      </c>
      <c r="E209" s="241">
        <f t="shared" si="13"/>
        <v>19.191393945413456</v>
      </c>
      <c r="F209" s="241">
        <f>+Données!X209</f>
        <v>72</v>
      </c>
      <c r="G209" s="382">
        <f t="shared" si="14"/>
        <v>-376438.42458352714</v>
      </c>
      <c r="H209" s="161">
        <f t="shared" si="15"/>
        <v>1.065800584946538</v>
      </c>
      <c r="I209" s="42">
        <f t="shared" si="16"/>
        <v>-401208.29311747645</v>
      </c>
    </row>
    <row r="210" spans="1:9" x14ac:dyDescent="0.25">
      <c r="A210" s="38">
        <f>Données!A210</f>
        <v>5747</v>
      </c>
      <c r="B210" s="27" t="str">
        <f>Données!B210</f>
        <v>Bofflens</v>
      </c>
      <c r="C210" s="31">
        <f>Données!Z210</f>
        <v>204</v>
      </c>
      <c r="D210" s="241">
        <f>Ecrêtage!E210</f>
        <v>28.323714833759581</v>
      </c>
      <c r="E210" s="241">
        <f t="shared" si="13"/>
        <v>20.118018809007324</v>
      </c>
      <c r="F210" s="241">
        <f>+Données!X210</f>
        <v>69</v>
      </c>
      <c r="G210" s="382">
        <f t="shared" si="14"/>
        <v>-76458.932844008523</v>
      </c>
      <c r="H210" s="161">
        <f t="shared" si="15"/>
        <v>1.0213922272404321</v>
      </c>
      <c r="I210" s="42">
        <f t="shared" si="16"/>
        <v>-78094.559709968496</v>
      </c>
    </row>
    <row r="211" spans="1:9" x14ac:dyDescent="0.25">
      <c r="A211" s="38">
        <f>Données!A211</f>
        <v>5748</v>
      </c>
      <c r="B211" s="27" t="str">
        <f>Données!B211</f>
        <v>Bretonnières</v>
      </c>
      <c r="C211" s="31">
        <f>Données!Z211</f>
        <v>264</v>
      </c>
      <c r="D211" s="241">
        <f>Ecrêtage!E211</f>
        <v>25.615439143205101</v>
      </c>
      <c r="E211" s="241">
        <f t="shared" si="13"/>
        <v>22.826294499561804</v>
      </c>
      <c r="F211" s="241">
        <f>+Données!X211</f>
        <v>70.5</v>
      </c>
      <c r="G211" s="382">
        <f t="shared" si="14"/>
        <v>-114707.60817097797</v>
      </c>
      <c r="H211" s="161">
        <f t="shared" si="15"/>
        <v>1.043596406093485</v>
      </c>
      <c r="I211" s="42">
        <f t="shared" si="16"/>
        <v>-119708.44763881229</v>
      </c>
    </row>
    <row r="212" spans="1:9" x14ac:dyDescent="0.25">
      <c r="A212" s="38">
        <f>Données!A212</f>
        <v>5749</v>
      </c>
      <c r="B212" s="27" t="str">
        <f>Données!B212</f>
        <v>Chavornay</v>
      </c>
      <c r="C212" s="31">
        <f>Données!Z212</f>
        <v>5415</v>
      </c>
      <c r="D212" s="241">
        <f>Ecrêtage!E212</f>
        <v>26.720605462892014</v>
      </c>
      <c r="E212" s="241">
        <f t="shared" si="13"/>
        <v>21.721128179874892</v>
      </c>
      <c r="F212" s="241">
        <f>+Données!X212</f>
        <v>70.5</v>
      </c>
      <c r="G212" s="382">
        <f t="shared" si="14"/>
        <v>-2238894.9696047194</v>
      </c>
      <c r="H212" s="161">
        <f t="shared" si="15"/>
        <v>1.043596406093485</v>
      </c>
      <c r="I212" s="42">
        <f t="shared" si="16"/>
        <v>-2336502.7439002674</v>
      </c>
    </row>
    <row r="213" spans="1:9" x14ac:dyDescent="0.25">
      <c r="A213" s="38">
        <f>Données!A213</f>
        <v>5750</v>
      </c>
      <c r="B213" s="27" t="str">
        <f>Données!B213</f>
        <v>Les Clées</v>
      </c>
      <c r="C213" s="31">
        <f>Données!Z213</f>
        <v>187</v>
      </c>
      <c r="D213" s="241">
        <f>Ecrêtage!E213</f>
        <v>29.200249108734408</v>
      </c>
      <c r="E213" s="241">
        <f t="shared" si="13"/>
        <v>19.241484534032498</v>
      </c>
      <c r="F213" s="241">
        <f>+Données!X213</f>
        <v>80</v>
      </c>
      <c r="G213" s="382">
        <f t="shared" si="14"/>
        <v>-77720.204329864064</v>
      </c>
      <c r="H213" s="161">
        <f t="shared" si="15"/>
        <v>1.1842228721628199</v>
      </c>
      <c r="I213" s="42">
        <f t="shared" si="16"/>
        <v>-92038.043596592848</v>
      </c>
    </row>
    <row r="214" spans="1:9" x14ac:dyDescent="0.25">
      <c r="A214" s="38">
        <f>Données!A214</f>
        <v>5752</v>
      </c>
      <c r="B214" s="27" t="str">
        <f>Données!B214</f>
        <v>Croy</v>
      </c>
      <c r="C214" s="31">
        <f>Données!Z214</f>
        <v>387</v>
      </c>
      <c r="D214" s="241">
        <f>Ecrêtage!E214</f>
        <v>26.367581485139624</v>
      </c>
      <c r="E214" s="241">
        <f t="shared" si="13"/>
        <v>22.074152157627282</v>
      </c>
      <c r="F214" s="241">
        <f>+Données!X214</f>
        <v>74</v>
      </c>
      <c r="G214" s="382">
        <f t="shared" si="14"/>
        <v>-170683.08376233513</v>
      </c>
      <c r="H214" s="161">
        <f t="shared" si="15"/>
        <v>1.0954061567506084</v>
      </c>
      <c r="I214" s="42">
        <f t="shared" si="16"/>
        <v>-186967.30080644169</v>
      </c>
    </row>
    <row r="215" spans="1:9" x14ac:dyDescent="0.25">
      <c r="A215" s="38">
        <f>Données!A215</f>
        <v>5754</v>
      </c>
      <c r="B215" s="27" t="str">
        <f>Données!B215</f>
        <v>Juriens</v>
      </c>
      <c r="C215" s="31">
        <f>Données!Z215</f>
        <v>349</v>
      </c>
      <c r="D215" s="241">
        <f>Ecrêtage!E215</f>
        <v>24.737101302092768</v>
      </c>
      <c r="E215" s="241">
        <f t="shared" si="13"/>
        <v>23.704632340674138</v>
      </c>
      <c r="F215" s="241">
        <f>+Données!X215</f>
        <v>79</v>
      </c>
      <c r="G215" s="382">
        <f t="shared" si="14"/>
        <v>-176461.31293147622</v>
      </c>
      <c r="H215" s="161">
        <f t="shared" si="15"/>
        <v>1.1694200862607846</v>
      </c>
      <c r="I215" s="42">
        <f t="shared" si="16"/>
        <v>-206357.40379001823</v>
      </c>
    </row>
    <row r="216" spans="1:9" x14ac:dyDescent="0.25">
      <c r="A216" s="38">
        <f>Données!A216</f>
        <v>5755</v>
      </c>
      <c r="B216" s="27" t="str">
        <f>Données!B216</f>
        <v>Lignerolle</v>
      </c>
      <c r="C216" s="31">
        <f>Données!Z216</f>
        <v>448</v>
      </c>
      <c r="D216" s="241">
        <f>Ecrêtage!E216</f>
        <v>24.377104023137917</v>
      </c>
      <c r="E216" s="241">
        <f t="shared" si="13"/>
        <v>24.064629619628988</v>
      </c>
      <c r="F216" s="241">
        <f>+Données!X216</f>
        <v>78.5</v>
      </c>
      <c r="G216" s="382">
        <f t="shared" si="14"/>
        <v>-228502.32150504031</v>
      </c>
      <c r="H216" s="161">
        <f t="shared" si="15"/>
        <v>1.1620186933097669</v>
      </c>
      <c r="I216" s="42">
        <f t="shared" si="16"/>
        <v>-265523.9690535352</v>
      </c>
    </row>
    <row r="217" spans="1:9" x14ac:dyDescent="0.25">
      <c r="A217" s="38">
        <f>Données!A217</f>
        <v>5756</v>
      </c>
      <c r="B217" s="27" t="str">
        <f>Données!B217</f>
        <v>Montcherand</v>
      </c>
      <c r="C217" s="31">
        <f>Données!Z217</f>
        <v>496</v>
      </c>
      <c r="D217" s="241">
        <f>Ecrêtage!E217</f>
        <v>35.289113743279565</v>
      </c>
      <c r="E217" s="241">
        <f t="shared" si="13"/>
        <v>13.152619899487341</v>
      </c>
      <c r="F217" s="241">
        <f>+Données!X217</f>
        <v>72</v>
      </c>
      <c r="G217" s="382">
        <f t="shared" si="14"/>
        <v>-126820.71769963283</v>
      </c>
      <c r="H217" s="161">
        <f t="shared" si="15"/>
        <v>1.065800584946538</v>
      </c>
      <c r="I217" s="42">
        <f t="shared" si="16"/>
        <v>-135165.59510760845</v>
      </c>
    </row>
    <row r="218" spans="1:9" x14ac:dyDescent="0.25">
      <c r="A218" s="38">
        <f>Données!A218</f>
        <v>5757</v>
      </c>
      <c r="B218" s="27" t="str">
        <f>Données!B218</f>
        <v>Orbe</v>
      </c>
      <c r="C218" s="31">
        <f>Données!Z218</f>
        <v>7622</v>
      </c>
      <c r="D218" s="241">
        <f>Ecrêtage!E218</f>
        <v>28.570200639139749</v>
      </c>
      <c r="E218" s="241">
        <f t="shared" si="13"/>
        <v>19.871533003627157</v>
      </c>
      <c r="F218" s="241">
        <f>+Données!X218</f>
        <v>75.5</v>
      </c>
      <c r="G218" s="382">
        <f t="shared" si="14"/>
        <v>-3087528.9085260774</v>
      </c>
      <c r="H218" s="161">
        <f t="shared" si="15"/>
        <v>1.1176103356036613</v>
      </c>
      <c r="I218" s="42">
        <f t="shared" si="16"/>
        <v>-3450654.2196438354</v>
      </c>
    </row>
    <row r="219" spans="1:9" x14ac:dyDescent="0.25">
      <c r="A219" s="38">
        <f>Données!A219</f>
        <v>5758</v>
      </c>
      <c r="B219" s="27" t="str">
        <f>Données!B219</f>
        <v>La Praz</v>
      </c>
      <c r="C219" s="31">
        <f>Données!Z219</f>
        <v>183</v>
      </c>
      <c r="D219" s="241">
        <f>Ecrêtage!E219</f>
        <v>24.594172098228988</v>
      </c>
      <c r="E219" s="241">
        <f t="shared" si="13"/>
        <v>23.847561544537918</v>
      </c>
      <c r="F219" s="241">
        <f>+Données!X219</f>
        <v>83</v>
      </c>
      <c r="G219" s="382">
        <f t="shared" si="14"/>
        <v>-97799.565320996335</v>
      </c>
      <c r="H219" s="161">
        <f t="shared" si="15"/>
        <v>1.2286312298689255</v>
      </c>
      <c r="I219" s="42">
        <f t="shared" si="16"/>
        <v>-120159.60022098204</v>
      </c>
    </row>
    <row r="220" spans="1:9" x14ac:dyDescent="0.25">
      <c r="A220" s="38">
        <f>Données!A220</f>
        <v>5759</v>
      </c>
      <c r="B220" s="27" t="str">
        <f>Données!B220</f>
        <v>Premier</v>
      </c>
      <c r="C220" s="31">
        <f>Données!Z220</f>
        <v>236</v>
      </c>
      <c r="D220" s="241">
        <f>Ecrêtage!E220</f>
        <v>24.012998081228016</v>
      </c>
      <c r="E220" s="241">
        <f t="shared" si="13"/>
        <v>24.42873556153889</v>
      </c>
      <c r="F220" s="241">
        <f>+Données!X220</f>
        <v>79.5</v>
      </c>
      <c r="G220" s="382">
        <f t="shared" si="14"/>
        <v>-123749.62288351002</v>
      </c>
      <c r="H220" s="161">
        <f t="shared" si="15"/>
        <v>1.1768214792118021</v>
      </c>
      <c r="I220" s="42">
        <f t="shared" si="16"/>
        <v>-145631.21425367493</v>
      </c>
    </row>
    <row r="221" spans="1:9" x14ac:dyDescent="0.25">
      <c r="A221" s="38">
        <f>Données!A221</f>
        <v>5760</v>
      </c>
      <c r="B221" s="27" t="str">
        <f>Données!B221</f>
        <v>Rances</v>
      </c>
      <c r="C221" s="31">
        <f>Données!Z221</f>
        <v>522</v>
      </c>
      <c r="D221" s="241">
        <f>Ecrêtage!E221</f>
        <v>31.242788671023959</v>
      </c>
      <c r="E221" s="241">
        <f t="shared" si="13"/>
        <v>17.198944971742947</v>
      </c>
      <c r="F221" s="241">
        <f>+Données!X221</f>
        <v>76.5</v>
      </c>
      <c r="G221" s="382">
        <f t="shared" si="14"/>
        <v>-185437.47678028501</v>
      </c>
      <c r="H221" s="161">
        <f t="shared" si="15"/>
        <v>1.1324131215056965</v>
      </c>
      <c r="I221" s="42">
        <f t="shared" si="16"/>
        <v>-209991.83192490265</v>
      </c>
    </row>
    <row r="222" spans="1:9" x14ac:dyDescent="0.25">
      <c r="A222" s="38">
        <f>Données!A222</f>
        <v>5761</v>
      </c>
      <c r="B222" s="27" t="str">
        <f>Données!B222</f>
        <v>Romainmôtier-Envy</v>
      </c>
      <c r="C222" s="31">
        <f>Données!Z222</f>
        <v>567</v>
      </c>
      <c r="D222" s="241">
        <f>Ecrêtage!E222</f>
        <v>25.410545232849756</v>
      </c>
      <c r="E222" s="241">
        <f t="shared" si="13"/>
        <v>23.031188409917149</v>
      </c>
      <c r="F222" s="241">
        <f>+Données!X222</f>
        <v>81</v>
      </c>
      <c r="G222" s="382">
        <f t="shared" si="14"/>
        <v>-285593.41532761155</v>
      </c>
      <c r="H222" s="161">
        <f t="shared" si="15"/>
        <v>1.1990256580648551</v>
      </c>
      <c r="I222" s="42">
        <f t="shared" si="16"/>
        <v>-342433.83275217889</v>
      </c>
    </row>
    <row r="223" spans="1:9" x14ac:dyDescent="0.25">
      <c r="A223" s="38">
        <f>Données!A223</f>
        <v>5762</v>
      </c>
      <c r="B223" s="27" t="str">
        <f>Données!B223</f>
        <v>Sergey</v>
      </c>
      <c r="C223" s="31">
        <f>Données!Z223</f>
        <v>140</v>
      </c>
      <c r="D223" s="241">
        <f>Ecrêtage!E223</f>
        <v>26.724646520146518</v>
      </c>
      <c r="E223" s="241">
        <f t="shared" si="13"/>
        <v>21.717087122620388</v>
      </c>
      <c r="F223" s="241">
        <f>+Données!X223</f>
        <v>78</v>
      </c>
      <c r="G223" s="382">
        <f t="shared" si="14"/>
        <v>-64030.659672333953</v>
      </c>
      <c r="H223" s="161">
        <f t="shared" si="15"/>
        <v>1.1546173003587494</v>
      </c>
      <c r="I223" s="42">
        <f t="shared" si="16"/>
        <v>-73930.907411060078</v>
      </c>
    </row>
    <row r="224" spans="1:9" x14ac:dyDescent="0.25">
      <c r="A224" s="38">
        <f>Données!A224</f>
        <v>5763</v>
      </c>
      <c r="B224" s="27" t="str">
        <f>Données!B224</f>
        <v>Valeyres-sous-Rances</v>
      </c>
      <c r="C224" s="31">
        <f>Données!Z224</f>
        <v>606</v>
      </c>
      <c r="D224" s="241">
        <f>Ecrêtage!E224</f>
        <v>36.791486078185287</v>
      </c>
      <c r="E224" s="241">
        <f t="shared" si="13"/>
        <v>11.650247564581619</v>
      </c>
      <c r="F224" s="241">
        <f>+Données!X224</f>
        <v>71</v>
      </c>
      <c r="G224" s="382">
        <f t="shared" si="14"/>
        <v>-135341.15896269595</v>
      </c>
      <c r="H224" s="161">
        <f t="shared" si="15"/>
        <v>1.0509977990445025</v>
      </c>
      <c r="I224" s="42">
        <f t="shared" si="16"/>
        <v>-142243.26018992558</v>
      </c>
    </row>
    <row r="225" spans="1:9" x14ac:dyDescent="0.25">
      <c r="A225" s="38">
        <f>Données!A225</f>
        <v>5764</v>
      </c>
      <c r="B225" s="27" t="str">
        <f>Données!B225</f>
        <v>Vallorbe</v>
      </c>
      <c r="C225" s="31">
        <f>Données!Z225</f>
        <v>3990</v>
      </c>
      <c r="D225" s="241">
        <f>Ecrêtage!E225</f>
        <v>20.981733073943598</v>
      </c>
      <c r="E225" s="241">
        <f t="shared" si="13"/>
        <v>27.460000568823308</v>
      </c>
      <c r="F225" s="241">
        <f>+Données!X225</f>
        <v>71.5</v>
      </c>
      <c r="G225" s="382">
        <f t="shared" si="14"/>
        <v>-2115160.0908147246</v>
      </c>
      <c r="H225" s="161">
        <f t="shared" si="15"/>
        <v>1.0583991919955202</v>
      </c>
      <c r="I225" s="42">
        <f t="shared" si="16"/>
        <v>-2238683.7310594758</v>
      </c>
    </row>
    <row r="226" spans="1:9" x14ac:dyDescent="0.25">
      <c r="A226" s="38">
        <f>Données!A226</f>
        <v>5765</v>
      </c>
      <c r="B226" s="27" t="str">
        <f>Données!B226</f>
        <v>Vaulion</v>
      </c>
      <c r="C226" s="31">
        <f>Données!Z226</f>
        <v>483</v>
      </c>
      <c r="D226" s="241">
        <f>Ecrêtage!E226</f>
        <v>19.933851954093502</v>
      </c>
      <c r="E226" s="241">
        <f t="shared" si="13"/>
        <v>28.507881688673404</v>
      </c>
      <c r="F226" s="241">
        <f>+Données!X226</f>
        <v>81</v>
      </c>
      <c r="G226" s="382">
        <f t="shared" si="14"/>
        <v>-301134.74093261186</v>
      </c>
      <c r="H226" s="161">
        <f t="shared" si="15"/>
        <v>1.1990256580648551</v>
      </c>
      <c r="I226" s="42">
        <f t="shared" si="16"/>
        <v>-361068.2809129146</v>
      </c>
    </row>
    <row r="227" spans="1:9" x14ac:dyDescent="0.25">
      <c r="A227" s="38">
        <f>Données!A227</f>
        <v>5766</v>
      </c>
      <c r="B227" s="27" t="str">
        <f>Données!B227</f>
        <v>Vuiteboeuf</v>
      </c>
      <c r="C227" s="31">
        <f>Données!Z227</f>
        <v>592</v>
      </c>
      <c r="D227" s="241">
        <f>Ecrêtage!E227</f>
        <v>26.051960070785071</v>
      </c>
      <c r="E227" s="241">
        <f t="shared" si="13"/>
        <v>22.389773571981834</v>
      </c>
      <c r="F227" s="241">
        <f>+Données!X227</f>
        <v>75</v>
      </c>
      <c r="G227" s="382">
        <f t="shared" si="14"/>
        <v>-268408.6055809182</v>
      </c>
      <c r="H227" s="161">
        <f t="shared" si="15"/>
        <v>1.1102089426526436</v>
      </c>
      <c r="I227" s="42">
        <f t="shared" si="16"/>
        <v>-297989.63420086162</v>
      </c>
    </row>
    <row r="228" spans="1:9" x14ac:dyDescent="0.25">
      <c r="A228" s="38">
        <f>Données!A228</f>
        <v>5785</v>
      </c>
      <c r="B228" s="27" t="str">
        <f>Données!B228</f>
        <v>Corcelles-le-Jorat</v>
      </c>
      <c r="C228" s="31">
        <f>Données!Z228</f>
        <v>484</v>
      </c>
      <c r="D228" s="241">
        <f>Ecrêtage!E228</f>
        <v>31.946216804407712</v>
      </c>
      <c r="E228" s="241">
        <f t="shared" si="13"/>
        <v>16.495516838359194</v>
      </c>
      <c r="F228" s="241">
        <f>+Données!X228</f>
        <v>75</v>
      </c>
      <c r="G228" s="382">
        <f t="shared" si="14"/>
        <v>-161672.56053275848</v>
      </c>
      <c r="H228" s="161">
        <f t="shared" si="15"/>
        <v>1.1102089426526436</v>
      </c>
      <c r="I228" s="42">
        <f t="shared" si="16"/>
        <v>-179490.32248501931</v>
      </c>
    </row>
    <row r="229" spans="1:9" x14ac:dyDescent="0.25">
      <c r="A229" s="38">
        <f>Données!A229</f>
        <v>5790</v>
      </c>
      <c r="B229" s="27" t="str">
        <f>Données!B229</f>
        <v>Maracon</v>
      </c>
      <c r="C229" s="31">
        <f>Données!Z229</f>
        <v>544</v>
      </c>
      <c r="D229" s="241">
        <f>Ecrêtage!E229</f>
        <v>30.012311735096731</v>
      </c>
      <c r="E229" s="241">
        <f t="shared" si="13"/>
        <v>18.429421907670175</v>
      </c>
      <c r="F229" s="241">
        <f>+Données!X229</f>
        <v>74.5</v>
      </c>
      <c r="G229" s="382">
        <f t="shared" si="14"/>
        <v>-201665.05498999538</v>
      </c>
      <c r="H229" s="161">
        <f t="shared" si="15"/>
        <v>1.1028075497016259</v>
      </c>
      <c r="I229" s="42">
        <f t="shared" si="16"/>
        <v>-222397.74515396045</v>
      </c>
    </row>
    <row r="230" spans="1:9" x14ac:dyDescent="0.25">
      <c r="A230" s="38">
        <f>Données!A230</f>
        <v>5792</v>
      </c>
      <c r="B230" s="27" t="str">
        <f>Données!B230</f>
        <v>Montpreveyres</v>
      </c>
      <c r="C230" s="31">
        <f>Données!Z230</f>
        <v>662</v>
      </c>
      <c r="D230" s="241">
        <f>Ecrêtage!E230</f>
        <v>29.249489205898236</v>
      </c>
      <c r="E230" s="241">
        <f t="shared" si="13"/>
        <v>19.19224443686867</v>
      </c>
      <c r="F230" s="241">
        <f>+Données!X230</f>
        <v>75.5</v>
      </c>
      <c r="G230" s="382">
        <f t="shared" si="14"/>
        <v>-258996.84368376591</v>
      </c>
      <c r="H230" s="161">
        <f t="shared" si="15"/>
        <v>1.1176103356036613</v>
      </c>
      <c r="I230" s="42">
        <f t="shared" si="16"/>
        <v>-289457.54938970262</v>
      </c>
    </row>
    <row r="231" spans="1:9" x14ac:dyDescent="0.25">
      <c r="A231" s="38">
        <f>Données!A231</f>
        <v>5798</v>
      </c>
      <c r="B231" s="27" t="str">
        <f>Données!B231</f>
        <v>Ropraz</v>
      </c>
      <c r="C231" s="31">
        <f>Données!Z231</f>
        <v>529</v>
      </c>
      <c r="D231" s="241">
        <f>Ecrêtage!E231</f>
        <v>30.639605097871822</v>
      </c>
      <c r="E231" s="241">
        <f t="shared" si="13"/>
        <v>17.802128544895083</v>
      </c>
      <c r="F231" s="241">
        <f>+Données!X231</f>
        <v>77.5</v>
      </c>
      <c r="G231" s="382">
        <f t="shared" si="14"/>
        <v>-197057.54655522076</v>
      </c>
      <c r="H231" s="161">
        <f t="shared" si="15"/>
        <v>1.1472159074077317</v>
      </c>
      <c r="I231" s="42">
        <f t="shared" si="16"/>
        <v>-226067.55208288893</v>
      </c>
    </row>
    <row r="232" spans="1:9" x14ac:dyDescent="0.25">
      <c r="A232" s="38">
        <f>Données!A232</f>
        <v>5799</v>
      </c>
      <c r="B232" s="27" t="str">
        <f>Données!B232</f>
        <v>Servion</v>
      </c>
      <c r="C232" s="31">
        <f>Données!Z232</f>
        <v>2138</v>
      </c>
      <c r="D232" s="241">
        <f>Ecrêtage!E232</f>
        <v>34.223909315220787</v>
      </c>
      <c r="E232" s="241">
        <f t="shared" si="13"/>
        <v>14.217824327546118</v>
      </c>
      <c r="F232" s="241">
        <f>+Données!X232</f>
        <v>69</v>
      </c>
      <c r="G232" s="382">
        <f t="shared" si="14"/>
        <v>-566309.30772102985</v>
      </c>
      <c r="H232" s="161">
        <f t="shared" si="15"/>
        <v>1.0213922272404321</v>
      </c>
      <c r="I232" s="42">
        <f t="shared" si="16"/>
        <v>-578423.92512016988</v>
      </c>
    </row>
    <row r="233" spans="1:9" x14ac:dyDescent="0.25">
      <c r="A233" s="38">
        <f>Données!A233</f>
        <v>5803</v>
      </c>
      <c r="B233" s="27" t="str">
        <f>Données!B233</f>
        <v>Vulliens</v>
      </c>
      <c r="C233" s="31">
        <f>Données!Z233</f>
        <v>632</v>
      </c>
      <c r="D233" s="241">
        <f>Ecrêtage!E233</f>
        <v>26.230338693123496</v>
      </c>
      <c r="E233" s="241">
        <f t="shared" si="13"/>
        <v>22.21139494964341</v>
      </c>
      <c r="F233" s="241">
        <f>+Données!X233</f>
        <v>74</v>
      </c>
      <c r="G233" s="382">
        <f t="shared" si="14"/>
        <v>-280471.2801313292</v>
      </c>
      <c r="H233" s="161">
        <f t="shared" si="15"/>
        <v>1.0954061567506084</v>
      </c>
      <c r="I233" s="42">
        <f t="shared" si="16"/>
        <v>-307229.96704758261</v>
      </c>
    </row>
    <row r="234" spans="1:9" x14ac:dyDescent="0.25">
      <c r="A234" s="38">
        <f>Données!A234</f>
        <v>5804</v>
      </c>
      <c r="B234" s="27" t="str">
        <f>Données!B234</f>
        <v>Jorat-Menthue</v>
      </c>
      <c r="C234" s="31">
        <f>Données!Z234</f>
        <v>1565</v>
      </c>
      <c r="D234" s="241">
        <f>Ecrêtage!E234</f>
        <v>28.834086873767927</v>
      </c>
      <c r="E234" s="241">
        <f t="shared" si="13"/>
        <v>19.607646768998979</v>
      </c>
      <c r="F234" s="241">
        <f>+Données!X234</f>
        <v>70.5</v>
      </c>
      <c r="G234" s="382">
        <f t="shared" si="14"/>
        <v>-584107.38552795653</v>
      </c>
      <c r="H234" s="161">
        <f t="shared" si="15"/>
        <v>1.043596406093485</v>
      </c>
      <c r="I234" s="42">
        <f t="shared" si="16"/>
        <v>-609572.36830963718</v>
      </c>
    </row>
    <row r="235" spans="1:9" x14ac:dyDescent="0.25">
      <c r="A235" s="38">
        <f>Données!A235</f>
        <v>5805</v>
      </c>
      <c r="B235" s="27" t="str">
        <f>Données!B235</f>
        <v>Oron</v>
      </c>
      <c r="C235" s="31">
        <f>Données!Z235</f>
        <v>6119</v>
      </c>
      <c r="D235" s="241">
        <f>Ecrêtage!E235</f>
        <v>28.519338329542681</v>
      </c>
      <c r="E235" s="241">
        <f t="shared" si="13"/>
        <v>19.922395313224225</v>
      </c>
      <c r="F235" s="241">
        <f>+Données!X235</f>
        <v>69</v>
      </c>
      <c r="G235" s="382">
        <f t="shared" si="14"/>
        <v>-2271092.7008497627</v>
      </c>
      <c r="H235" s="161">
        <f t="shared" si="15"/>
        <v>1.0213922272404321</v>
      </c>
      <c r="I235" s="42">
        <f t="shared" si="16"/>
        <v>-2319676.4319904274</v>
      </c>
    </row>
    <row r="236" spans="1:9" x14ac:dyDescent="0.25">
      <c r="A236" s="38">
        <f>Données!A236</f>
        <v>5806</v>
      </c>
      <c r="B236" s="27" t="str">
        <f>Données!B236</f>
        <v>Jorat-Mézières</v>
      </c>
      <c r="C236" s="31">
        <f>Données!Z236</f>
        <v>3110</v>
      </c>
      <c r="D236" s="241">
        <f>Ecrêtage!E236</f>
        <v>33.111853191208205</v>
      </c>
      <c r="E236" s="241">
        <f t="shared" si="13"/>
        <v>15.329880451558701</v>
      </c>
      <c r="F236" s="241">
        <f>+Données!X236</f>
        <v>73</v>
      </c>
      <c r="G236" s="382">
        <f t="shared" si="14"/>
        <v>-939692.54490769061</v>
      </c>
      <c r="H236" s="161">
        <f t="shared" si="15"/>
        <v>1.0806033708485732</v>
      </c>
      <c r="I236" s="42">
        <f t="shared" si="16"/>
        <v>-1015434.9315885247</v>
      </c>
    </row>
    <row r="237" spans="1:9" x14ac:dyDescent="0.25">
      <c r="A237" s="38">
        <f>Données!A237</f>
        <v>5812</v>
      </c>
      <c r="B237" s="27" t="str">
        <f>Données!B237</f>
        <v>Champtauroz</v>
      </c>
      <c r="C237" s="31">
        <f>Données!Z237</f>
        <v>169</v>
      </c>
      <c r="D237" s="241">
        <f>Ecrêtage!E237</f>
        <v>21.31903250595558</v>
      </c>
      <c r="E237" s="241">
        <f t="shared" si="13"/>
        <v>27.122701136811326</v>
      </c>
      <c r="F237" s="241">
        <f>+Données!X237</f>
        <v>77</v>
      </c>
      <c r="G237" s="382">
        <f t="shared" si="14"/>
        <v>-95295.88167119796</v>
      </c>
      <c r="H237" s="161">
        <f t="shared" si="15"/>
        <v>1.139814514456714</v>
      </c>
      <c r="I237" s="42">
        <f t="shared" si="16"/>
        <v>-108619.62909678098</v>
      </c>
    </row>
    <row r="238" spans="1:9" x14ac:dyDescent="0.25">
      <c r="A238" s="38">
        <f>Données!A238</f>
        <v>5813</v>
      </c>
      <c r="B238" s="27" t="str">
        <f>Données!B238</f>
        <v>Chevroux</v>
      </c>
      <c r="C238" s="31">
        <f>Données!Z238</f>
        <v>522</v>
      </c>
      <c r="D238" s="241">
        <f>Ecrêtage!E238</f>
        <v>33.522610770851401</v>
      </c>
      <c r="E238" s="241">
        <f t="shared" si="13"/>
        <v>14.919122871915505</v>
      </c>
      <c r="F238" s="241">
        <f>+Données!X238</f>
        <v>68.5</v>
      </c>
      <c r="G238" s="382">
        <f t="shared" si="14"/>
        <v>-144035.03066339236</v>
      </c>
      <c r="H238" s="161">
        <f t="shared" si="15"/>
        <v>1.0139908342894144</v>
      </c>
      <c r="I238" s="42">
        <f t="shared" si="16"/>
        <v>-146050.2009092746</v>
      </c>
    </row>
    <row r="239" spans="1:9" x14ac:dyDescent="0.25">
      <c r="A239" s="38">
        <f>Données!A239</f>
        <v>5816</v>
      </c>
      <c r="B239" s="27" t="str">
        <f>Données!B239</f>
        <v>Corcelles-près-Payerne</v>
      </c>
      <c r="C239" s="31">
        <f>Données!Z239</f>
        <v>2852</v>
      </c>
      <c r="D239" s="241">
        <f>Ecrêtage!E239</f>
        <v>23.037079092731876</v>
      </c>
      <c r="E239" s="241">
        <f t="shared" si="13"/>
        <v>25.40465455003503</v>
      </c>
      <c r="F239" s="241">
        <f>+Données!X239</f>
        <v>68.5</v>
      </c>
      <c r="G239" s="382">
        <f t="shared" si="14"/>
        <v>-1340038.1129950651</v>
      </c>
      <c r="H239" s="161">
        <f t="shared" si="15"/>
        <v>1.0139908342894144</v>
      </c>
      <c r="I239" s="42">
        <f t="shared" si="16"/>
        <v>-1358786.3641754785</v>
      </c>
    </row>
    <row r="240" spans="1:9" x14ac:dyDescent="0.25">
      <c r="A240" s="38">
        <f>Données!A240</f>
        <v>5817</v>
      </c>
      <c r="B240" s="27" t="str">
        <f>Données!B240</f>
        <v>Grandcour</v>
      </c>
      <c r="C240" s="31">
        <f>Données!Z240</f>
        <v>1001</v>
      </c>
      <c r="D240" s="241">
        <f>Ecrêtage!E240</f>
        <v>25.891006408557427</v>
      </c>
      <c r="E240" s="241">
        <f t="shared" si="13"/>
        <v>22.550727234209479</v>
      </c>
      <c r="F240" s="241">
        <f>+Données!X240</f>
        <v>73.5</v>
      </c>
      <c r="G240" s="382">
        <f t="shared" si="14"/>
        <v>-447966.70114485</v>
      </c>
      <c r="H240" s="161">
        <f t="shared" si="15"/>
        <v>1.0880047637995907</v>
      </c>
      <c r="I240" s="42">
        <f t="shared" si="16"/>
        <v>-487389.90486918436</v>
      </c>
    </row>
    <row r="241" spans="1:9" x14ac:dyDescent="0.25">
      <c r="A241" s="38">
        <f>Données!A241</f>
        <v>5819</v>
      </c>
      <c r="B241" s="27" t="str">
        <f>Données!B241</f>
        <v>Henniez</v>
      </c>
      <c r="C241" s="31">
        <f>Données!Z241</f>
        <v>414</v>
      </c>
      <c r="D241" s="241">
        <f>Ecrêtage!E241</f>
        <v>24.82066617657355</v>
      </c>
      <c r="E241" s="241">
        <f t="shared" si="13"/>
        <v>23.621067466193356</v>
      </c>
      <c r="F241" s="241">
        <f>+Données!X241</f>
        <v>69</v>
      </c>
      <c r="G241" s="382">
        <f t="shared" si="14"/>
        <v>-182185.04157460545</v>
      </c>
      <c r="H241" s="161">
        <f t="shared" si="15"/>
        <v>1.0213922272404321</v>
      </c>
      <c r="I241" s="42">
        <f t="shared" si="16"/>
        <v>-186082.38538377697</v>
      </c>
    </row>
    <row r="242" spans="1:9" x14ac:dyDescent="0.25">
      <c r="A242" s="38">
        <f>Données!A242</f>
        <v>5821</v>
      </c>
      <c r="B242" s="27" t="str">
        <f>Données!B242</f>
        <v>Missy</v>
      </c>
      <c r="C242" s="31">
        <f>Données!Z242</f>
        <v>387</v>
      </c>
      <c r="D242" s="241">
        <f>Ecrêtage!E242</f>
        <v>21.643320413436697</v>
      </c>
      <c r="E242" s="241">
        <f t="shared" si="13"/>
        <v>26.798413229330208</v>
      </c>
      <c r="F242" s="241">
        <f>+Données!X242</f>
        <v>72</v>
      </c>
      <c r="G242" s="382">
        <f t="shared" si="14"/>
        <v>-201611.96627995538</v>
      </c>
      <c r="H242" s="161">
        <f t="shared" si="15"/>
        <v>1.065800584946538</v>
      </c>
      <c r="I242" s="42">
        <f t="shared" si="16"/>
        <v>-214878.15159339813</v>
      </c>
    </row>
    <row r="243" spans="1:9" x14ac:dyDescent="0.25">
      <c r="A243" s="38">
        <f>Données!A243</f>
        <v>5822</v>
      </c>
      <c r="B243" s="27" t="str">
        <f>Données!B243</f>
        <v>Payerne</v>
      </c>
      <c r="C243" s="31">
        <f>Données!Z243</f>
        <v>10382</v>
      </c>
      <c r="D243" s="241">
        <f>Ecrêtage!E243</f>
        <v>21.856024560422018</v>
      </c>
      <c r="E243" s="241">
        <f t="shared" si="13"/>
        <v>26.585709082344888</v>
      </c>
      <c r="F243" s="241">
        <f>+Données!X243</f>
        <v>73</v>
      </c>
      <c r="G243" s="382">
        <f t="shared" si="14"/>
        <v>-5440212.9126671506</v>
      </c>
      <c r="H243" s="161">
        <f t="shared" si="15"/>
        <v>1.0806033708485732</v>
      </c>
      <c r="I243" s="42">
        <f t="shared" si="16"/>
        <v>-5878712.4115620572</v>
      </c>
    </row>
    <row r="244" spans="1:9" x14ac:dyDescent="0.25">
      <c r="A244" s="38">
        <f>Données!A244</f>
        <v>5827</v>
      </c>
      <c r="B244" s="27" t="str">
        <f>Données!B244</f>
        <v>Trey</v>
      </c>
      <c r="C244" s="31">
        <f>Données!Z244</f>
        <v>302</v>
      </c>
      <c r="D244" s="241">
        <f>Ecrêtage!E244</f>
        <v>25.547204958397014</v>
      </c>
      <c r="E244" s="241">
        <f t="shared" si="13"/>
        <v>22.894528684369892</v>
      </c>
      <c r="F244" s="241">
        <f>+Données!X244</f>
        <v>78</v>
      </c>
      <c r="G244" s="382">
        <f t="shared" si="14"/>
        <v>-145611.94977603466</v>
      </c>
      <c r="H244" s="161">
        <f t="shared" si="15"/>
        <v>1.1546173003587494</v>
      </c>
      <c r="I244" s="42">
        <f t="shared" si="16"/>
        <v>-168126.07635037895</v>
      </c>
    </row>
    <row r="245" spans="1:9" x14ac:dyDescent="0.25">
      <c r="A245" s="38">
        <f>Données!A245</f>
        <v>5828</v>
      </c>
      <c r="B245" s="27" t="str">
        <f>Données!B245</f>
        <v>Treytorrens (Payerne)</v>
      </c>
      <c r="C245" s="31">
        <f>Données!Z245</f>
        <v>105</v>
      </c>
      <c r="D245" s="241">
        <f>Ecrêtage!E245</f>
        <v>27.283872236829293</v>
      </c>
      <c r="E245" s="241">
        <f t="shared" si="13"/>
        <v>21.157861405937613</v>
      </c>
      <c r="F245" s="241">
        <f>+Données!X245</f>
        <v>81.5</v>
      </c>
      <c r="G245" s="382">
        <f t="shared" si="14"/>
        <v>-48885.767724954007</v>
      </c>
      <c r="H245" s="161">
        <f t="shared" si="15"/>
        <v>1.2064270510158728</v>
      </c>
      <c r="I245" s="42">
        <f t="shared" si="16"/>
        <v>-58977.112593063197</v>
      </c>
    </row>
    <row r="246" spans="1:9" x14ac:dyDescent="0.25">
      <c r="A246" s="38">
        <f>Données!A246</f>
        <v>5830</v>
      </c>
      <c r="B246" s="27" t="str">
        <f>Données!B246</f>
        <v>Villarzel</v>
      </c>
      <c r="C246" s="31">
        <f>Données!Z246</f>
        <v>487</v>
      </c>
      <c r="D246" s="241">
        <f>Ecrêtage!E246</f>
        <v>25.614334017796033</v>
      </c>
      <c r="E246" s="241">
        <f t="shared" si="13"/>
        <v>22.827399624970873</v>
      </c>
      <c r="F246" s="241">
        <f>+Données!X246</f>
        <v>75</v>
      </c>
      <c r="G246" s="382">
        <f t="shared" si="14"/>
        <v>-225118.10825155652</v>
      </c>
      <c r="H246" s="161">
        <f t="shared" si="15"/>
        <v>1.1102089426526436</v>
      </c>
      <c r="I246" s="42">
        <f t="shared" si="16"/>
        <v>-249928.13693392393</v>
      </c>
    </row>
    <row r="247" spans="1:9" x14ac:dyDescent="0.25">
      <c r="A247" s="38">
        <f>Données!A247</f>
        <v>5831</v>
      </c>
      <c r="B247" s="27" t="str">
        <f>Données!B247</f>
        <v>Valbroye</v>
      </c>
      <c r="C247" s="31">
        <f>Données!Z247</f>
        <v>3362</v>
      </c>
      <c r="D247" s="241">
        <f>Ecrêtage!E247</f>
        <v>26.019383500477456</v>
      </c>
      <c r="E247" s="241">
        <f t="shared" si="13"/>
        <v>22.422350142289449</v>
      </c>
      <c r="F247" s="241">
        <f>+Données!X247</f>
        <v>70.5</v>
      </c>
      <c r="G247" s="382">
        <f t="shared" si="14"/>
        <v>-1434933.3203304089</v>
      </c>
      <c r="H247" s="161">
        <f t="shared" si="15"/>
        <v>1.043596406093485</v>
      </c>
      <c r="I247" s="42">
        <f t="shared" si="16"/>
        <v>-1497491.2560806063</v>
      </c>
    </row>
    <row r="248" spans="1:9" x14ac:dyDescent="0.25">
      <c r="A248" s="38">
        <f>Données!A248</f>
        <v>5841</v>
      </c>
      <c r="B248" s="27" t="str">
        <f>Données!B248</f>
        <v>Château-d'Oex</v>
      </c>
      <c r="C248" s="31">
        <f>Données!Z248</f>
        <v>3569</v>
      </c>
      <c r="D248" s="241">
        <f>Ecrêtage!E248</f>
        <v>34.695709669896594</v>
      </c>
      <c r="E248" s="241">
        <f t="shared" si="13"/>
        <v>13.746023972870312</v>
      </c>
      <c r="F248" s="241">
        <f>+Données!X248</f>
        <v>81.5</v>
      </c>
      <c r="G248" s="382">
        <f t="shared" si="14"/>
        <v>-1079555.6080996271</v>
      </c>
      <c r="H248" s="161">
        <f t="shared" si="15"/>
        <v>1.2064270510158728</v>
      </c>
      <c r="I248" s="42">
        <f t="shared" si="16"/>
        <v>-1302405.0886872804</v>
      </c>
    </row>
    <row r="249" spans="1:9" x14ac:dyDescent="0.25">
      <c r="A249" s="38">
        <f>Données!A249</f>
        <v>5842</v>
      </c>
      <c r="B249" s="27" t="str">
        <f>Données!B249</f>
        <v>Rossinière</v>
      </c>
      <c r="C249" s="31">
        <f>Données!Z249</f>
        <v>534</v>
      </c>
      <c r="D249" s="241">
        <f>Ecrêtage!E249</f>
        <v>30.850597478460571</v>
      </c>
      <c r="E249" s="241">
        <f t="shared" si="13"/>
        <v>17.591136164306334</v>
      </c>
      <c r="F249" s="241">
        <f>+Données!X249</f>
        <v>81</v>
      </c>
      <c r="G249" s="382">
        <f t="shared" si="14"/>
        <v>-205439.49098574466</v>
      </c>
      <c r="H249" s="161">
        <f t="shared" si="15"/>
        <v>1.1990256580648551</v>
      </c>
      <c r="I249" s="42">
        <f t="shared" si="16"/>
        <v>-246327.22087169136</v>
      </c>
    </row>
    <row r="250" spans="1:9" x14ac:dyDescent="0.25">
      <c r="A250" s="38">
        <f>Données!A250</f>
        <v>5843</v>
      </c>
      <c r="B250" s="27" t="str">
        <f>Données!B250</f>
        <v>Rougemont</v>
      </c>
      <c r="C250" s="31">
        <f>Données!Z250</f>
        <v>830</v>
      </c>
      <c r="D250" s="241">
        <f>Ecrêtage!E250</f>
        <v>108.11665583854406</v>
      </c>
      <c r="E250" s="241">
        <f t="shared" si="13"/>
        <v>0</v>
      </c>
      <c r="F250" s="241">
        <f>+Données!X250</f>
        <v>79</v>
      </c>
      <c r="G250" s="382">
        <f t="shared" si="14"/>
        <v>0</v>
      </c>
      <c r="H250" s="161">
        <f t="shared" si="15"/>
        <v>1.1694200862607846</v>
      </c>
      <c r="I250" s="42">
        <f t="shared" si="16"/>
        <v>0</v>
      </c>
    </row>
    <row r="251" spans="1:9" x14ac:dyDescent="0.25">
      <c r="A251" s="38">
        <f>Données!A251</f>
        <v>5851</v>
      </c>
      <c r="B251" s="27" t="str">
        <f>Données!B251</f>
        <v>Allaman</v>
      </c>
      <c r="C251" s="31">
        <f>Données!Z251</f>
        <v>420</v>
      </c>
      <c r="D251" s="241">
        <f>Ecrêtage!E251</f>
        <v>58.171704273504275</v>
      </c>
      <c r="E251" s="241">
        <f t="shared" si="13"/>
        <v>0</v>
      </c>
      <c r="F251" s="241">
        <f>+Données!X251</f>
        <v>65</v>
      </c>
      <c r="G251" s="382">
        <f t="shared" si="14"/>
        <v>0</v>
      </c>
      <c r="H251" s="161">
        <f t="shared" si="15"/>
        <v>0.96218108363229116</v>
      </c>
      <c r="I251" s="42">
        <f t="shared" si="16"/>
        <v>0</v>
      </c>
    </row>
    <row r="252" spans="1:9" x14ac:dyDescent="0.25">
      <c r="A252" s="38">
        <f>Données!A252</f>
        <v>5852</v>
      </c>
      <c r="B252" s="27" t="str">
        <f>Données!B252</f>
        <v>Bursinel</v>
      </c>
      <c r="C252" s="31">
        <f>Données!Z252</f>
        <v>503</v>
      </c>
      <c r="D252" s="241">
        <f>Ecrêtage!E252</f>
        <v>70.87394568075419</v>
      </c>
      <c r="E252" s="241">
        <f t="shared" si="13"/>
        <v>0</v>
      </c>
      <c r="F252" s="241">
        <f>+Données!X252</f>
        <v>62</v>
      </c>
      <c r="G252" s="382">
        <f t="shared" si="14"/>
        <v>0</v>
      </c>
      <c r="H252" s="161">
        <f t="shared" si="15"/>
        <v>0.91777272592618542</v>
      </c>
      <c r="I252" s="42">
        <f t="shared" si="16"/>
        <v>0</v>
      </c>
    </row>
    <row r="253" spans="1:9" x14ac:dyDescent="0.25">
      <c r="A253" s="38">
        <f>Données!A253</f>
        <v>5853</v>
      </c>
      <c r="B253" s="27" t="str">
        <f>Données!B253</f>
        <v>Bursins</v>
      </c>
      <c r="C253" s="31">
        <f>Données!Z253</f>
        <v>767</v>
      </c>
      <c r="D253" s="241">
        <f>Ecrêtage!E253</f>
        <v>61.976834933984605</v>
      </c>
      <c r="E253" s="241">
        <f t="shared" si="13"/>
        <v>0</v>
      </c>
      <c r="F253" s="241">
        <f>+Données!X253</f>
        <v>71</v>
      </c>
      <c r="G253" s="382">
        <f t="shared" si="14"/>
        <v>0</v>
      </c>
      <c r="H253" s="161">
        <f t="shared" si="15"/>
        <v>1.0509977990445025</v>
      </c>
      <c r="I253" s="42">
        <f t="shared" si="16"/>
        <v>0</v>
      </c>
    </row>
    <row r="254" spans="1:9" x14ac:dyDescent="0.25">
      <c r="A254" s="38">
        <f>Données!A254</f>
        <v>5854</v>
      </c>
      <c r="B254" s="27" t="str">
        <f>Données!B254</f>
        <v>Burtigny</v>
      </c>
      <c r="C254" s="31">
        <f>Données!Z254</f>
        <v>414</v>
      </c>
      <c r="D254" s="241">
        <f>Ecrêtage!E254</f>
        <v>36.862037190887918</v>
      </c>
      <c r="E254" s="241">
        <f t="shared" si="13"/>
        <v>11.579696451878988</v>
      </c>
      <c r="F254" s="241">
        <f>+Données!X254</f>
        <v>78.5</v>
      </c>
      <c r="G254" s="382">
        <f t="shared" si="14"/>
        <v>-101608.70984719612</v>
      </c>
      <c r="H254" s="161">
        <f t="shared" si="15"/>
        <v>1.1620186933097669</v>
      </c>
      <c r="I254" s="42">
        <f t="shared" si="16"/>
        <v>-118071.22024553009</v>
      </c>
    </row>
    <row r="255" spans="1:9" x14ac:dyDescent="0.25">
      <c r="A255" s="38">
        <f>Données!A255</f>
        <v>5855</v>
      </c>
      <c r="B255" s="27" t="str">
        <f>Données!B255</f>
        <v>Dully</v>
      </c>
      <c r="C255" s="31">
        <f>Données!Z255</f>
        <v>631</v>
      </c>
      <c r="D255" s="241">
        <f>Ecrêtage!E255</f>
        <v>130.85877971473852</v>
      </c>
      <c r="E255" s="241">
        <f t="shared" si="13"/>
        <v>0</v>
      </c>
      <c r="F255" s="241">
        <f>+Données!X255</f>
        <v>53</v>
      </c>
      <c r="G255" s="382">
        <f t="shared" si="14"/>
        <v>0</v>
      </c>
      <c r="H255" s="161">
        <f t="shared" si="15"/>
        <v>0.78454765280786809</v>
      </c>
      <c r="I255" s="42">
        <f t="shared" si="16"/>
        <v>0</v>
      </c>
    </row>
    <row r="256" spans="1:9" x14ac:dyDescent="0.25">
      <c r="A256" s="38">
        <f>Données!A256</f>
        <v>5856</v>
      </c>
      <c r="B256" s="27" t="str">
        <f>Données!B256</f>
        <v>Essertines-sur-Rolle</v>
      </c>
      <c r="C256" s="31">
        <f>Données!Z256</f>
        <v>757</v>
      </c>
      <c r="D256" s="241">
        <f>Ecrêtage!E256</f>
        <v>48.465143572272822</v>
      </c>
      <c r="E256" s="241">
        <f t="shared" si="13"/>
        <v>0</v>
      </c>
      <c r="F256" s="241">
        <f>+Données!X256</f>
        <v>66.5</v>
      </c>
      <c r="G256" s="382">
        <f t="shared" si="14"/>
        <v>0</v>
      </c>
      <c r="H256" s="161">
        <f t="shared" si="15"/>
        <v>0.98438526248534397</v>
      </c>
      <c r="I256" s="42">
        <f t="shared" si="16"/>
        <v>0</v>
      </c>
    </row>
    <row r="257" spans="1:9" x14ac:dyDescent="0.25">
      <c r="A257" s="38">
        <f>Données!A257</f>
        <v>5857</v>
      </c>
      <c r="B257" s="27" t="str">
        <f>Données!B257</f>
        <v>Gilly</v>
      </c>
      <c r="C257" s="31">
        <f>Données!Z257</f>
        <v>1446</v>
      </c>
      <c r="D257" s="241">
        <f>Ecrêtage!E257</f>
        <v>60.047503296986079</v>
      </c>
      <c r="E257" s="241">
        <f t="shared" si="13"/>
        <v>0</v>
      </c>
      <c r="F257" s="241">
        <f>+Données!X257</f>
        <v>64.5</v>
      </c>
      <c r="G257" s="382">
        <f t="shared" si="14"/>
        <v>0</v>
      </c>
      <c r="H257" s="161">
        <f t="shared" si="15"/>
        <v>0.95477969068127344</v>
      </c>
      <c r="I257" s="42">
        <f t="shared" si="16"/>
        <v>0</v>
      </c>
    </row>
    <row r="258" spans="1:9" x14ac:dyDescent="0.25">
      <c r="A258" s="38">
        <f>Données!A258</f>
        <v>5858</v>
      </c>
      <c r="B258" s="27" t="str">
        <f>Données!B258</f>
        <v>Luins</v>
      </c>
      <c r="C258" s="31">
        <f>Données!Z258</f>
        <v>618</v>
      </c>
      <c r="D258" s="241">
        <f>Ecrêtage!E258</f>
        <v>66.631215297946682</v>
      </c>
      <c r="E258" s="241">
        <f t="shared" si="13"/>
        <v>0</v>
      </c>
      <c r="F258" s="241">
        <f>+Données!X258</f>
        <v>58.5</v>
      </c>
      <c r="G258" s="382">
        <f t="shared" si="14"/>
        <v>0</v>
      </c>
      <c r="H258" s="161">
        <f t="shared" si="15"/>
        <v>0.86596297526906196</v>
      </c>
      <c r="I258" s="42">
        <f t="shared" si="16"/>
        <v>0</v>
      </c>
    </row>
    <row r="259" spans="1:9" x14ac:dyDescent="0.25">
      <c r="A259" s="38">
        <f>Données!A259</f>
        <v>5859</v>
      </c>
      <c r="B259" s="27" t="str">
        <f>Données!B259</f>
        <v>Mont-sur-Rolle</v>
      </c>
      <c r="C259" s="31">
        <f>Données!Z259</f>
        <v>2761</v>
      </c>
      <c r="D259" s="241">
        <f>Ecrêtage!E259</f>
        <v>57.385663587596639</v>
      </c>
      <c r="E259" s="241">
        <f t="shared" si="13"/>
        <v>0</v>
      </c>
      <c r="F259" s="241">
        <f>+Données!X259</f>
        <v>63.5</v>
      </c>
      <c r="G259" s="382">
        <f t="shared" si="14"/>
        <v>0</v>
      </c>
      <c r="H259" s="161">
        <f t="shared" si="15"/>
        <v>0.93997690477923823</v>
      </c>
      <c r="I259" s="42">
        <f t="shared" si="16"/>
        <v>0</v>
      </c>
    </row>
    <row r="260" spans="1:9" x14ac:dyDescent="0.25">
      <c r="A260" s="38">
        <f>Données!A260</f>
        <v>5860</v>
      </c>
      <c r="B260" s="27" t="str">
        <f>Données!B260</f>
        <v>Perroy</v>
      </c>
      <c r="C260" s="31">
        <f>Données!Z260</f>
        <v>1542</v>
      </c>
      <c r="D260" s="241">
        <f>Ecrêtage!E260</f>
        <v>85.846295290063622</v>
      </c>
      <c r="E260" s="241">
        <f t="shared" si="13"/>
        <v>0</v>
      </c>
      <c r="F260" s="241">
        <f>+Données!X260</f>
        <v>58.5</v>
      </c>
      <c r="G260" s="382">
        <f t="shared" si="14"/>
        <v>0</v>
      </c>
      <c r="H260" s="161">
        <f t="shared" si="15"/>
        <v>0.86596297526906196</v>
      </c>
      <c r="I260" s="42">
        <f t="shared" si="16"/>
        <v>0</v>
      </c>
    </row>
    <row r="261" spans="1:9" x14ac:dyDescent="0.25">
      <c r="A261" s="38">
        <f>Données!A261</f>
        <v>5861</v>
      </c>
      <c r="B261" s="27" t="str">
        <f>Données!B261</f>
        <v>Rolle</v>
      </c>
      <c r="C261" s="31">
        <f>Données!Z261</f>
        <v>6323</v>
      </c>
      <c r="D261" s="241">
        <f>Ecrêtage!E261</f>
        <v>141.94429830005706</v>
      </c>
      <c r="E261" s="241">
        <f t="shared" si="13"/>
        <v>0</v>
      </c>
      <c r="F261" s="241">
        <f>+Données!X261</f>
        <v>59.5</v>
      </c>
      <c r="G261" s="382">
        <f t="shared" si="14"/>
        <v>0</v>
      </c>
      <c r="H261" s="161">
        <f t="shared" si="15"/>
        <v>0.88076576117109728</v>
      </c>
      <c r="I261" s="42">
        <f t="shared" si="16"/>
        <v>0</v>
      </c>
    </row>
    <row r="262" spans="1:9" x14ac:dyDescent="0.25">
      <c r="A262" s="38">
        <f>Données!A262</f>
        <v>5862</v>
      </c>
      <c r="B262" s="27" t="str">
        <f>Données!B262</f>
        <v>Tartegnin</v>
      </c>
      <c r="C262" s="31">
        <f>Données!Z262</f>
        <v>249</v>
      </c>
      <c r="D262" s="241">
        <f>Ecrêtage!E262</f>
        <v>41.652600274515791</v>
      </c>
      <c r="E262" s="241">
        <f t="shared" si="13"/>
        <v>6.7891333682511146</v>
      </c>
      <c r="F262" s="241">
        <f>+Données!X262</f>
        <v>79</v>
      </c>
      <c r="G262" s="382">
        <f t="shared" si="14"/>
        <v>-36058.241471454268</v>
      </c>
      <c r="H262" s="161">
        <f t="shared" si="15"/>
        <v>1.1694200862607846</v>
      </c>
      <c r="I262" s="42">
        <f t="shared" si="16"/>
        <v>-42167.231851960256</v>
      </c>
    </row>
    <row r="263" spans="1:9" x14ac:dyDescent="0.25">
      <c r="A263" s="38">
        <f>Données!A263</f>
        <v>5863</v>
      </c>
      <c r="B263" s="27" t="str">
        <f>Données!B263</f>
        <v>Vinzel</v>
      </c>
      <c r="C263" s="31">
        <f>Données!Z263</f>
        <v>378</v>
      </c>
      <c r="D263" s="241">
        <f>Ecrêtage!E263</f>
        <v>62.597697228144987</v>
      </c>
      <c r="E263" s="241">
        <f t="shared" ref="E263:E305" si="17">IF($D$306-D263&lt;0,0,$D$306-D263)</f>
        <v>0</v>
      </c>
      <c r="F263" s="241">
        <f>+Données!X263</f>
        <v>67</v>
      </c>
      <c r="G263" s="382">
        <f t="shared" ref="G263:G305" si="18">-((C263*E263*F263)*$E$5)</f>
        <v>0</v>
      </c>
      <c r="H263" s="161">
        <f t="shared" ref="H263:H305" si="19">F263/$F$306</f>
        <v>0.99178665543636157</v>
      </c>
      <c r="I263" s="42">
        <f t="shared" ref="I263:I305" si="20">G263*H263</f>
        <v>0</v>
      </c>
    </row>
    <row r="264" spans="1:9" x14ac:dyDescent="0.25">
      <c r="A264" s="38">
        <f>Données!A264</f>
        <v>5871</v>
      </c>
      <c r="B264" s="27" t="str">
        <f>Données!B264</f>
        <v>L'Abbaye</v>
      </c>
      <c r="C264" s="31">
        <f>Données!Z264</f>
        <v>1536</v>
      </c>
      <c r="D264" s="241">
        <f>Ecrêtage!E264</f>
        <v>32.706065383786111</v>
      </c>
      <c r="E264" s="241">
        <f t="shared" si="17"/>
        <v>15.735668258980795</v>
      </c>
      <c r="F264" s="241">
        <f>+Données!X264</f>
        <v>77.3</v>
      </c>
      <c r="G264" s="382">
        <f t="shared" si="18"/>
        <v>-504451.78711017699</v>
      </c>
      <c r="H264" s="161">
        <f t="shared" si="19"/>
        <v>1.1442553502273247</v>
      </c>
      <c r="I264" s="42">
        <f t="shared" si="20"/>
        <v>-577221.65633255546</v>
      </c>
    </row>
    <row r="265" spans="1:9" x14ac:dyDescent="0.25">
      <c r="A265" s="38">
        <f>Données!A265</f>
        <v>5872</v>
      </c>
      <c r="B265" s="27" t="str">
        <f>Données!B265</f>
        <v>Le Chenit</v>
      </c>
      <c r="C265" s="31">
        <f>Données!Z265</f>
        <v>4617</v>
      </c>
      <c r="D265" s="241">
        <f>Ecrêtage!E265</f>
        <v>68.673241040283017</v>
      </c>
      <c r="E265" s="241">
        <f t="shared" si="17"/>
        <v>0</v>
      </c>
      <c r="F265" s="241">
        <f>+Données!X265</f>
        <v>66.83</v>
      </c>
      <c r="G265" s="382">
        <f t="shared" si="18"/>
        <v>0</v>
      </c>
      <c r="H265" s="161">
        <f t="shared" si="19"/>
        <v>0.98927018183301563</v>
      </c>
      <c r="I265" s="42">
        <f t="shared" si="20"/>
        <v>0</v>
      </c>
    </row>
    <row r="266" spans="1:9" x14ac:dyDescent="0.25">
      <c r="A266" s="38">
        <f>Données!A266</f>
        <v>5873</v>
      </c>
      <c r="B266" s="27" t="str">
        <f>Données!B266</f>
        <v>Le Lieu</v>
      </c>
      <c r="C266" s="31">
        <f>Données!Z266</f>
        <v>886</v>
      </c>
      <c r="D266" s="241">
        <f>Ecrêtage!E266</f>
        <v>39.737049419542082</v>
      </c>
      <c r="E266" s="241">
        <f t="shared" si="17"/>
        <v>8.7046842232248238</v>
      </c>
      <c r="F266" s="241">
        <f>+Données!X266</f>
        <v>70</v>
      </c>
      <c r="G266" s="382">
        <f t="shared" si="18"/>
        <v>-145763.41919158897</v>
      </c>
      <c r="H266" s="161">
        <f t="shared" si="19"/>
        <v>1.0361950131424673</v>
      </c>
      <c r="I266" s="42">
        <f t="shared" si="20"/>
        <v>-151039.32806491951</v>
      </c>
    </row>
    <row r="267" spans="1:9" x14ac:dyDescent="0.25">
      <c r="A267" s="38">
        <f>Données!A267</f>
        <v>5882</v>
      </c>
      <c r="B267" s="27" t="str">
        <f>Données!B267</f>
        <v>Chardonne</v>
      </c>
      <c r="C267" s="31">
        <f>Données!Z267</f>
        <v>3195</v>
      </c>
      <c r="D267" s="241">
        <f>Ecrêtage!E267</f>
        <v>63.13769920832182</v>
      </c>
      <c r="E267" s="241">
        <f t="shared" si="17"/>
        <v>0</v>
      </c>
      <c r="F267" s="241">
        <f>+Données!X267</f>
        <v>68</v>
      </c>
      <c r="G267" s="382">
        <f t="shared" si="18"/>
        <v>0</v>
      </c>
      <c r="H267" s="161">
        <f t="shared" si="19"/>
        <v>1.0065894413383969</v>
      </c>
      <c r="I267" s="42">
        <f t="shared" si="20"/>
        <v>0</v>
      </c>
    </row>
    <row r="268" spans="1:9" x14ac:dyDescent="0.25">
      <c r="A268" s="38">
        <f>Données!A268</f>
        <v>5883</v>
      </c>
      <c r="B268" s="27" t="str">
        <f>Données!B268</f>
        <v>Corseaux</v>
      </c>
      <c r="C268" s="31">
        <f>Données!Z268</f>
        <v>2307</v>
      </c>
      <c r="D268" s="241">
        <f>Ecrêtage!E268</f>
        <v>78.411900335532749</v>
      </c>
      <c r="E268" s="241">
        <f t="shared" si="17"/>
        <v>0</v>
      </c>
      <c r="F268" s="241">
        <f>+Données!X268</f>
        <v>67.5</v>
      </c>
      <c r="G268" s="382">
        <f t="shared" si="18"/>
        <v>0</v>
      </c>
      <c r="H268" s="161">
        <f t="shared" si="19"/>
        <v>0.99918804838737918</v>
      </c>
      <c r="I268" s="42">
        <f t="shared" si="20"/>
        <v>0</v>
      </c>
    </row>
    <row r="269" spans="1:9" x14ac:dyDescent="0.25">
      <c r="A269" s="38">
        <f>Données!A269</f>
        <v>5884</v>
      </c>
      <c r="B269" s="27" t="str">
        <f>Données!B269</f>
        <v>Corsier-sur-Vevey</v>
      </c>
      <c r="C269" s="31">
        <f>Données!Z269</f>
        <v>3367</v>
      </c>
      <c r="D269" s="241">
        <f>Ecrêtage!E269</f>
        <v>38.031267838244581</v>
      </c>
      <c r="E269" s="241">
        <f t="shared" si="17"/>
        <v>10.410465804522325</v>
      </c>
      <c r="F269" s="241">
        <f>+Données!X269</f>
        <v>64.5</v>
      </c>
      <c r="G269" s="382">
        <f t="shared" si="18"/>
        <v>-610431.24810604134</v>
      </c>
      <c r="H269" s="161">
        <f t="shared" si="19"/>
        <v>0.95477969068127344</v>
      </c>
      <c r="I269" s="42">
        <f t="shared" si="20"/>
        <v>-582827.35824886989</v>
      </c>
    </row>
    <row r="270" spans="1:9" x14ac:dyDescent="0.25">
      <c r="A270" s="38">
        <f>Données!A270</f>
        <v>5885</v>
      </c>
      <c r="B270" s="27" t="str">
        <f>Données!B270</f>
        <v>Jongny</v>
      </c>
      <c r="C270" s="31">
        <f>Données!Z270</f>
        <v>1842</v>
      </c>
      <c r="D270" s="241">
        <f>Ecrêtage!E270</f>
        <v>56.509968741619069</v>
      </c>
      <c r="E270" s="241">
        <f t="shared" si="17"/>
        <v>0</v>
      </c>
      <c r="F270" s="241">
        <f>+Données!X270</f>
        <v>69.5</v>
      </c>
      <c r="G270" s="382">
        <f t="shared" si="18"/>
        <v>0</v>
      </c>
      <c r="H270" s="161">
        <f t="shared" si="19"/>
        <v>1.0287936201914498</v>
      </c>
      <c r="I270" s="42">
        <f t="shared" si="20"/>
        <v>0</v>
      </c>
    </row>
    <row r="271" spans="1:9" x14ac:dyDescent="0.25">
      <c r="A271" s="38">
        <f>Données!A271</f>
        <v>5886</v>
      </c>
      <c r="B271" s="27" t="str">
        <f>Données!B271</f>
        <v>Montreux</v>
      </c>
      <c r="C271" s="31">
        <f>Données!Z271</f>
        <v>26100</v>
      </c>
      <c r="D271" s="241">
        <f>Ecrêtage!E271</f>
        <v>44.180563837312114</v>
      </c>
      <c r="E271" s="241">
        <f t="shared" si="17"/>
        <v>4.2611698054547915</v>
      </c>
      <c r="F271" s="241">
        <f>+Données!X271</f>
        <v>65</v>
      </c>
      <c r="G271" s="382">
        <f t="shared" si="18"/>
        <v>-1951850.1352375948</v>
      </c>
      <c r="H271" s="161">
        <f t="shared" si="19"/>
        <v>0.96218108363229116</v>
      </c>
      <c r="I271" s="42">
        <f t="shared" si="20"/>
        <v>-1878033.2782107431</v>
      </c>
    </row>
    <row r="272" spans="1:9" x14ac:dyDescent="0.25">
      <c r="A272" s="38">
        <f>Données!A272</f>
        <v>5889</v>
      </c>
      <c r="B272" s="27" t="str">
        <f>Données!B272</f>
        <v>La Tour-de-Peilz</v>
      </c>
      <c r="C272" s="31">
        <f>Données!Z272</f>
        <v>12402</v>
      </c>
      <c r="D272" s="241">
        <f>Ecrêtage!E272</f>
        <v>57.182661354603411</v>
      </c>
      <c r="E272" s="241">
        <f t="shared" si="17"/>
        <v>0</v>
      </c>
      <c r="F272" s="241">
        <f>+Données!X272</f>
        <v>64</v>
      </c>
      <c r="G272" s="382">
        <f t="shared" si="18"/>
        <v>0</v>
      </c>
      <c r="H272" s="161">
        <f t="shared" si="19"/>
        <v>0.94737829773025584</v>
      </c>
      <c r="I272" s="42">
        <f t="shared" si="20"/>
        <v>0</v>
      </c>
    </row>
    <row r="273" spans="1:9" x14ac:dyDescent="0.25">
      <c r="A273" s="38">
        <f>Données!A273</f>
        <v>5890</v>
      </c>
      <c r="B273" s="27" t="str">
        <f>Données!B273</f>
        <v>Vevey</v>
      </c>
      <c r="C273" s="31">
        <f>Données!Z273</f>
        <v>19754</v>
      </c>
      <c r="D273" s="241">
        <f>Ecrêtage!E273</f>
        <v>47.842852279910922</v>
      </c>
      <c r="E273" s="241">
        <f t="shared" si="17"/>
        <v>0.59888136285598392</v>
      </c>
      <c r="F273" s="241">
        <f>+Données!X273</f>
        <v>74.5</v>
      </c>
      <c r="G273" s="382">
        <f t="shared" si="18"/>
        <v>-237966.53361795569</v>
      </c>
      <c r="H273" s="161">
        <f t="shared" si="19"/>
        <v>1.1028075497016259</v>
      </c>
      <c r="I273" s="42">
        <f t="shared" si="20"/>
        <v>-262431.28985020728</v>
      </c>
    </row>
    <row r="274" spans="1:9" x14ac:dyDescent="0.25">
      <c r="A274" s="38">
        <f>Données!A274</f>
        <v>5891</v>
      </c>
      <c r="B274" s="27" t="str">
        <f>Données!B274</f>
        <v>Veytaux</v>
      </c>
      <c r="C274" s="31">
        <f>Données!Z274</f>
        <v>972</v>
      </c>
      <c r="D274" s="241">
        <f>Ecrêtage!E274</f>
        <v>42.297650422871577</v>
      </c>
      <c r="E274" s="241">
        <f t="shared" si="17"/>
        <v>6.1440832198953288</v>
      </c>
      <c r="F274" s="241">
        <f>+Données!X274</f>
        <v>69.5</v>
      </c>
      <c r="G274" s="382">
        <f t="shared" si="18"/>
        <v>-112065.49741593844</v>
      </c>
      <c r="H274" s="161">
        <f t="shared" si="19"/>
        <v>1.0287936201914498</v>
      </c>
      <c r="I274" s="42">
        <f t="shared" si="20"/>
        <v>-115292.26878509887</v>
      </c>
    </row>
    <row r="275" spans="1:9" x14ac:dyDescent="0.25">
      <c r="A275" s="38">
        <f>Données!A275</f>
        <v>5892</v>
      </c>
      <c r="B275" s="27" t="str">
        <f>Données!B275</f>
        <v>Blonay-Saint-Légier</v>
      </c>
      <c r="C275" s="31">
        <f>Données!Z275</f>
        <v>12137</v>
      </c>
      <c r="D275" s="241">
        <f>Ecrêtage!E275</f>
        <v>61.772650308010306</v>
      </c>
      <c r="E275" s="241">
        <f t="shared" si="17"/>
        <v>0</v>
      </c>
      <c r="F275" s="241">
        <f>+Données!X275</f>
        <v>68.5</v>
      </c>
      <c r="G275" s="382">
        <f t="shared" si="18"/>
        <v>0</v>
      </c>
      <c r="H275" s="161">
        <f t="shared" si="19"/>
        <v>1.0139908342894144</v>
      </c>
      <c r="I275" s="42">
        <f t="shared" si="20"/>
        <v>0</v>
      </c>
    </row>
    <row r="276" spans="1:9" x14ac:dyDescent="0.25">
      <c r="A276" s="38">
        <f>Données!A276</f>
        <v>5902</v>
      </c>
      <c r="B276" s="27" t="str">
        <f>Données!B276</f>
        <v>Belmont-sur-Yverdon</v>
      </c>
      <c r="C276" s="31">
        <f>Données!Z276</f>
        <v>434</v>
      </c>
      <c r="D276" s="241">
        <f>Ecrêtage!E276</f>
        <v>27.460852534562214</v>
      </c>
      <c r="E276" s="241">
        <f t="shared" si="17"/>
        <v>20.980881108204692</v>
      </c>
      <c r="F276" s="241">
        <f>+Données!X276</f>
        <v>70</v>
      </c>
      <c r="G276" s="382">
        <f t="shared" si="18"/>
        <v>-172097.77537815983</v>
      </c>
      <c r="H276" s="161">
        <f t="shared" si="19"/>
        <v>1.0361950131424673</v>
      </c>
      <c r="I276" s="42">
        <f t="shared" si="20"/>
        <v>-178326.8566197617</v>
      </c>
    </row>
    <row r="277" spans="1:9" s="217" customFormat="1" x14ac:dyDescent="0.25">
      <c r="A277" s="38">
        <f>Données!A277</f>
        <v>5903</v>
      </c>
      <c r="B277" s="27" t="str">
        <f>Données!B277</f>
        <v>Bioley-Magnoux</v>
      </c>
      <c r="C277" s="31">
        <f>Données!Z277</f>
        <v>247</v>
      </c>
      <c r="D277" s="241">
        <f>Ecrêtage!E277</f>
        <v>25.406604572328259</v>
      </c>
      <c r="E277" s="241">
        <f t="shared" si="17"/>
        <v>23.035129070438646</v>
      </c>
      <c r="F277" s="241">
        <f>+Données!X277</f>
        <v>72</v>
      </c>
      <c r="G277" s="382">
        <f t="shared" si="18"/>
        <v>-110607.31855494385</v>
      </c>
      <c r="H277" s="161">
        <f t="shared" si="19"/>
        <v>1.065800584946538</v>
      </c>
      <c r="I277" s="42">
        <f t="shared" si="20"/>
        <v>-117885.34481522722</v>
      </c>
    </row>
    <row r="278" spans="1:9" s="217" customFormat="1" x14ac:dyDescent="0.25">
      <c r="A278" s="38">
        <f>Données!A278</f>
        <v>5904</v>
      </c>
      <c r="B278" s="27" t="str">
        <f>Données!B278</f>
        <v>Chamblon</v>
      </c>
      <c r="C278" s="31">
        <f>Données!Z278</f>
        <v>567</v>
      </c>
      <c r="D278" s="241">
        <f>Ecrêtage!E278</f>
        <v>33.316138100582549</v>
      </c>
      <c r="E278" s="241">
        <f t="shared" si="17"/>
        <v>15.125595542184357</v>
      </c>
      <c r="F278" s="241">
        <f>+Données!X278</f>
        <v>66</v>
      </c>
      <c r="G278" s="382">
        <f t="shared" si="18"/>
        <v>-152828.10982249823</v>
      </c>
      <c r="H278" s="161">
        <f t="shared" si="19"/>
        <v>0.97698386953432637</v>
      </c>
      <c r="I278" s="42">
        <f t="shared" si="20"/>
        <v>-149310.59810800132</v>
      </c>
    </row>
    <row r="279" spans="1:9" s="217" customFormat="1" x14ac:dyDescent="0.25">
      <c r="A279" s="38">
        <f>Données!A279</f>
        <v>5905</v>
      </c>
      <c r="B279" s="27" t="str">
        <f>Données!B279</f>
        <v>Champvent</v>
      </c>
      <c r="C279" s="31">
        <f>Données!Z279</f>
        <v>733</v>
      </c>
      <c r="D279" s="241">
        <f>Ecrêtage!E279</f>
        <v>29.378141492886375</v>
      </c>
      <c r="E279" s="241">
        <f t="shared" si="17"/>
        <v>19.063592149880531</v>
      </c>
      <c r="F279" s="241">
        <f>+Données!X279</f>
        <v>70</v>
      </c>
      <c r="G279" s="382">
        <f t="shared" si="18"/>
        <v>-264101.28656679991</v>
      </c>
      <c r="H279" s="161">
        <f t="shared" si="19"/>
        <v>1.0361950131424673</v>
      </c>
      <c r="I279" s="42">
        <f t="shared" si="20"/>
        <v>-273660.43610502774</v>
      </c>
    </row>
    <row r="280" spans="1:9" s="217" customFormat="1" x14ac:dyDescent="0.25">
      <c r="A280" s="38">
        <f>Données!A280</f>
        <v>5907</v>
      </c>
      <c r="B280" s="27" t="str">
        <f>Données!B280</f>
        <v>Chavannes-le-Chêne</v>
      </c>
      <c r="C280" s="31">
        <f>Données!Z280</f>
        <v>317</v>
      </c>
      <c r="D280" s="241">
        <f>Ecrêtage!E280</f>
        <v>26.667106203995793</v>
      </c>
      <c r="E280" s="241">
        <f t="shared" si="17"/>
        <v>21.774627438771113</v>
      </c>
      <c r="F280" s="241">
        <f>+Données!X280</f>
        <v>75</v>
      </c>
      <c r="G280" s="382">
        <f t="shared" si="18"/>
        <v>-139776.77718633148</v>
      </c>
      <c r="H280" s="161">
        <f t="shared" si="19"/>
        <v>1.1102089426526436</v>
      </c>
      <c r="I280" s="42">
        <f t="shared" si="20"/>
        <v>-155181.42800743124</v>
      </c>
    </row>
    <row r="281" spans="1:9" s="217" customFormat="1" x14ac:dyDescent="0.25">
      <c r="A281" s="38">
        <f>Données!A281</f>
        <v>5908</v>
      </c>
      <c r="B281" s="27" t="str">
        <f>Données!B281</f>
        <v>Chêne-Pâquier</v>
      </c>
      <c r="C281" s="31">
        <f>Données!Z281</f>
        <v>163</v>
      </c>
      <c r="D281" s="241">
        <f>Ecrêtage!E281</f>
        <v>30.171390593047043</v>
      </c>
      <c r="E281" s="241">
        <f t="shared" si="17"/>
        <v>18.270343049719862</v>
      </c>
      <c r="F281" s="241">
        <f>+Données!X281</f>
        <v>75</v>
      </c>
      <c r="G281" s="382">
        <f t="shared" si="18"/>
        <v>-60305.834821362841</v>
      </c>
      <c r="H281" s="161">
        <f t="shared" si="19"/>
        <v>1.1102089426526436</v>
      </c>
      <c r="I281" s="42">
        <f t="shared" si="20"/>
        <v>-66952.077112810221</v>
      </c>
    </row>
    <row r="282" spans="1:9" s="217" customFormat="1" x14ac:dyDescent="0.25">
      <c r="A282" s="38">
        <f>Données!A282</f>
        <v>5909</v>
      </c>
      <c r="B282" s="27" t="str">
        <f>Données!B282</f>
        <v>Cheseaux-Noréaz</v>
      </c>
      <c r="C282" s="31">
        <f>Données!Z282</f>
        <v>735</v>
      </c>
      <c r="D282" s="241">
        <f>Ecrêtage!E282</f>
        <v>46.502924967001732</v>
      </c>
      <c r="E282" s="241">
        <f t="shared" si="17"/>
        <v>1.9388086757651735</v>
      </c>
      <c r="F282" s="241">
        <f>+Données!X282</f>
        <v>67</v>
      </c>
      <c r="G282" s="382">
        <f t="shared" si="18"/>
        <v>-25778.690974275116</v>
      </c>
      <c r="H282" s="161">
        <f t="shared" si="19"/>
        <v>0.99178665543636157</v>
      </c>
      <c r="I282" s="42">
        <f t="shared" si="20"/>
        <v>-25566.961702903838</v>
      </c>
    </row>
    <row r="283" spans="1:9" s="217" customFormat="1" x14ac:dyDescent="0.25">
      <c r="A283" s="38">
        <f>Données!A283</f>
        <v>5910</v>
      </c>
      <c r="B283" s="27" t="str">
        <f>Données!B283</f>
        <v>Cronay</v>
      </c>
      <c r="C283" s="31">
        <f>Données!Z283</f>
        <v>410</v>
      </c>
      <c r="D283" s="241">
        <f>Ecrêtage!E283</f>
        <v>25.902496357301228</v>
      </c>
      <c r="E283" s="241">
        <f t="shared" si="17"/>
        <v>22.539237285465678</v>
      </c>
      <c r="F283" s="241">
        <f>+Données!X283</f>
        <v>77</v>
      </c>
      <c r="G283" s="382">
        <f t="shared" si="18"/>
        <v>-192122.20469758089</v>
      </c>
      <c r="H283" s="161">
        <f t="shared" si="19"/>
        <v>1.139814514456714</v>
      </c>
      <c r="I283" s="42">
        <f t="shared" si="20"/>
        <v>-218983.67746372658</v>
      </c>
    </row>
    <row r="284" spans="1:9" s="217" customFormat="1" x14ac:dyDescent="0.25">
      <c r="A284" s="38">
        <f>Données!A284</f>
        <v>5911</v>
      </c>
      <c r="B284" s="27" t="str">
        <f>Données!B284</f>
        <v>Cuarny</v>
      </c>
      <c r="C284" s="31">
        <f>Données!Z284</f>
        <v>236</v>
      </c>
      <c r="D284" s="241">
        <f>Ecrêtage!E284</f>
        <v>32.333581333920307</v>
      </c>
      <c r="E284" s="241">
        <f t="shared" si="17"/>
        <v>16.108152308846599</v>
      </c>
      <c r="F284" s="241">
        <f>+Données!X284</f>
        <v>77</v>
      </c>
      <c r="G284" s="382">
        <f t="shared" si="18"/>
        <v>-79033.682814217318</v>
      </c>
      <c r="H284" s="161">
        <f t="shared" si="19"/>
        <v>1.139814514456714</v>
      </c>
      <c r="I284" s="42">
        <f t="shared" si="20"/>
        <v>-90083.73880261305</v>
      </c>
    </row>
    <row r="285" spans="1:9" x14ac:dyDescent="0.25">
      <c r="A285" s="38">
        <f>Données!A285</f>
        <v>5912</v>
      </c>
      <c r="B285" s="27" t="str">
        <f>Données!B285</f>
        <v>Démoret</v>
      </c>
      <c r="C285" s="31">
        <f>Données!Z285</f>
        <v>167</v>
      </c>
      <c r="D285" s="241">
        <f>Ecrêtage!E285</f>
        <v>18.177242438200519</v>
      </c>
      <c r="E285" s="241">
        <f t="shared" si="17"/>
        <v>30.264491204566387</v>
      </c>
      <c r="F285" s="241">
        <f>+Données!X285</f>
        <v>78</v>
      </c>
      <c r="G285" s="382">
        <f t="shared" si="18"/>
        <v>-106440.82085628407</v>
      </c>
      <c r="H285" s="161">
        <f t="shared" si="19"/>
        <v>1.1546173003587494</v>
      </c>
      <c r="I285" s="42">
        <f t="shared" si="20"/>
        <v>-122898.41322505199</v>
      </c>
    </row>
    <row r="286" spans="1:9" x14ac:dyDescent="0.25">
      <c r="A286" s="38">
        <f>Données!A286</f>
        <v>5913</v>
      </c>
      <c r="B286" s="27" t="str">
        <f>Données!B286</f>
        <v>Donneloye</v>
      </c>
      <c r="C286" s="31">
        <f>Données!Z286</f>
        <v>905</v>
      </c>
      <c r="D286" s="241">
        <f>Ecrêtage!E286</f>
        <v>24.163718610459398</v>
      </c>
      <c r="E286" s="241">
        <f t="shared" si="17"/>
        <v>24.278015032307508</v>
      </c>
      <c r="F286" s="241">
        <f>+Données!X286</f>
        <v>73</v>
      </c>
      <c r="G286" s="382">
        <f t="shared" si="18"/>
        <v>-433060.30703953683</v>
      </c>
      <c r="H286" s="161">
        <f t="shared" si="19"/>
        <v>1.0806033708485732</v>
      </c>
      <c r="I286" s="42">
        <f t="shared" si="20"/>
        <v>-467966.4275676416</v>
      </c>
    </row>
    <row r="287" spans="1:9" x14ac:dyDescent="0.25">
      <c r="A287" s="38">
        <f>Données!A287</f>
        <v>5914</v>
      </c>
      <c r="B287" s="27" t="str">
        <f>Données!B287</f>
        <v>Ependes</v>
      </c>
      <c r="C287" s="31">
        <f>Données!Z287</f>
        <v>372</v>
      </c>
      <c r="D287" s="241">
        <f>Ecrêtage!E287</f>
        <v>26.414365079365069</v>
      </c>
      <c r="E287" s="241">
        <f t="shared" si="17"/>
        <v>22.027368563401836</v>
      </c>
      <c r="F287" s="241">
        <f>+Données!X287</f>
        <v>73.5</v>
      </c>
      <c r="G287" s="382">
        <f t="shared" si="18"/>
        <v>-162613.52404034394</v>
      </c>
      <c r="H287" s="161">
        <f t="shared" si="19"/>
        <v>1.0880047637995907</v>
      </c>
      <c r="I287" s="42">
        <f t="shared" si="20"/>
        <v>-176924.28881413347</v>
      </c>
    </row>
    <row r="288" spans="1:9" x14ac:dyDescent="0.25">
      <c r="A288" s="38">
        <f>Données!A288</f>
        <v>5919</v>
      </c>
      <c r="B288" s="27" t="str">
        <f>Données!B288</f>
        <v>Mathod</v>
      </c>
      <c r="C288" s="31">
        <f>Données!Z288</f>
        <v>685</v>
      </c>
      <c r="D288" s="241">
        <f>Ecrêtage!E288</f>
        <v>30.444356075966475</v>
      </c>
      <c r="E288" s="241">
        <f t="shared" si="17"/>
        <v>17.997377566800431</v>
      </c>
      <c r="F288" s="241">
        <f>+Données!X288</f>
        <v>72</v>
      </c>
      <c r="G288" s="382">
        <f t="shared" si="18"/>
        <v>-239660.27863054129</v>
      </c>
      <c r="H288" s="161">
        <f t="shared" si="19"/>
        <v>1.065800584946538</v>
      </c>
      <c r="I288" s="42">
        <f t="shared" si="20"/>
        <v>-255430.06515288117</v>
      </c>
    </row>
    <row r="289" spans="1:9" x14ac:dyDescent="0.25">
      <c r="A289" s="38">
        <f>Données!A289</f>
        <v>5921</v>
      </c>
      <c r="B289" s="27" t="str">
        <f>Données!B289</f>
        <v>Molondin</v>
      </c>
      <c r="C289" s="31">
        <f>Données!Z289</f>
        <v>258</v>
      </c>
      <c r="D289" s="241">
        <f>Ecrêtage!E289</f>
        <v>19.73243229017131</v>
      </c>
      <c r="E289" s="241">
        <f t="shared" si="17"/>
        <v>28.709301352595595</v>
      </c>
      <c r="F289" s="241">
        <f>+Données!X289</f>
        <v>81</v>
      </c>
      <c r="G289" s="382">
        <f t="shared" si="18"/>
        <v>-161991.08450996655</v>
      </c>
      <c r="H289" s="161">
        <f t="shared" si="19"/>
        <v>1.1990256580648551</v>
      </c>
      <c r="I289" s="42">
        <f t="shared" si="20"/>
        <v>-194231.46670520218</v>
      </c>
    </row>
    <row r="290" spans="1:9" x14ac:dyDescent="0.25">
      <c r="A290" s="38">
        <f>Données!A290</f>
        <v>5922</v>
      </c>
      <c r="B290" s="27" t="str">
        <f>Données!B290</f>
        <v>Montagny-près-Yverdon</v>
      </c>
      <c r="C290" s="31">
        <f>Données!Z290</f>
        <v>770</v>
      </c>
      <c r="D290" s="241">
        <f>Ecrêtage!E290</f>
        <v>51.688307107621064</v>
      </c>
      <c r="E290" s="241">
        <f t="shared" si="17"/>
        <v>0</v>
      </c>
      <c r="F290" s="241">
        <f>+Données!X290</f>
        <v>64.5</v>
      </c>
      <c r="G290" s="382">
        <f t="shared" si="18"/>
        <v>0</v>
      </c>
      <c r="H290" s="161">
        <f t="shared" si="19"/>
        <v>0.95477969068127344</v>
      </c>
      <c r="I290" s="42">
        <f t="shared" si="20"/>
        <v>0</v>
      </c>
    </row>
    <row r="291" spans="1:9" x14ac:dyDescent="0.25">
      <c r="A291" s="38">
        <f>Données!A291</f>
        <v>5923</v>
      </c>
      <c r="B291" s="27" t="str">
        <f>Données!B291</f>
        <v>Oppens</v>
      </c>
      <c r="C291" s="31">
        <f>Données!Z291</f>
        <v>202</v>
      </c>
      <c r="D291" s="241">
        <f>Ecrêtage!E291</f>
        <v>22.07628468402396</v>
      </c>
      <c r="E291" s="241">
        <f t="shared" si="17"/>
        <v>26.365448958742945</v>
      </c>
      <c r="F291" s="241">
        <f>+Données!X291</f>
        <v>81</v>
      </c>
      <c r="G291" s="382">
        <f t="shared" si="18"/>
        <v>-116475.69848299706</v>
      </c>
      <c r="H291" s="161">
        <f t="shared" si="19"/>
        <v>1.1990256580648551</v>
      </c>
      <c r="I291" s="42">
        <f t="shared" si="20"/>
        <v>-139657.35102213919</v>
      </c>
    </row>
    <row r="292" spans="1:9" x14ac:dyDescent="0.25">
      <c r="A292" s="38">
        <f>Données!A292</f>
        <v>5924</v>
      </c>
      <c r="B292" s="27" t="str">
        <f>Données!B292</f>
        <v>Orges</v>
      </c>
      <c r="C292" s="31">
        <f>Données!Z292</f>
        <v>407</v>
      </c>
      <c r="D292" s="241">
        <f>Ecrêtage!E292</f>
        <v>28.593592203997606</v>
      </c>
      <c r="E292" s="241">
        <f t="shared" si="17"/>
        <v>19.8481414387693</v>
      </c>
      <c r="F292" s="241">
        <f>+Données!X292</f>
        <v>74</v>
      </c>
      <c r="G292" s="382">
        <f t="shared" si="18"/>
        <v>-161402.30744027052</v>
      </c>
      <c r="H292" s="161">
        <f t="shared" si="19"/>
        <v>1.0954061567506084</v>
      </c>
      <c r="I292" s="42">
        <f t="shared" si="20"/>
        <v>-176801.08128382685</v>
      </c>
    </row>
    <row r="293" spans="1:9" x14ac:dyDescent="0.25">
      <c r="A293" s="38">
        <f>Données!A293</f>
        <v>5925</v>
      </c>
      <c r="B293" s="27" t="str">
        <f>Données!B293</f>
        <v>Orzens</v>
      </c>
      <c r="C293" s="31">
        <f>Données!Z293</f>
        <v>212</v>
      </c>
      <c r="D293" s="241">
        <f>Ecrêtage!E293</f>
        <v>24.759562335801284</v>
      </c>
      <c r="E293" s="241">
        <f t="shared" si="17"/>
        <v>23.682171306965621</v>
      </c>
      <c r="F293" s="241">
        <f>+Données!X293</f>
        <v>79</v>
      </c>
      <c r="G293" s="382">
        <f t="shared" si="18"/>
        <v>-107089.83136324628</v>
      </c>
      <c r="H293" s="161">
        <f t="shared" si="19"/>
        <v>1.1694200862607846</v>
      </c>
      <c r="I293" s="42">
        <f t="shared" si="20"/>
        <v>-125232.99983046035</v>
      </c>
    </row>
    <row r="294" spans="1:9" x14ac:dyDescent="0.25">
      <c r="A294" s="38">
        <f>Données!A294</f>
        <v>5926</v>
      </c>
      <c r="B294" s="27" t="str">
        <f>Données!B294</f>
        <v>Pomy</v>
      </c>
      <c r="C294" s="31">
        <f>Données!Z294</f>
        <v>868</v>
      </c>
      <c r="D294" s="241">
        <f>Ecrêtage!E294</f>
        <v>30.855622282079569</v>
      </c>
      <c r="E294" s="241">
        <f t="shared" si="17"/>
        <v>17.586111360687337</v>
      </c>
      <c r="F294" s="241">
        <f>+Données!X294</f>
        <v>71</v>
      </c>
      <c r="G294" s="382">
        <f t="shared" si="18"/>
        <v>-292625.15515283856</v>
      </c>
      <c r="H294" s="161">
        <f t="shared" si="19"/>
        <v>1.0509977990445025</v>
      </c>
      <c r="I294" s="42">
        <f t="shared" si="20"/>
        <v>-307548.3940106894</v>
      </c>
    </row>
    <row r="295" spans="1:9" x14ac:dyDescent="0.25">
      <c r="A295" s="38">
        <f>Données!A295</f>
        <v>5928</v>
      </c>
      <c r="B295" s="27" t="str">
        <f>Données!B295</f>
        <v>Rovray</v>
      </c>
      <c r="C295" s="31">
        <f>Données!Z295</f>
        <v>197</v>
      </c>
      <c r="D295" s="241">
        <f>Ecrêtage!E295</f>
        <v>25.865581626495334</v>
      </c>
      <c r="E295" s="241">
        <f t="shared" si="17"/>
        <v>22.576152016271571</v>
      </c>
      <c r="F295" s="241">
        <f>+Données!X295</f>
        <v>71.5</v>
      </c>
      <c r="G295" s="382">
        <f t="shared" si="18"/>
        <v>-85859.02509080217</v>
      </c>
      <c r="H295" s="161">
        <f t="shared" si="19"/>
        <v>1.0583991919955202</v>
      </c>
      <c r="I295" s="42">
        <f t="shared" si="20"/>
        <v>-90873.122781628117</v>
      </c>
    </row>
    <row r="296" spans="1:9" x14ac:dyDescent="0.25">
      <c r="A296" s="38">
        <f>Données!A296</f>
        <v>5929</v>
      </c>
      <c r="B296" s="27" t="str">
        <f>Données!B296</f>
        <v>Suchy</v>
      </c>
      <c r="C296" s="31">
        <f>Données!Z296</f>
        <v>671</v>
      </c>
      <c r="D296" s="241">
        <f>Ecrêtage!E296</f>
        <v>32.195338088141362</v>
      </c>
      <c r="E296" s="241">
        <f t="shared" si="17"/>
        <v>16.246395554625543</v>
      </c>
      <c r="F296" s="241">
        <f>+Données!X296</f>
        <v>70</v>
      </c>
      <c r="G296" s="382">
        <f t="shared" si="18"/>
        <v>-206035.16378420571</v>
      </c>
      <c r="H296" s="161">
        <f t="shared" si="19"/>
        <v>1.0361950131424673</v>
      </c>
      <c r="I296" s="42">
        <f t="shared" si="20"/>
        <v>-213492.60924518545</v>
      </c>
    </row>
    <row r="297" spans="1:9" x14ac:dyDescent="0.25">
      <c r="A297" s="38">
        <f>Données!A297</f>
        <v>5930</v>
      </c>
      <c r="B297" s="27" t="str">
        <f>Données!B297</f>
        <v>Suscévaz</v>
      </c>
      <c r="C297" s="31">
        <f>Données!Z297</f>
        <v>220</v>
      </c>
      <c r="D297" s="241">
        <f>Ecrêtage!E297</f>
        <v>26.132568813131311</v>
      </c>
      <c r="E297" s="241">
        <f t="shared" si="17"/>
        <v>22.309164829635595</v>
      </c>
      <c r="F297" s="241">
        <f>+Données!X297</f>
        <v>72</v>
      </c>
      <c r="G297" s="382">
        <f t="shared" si="18"/>
        <v>-95411.836143385517</v>
      </c>
      <c r="H297" s="161">
        <f t="shared" si="19"/>
        <v>1.065800584946538</v>
      </c>
      <c r="I297" s="42">
        <f t="shared" si="20"/>
        <v>-101689.99077244352</v>
      </c>
    </row>
    <row r="298" spans="1:9" x14ac:dyDescent="0.25">
      <c r="A298" s="38">
        <f>Données!A298</f>
        <v>5931</v>
      </c>
      <c r="B298" s="27" t="str">
        <f>Données!B298</f>
        <v>Treycovagnes</v>
      </c>
      <c r="C298" s="31">
        <f>Données!Z298</f>
        <v>520</v>
      </c>
      <c r="D298" s="241">
        <f>Ecrêtage!E298</f>
        <v>31.359122051282043</v>
      </c>
      <c r="E298" s="241">
        <f t="shared" si="17"/>
        <v>17.082611591484863</v>
      </c>
      <c r="F298" s="241">
        <f>+Données!X298</f>
        <v>75</v>
      </c>
      <c r="G298" s="382">
        <f t="shared" si="18"/>
        <v>-179879.90005833562</v>
      </c>
      <c r="H298" s="161">
        <f t="shared" si="19"/>
        <v>1.1102089426526436</v>
      </c>
      <c r="I298" s="42">
        <f t="shared" si="20"/>
        <v>-199704.273648228</v>
      </c>
    </row>
    <row r="299" spans="1:9" x14ac:dyDescent="0.25">
      <c r="A299" s="38">
        <f>Données!A299</f>
        <v>5932</v>
      </c>
      <c r="B299" s="27" t="str">
        <f>Données!B299</f>
        <v>Ursins</v>
      </c>
      <c r="C299" s="31">
        <f>Données!Z299</f>
        <v>230</v>
      </c>
      <c r="D299" s="241">
        <f>Ecrêtage!E299</f>
        <v>34.5462347826087</v>
      </c>
      <c r="E299" s="241">
        <f t="shared" si="17"/>
        <v>13.895498860158206</v>
      </c>
      <c r="F299" s="241">
        <f>+Données!X299</f>
        <v>75</v>
      </c>
      <c r="G299" s="382">
        <f t="shared" si="18"/>
        <v>-64718.285941186856</v>
      </c>
      <c r="H299" s="161">
        <f t="shared" si="19"/>
        <v>1.1102089426526436</v>
      </c>
      <c r="I299" s="42">
        <f t="shared" si="20"/>
        <v>-71850.819805056512</v>
      </c>
    </row>
    <row r="300" spans="1:9" x14ac:dyDescent="0.25">
      <c r="A300" s="38">
        <f>Données!A300</f>
        <v>5933</v>
      </c>
      <c r="B300" s="27" t="str">
        <f>Données!B300</f>
        <v>Valeyres-sous-Montagny</v>
      </c>
      <c r="C300" s="31">
        <f>Données!Z300</f>
        <v>703</v>
      </c>
      <c r="D300" s="241">
        <f>Ecrêtage!E300</f>
        <v>33.397318079557721</v>
      </c>
      <c r="E300" s="241">
        <f t="shared" si="17"/>
        <v>15.044415563209185</v>
      </c>
      <c r="F300" s="241">
        <f>+Données!X300</f>
        <v>70.5</v>
      </c>
      <c r="G300" s="382">
        <f t="shared" si="18"/>
        <v>-201318.42652271787</v>
      </c>
      <c r="H300" s="161">
        <f t="shared" si="19"/>
        <v>1.043596406093485</v>
      </c>
      <c r="I300" s="42">
        <f t="shared" si="20"/>
        <v>-210095.1863995037</v>
      </c>
    </row>
    <row r="301" spans="1:9" x14ac:dyDescent="0.25">
      <c r="A301" s="38">
        <f>Données!A301</f>
        <v>5934</v>
      </c>
      <c r="B301" s="27" t="str">
        <f>Données!B301</f>
        <v>Valeyres-sous-Ursins</v>
      </c>
      <c r="C301" s="31">
        <f>Données!Z301</f>
        <v>241</v>
      </c>
      <c r="D301" s="241">
        <f>Ecrêtage!E301</f>
        <v>69.658032548364488</v>
      </c>
      <c r="E301" s="241">
        <f t="shared" si="17"/>
        <v>0</v>
      </c>
      <c r="F301" s="241">
        <f>+Données!X301</f>
        <v>77</v>
      </c>
      <c r="G301" s="382">
        <f t="shared" si="18"/>
        <v>0</v>
      </c>
      <c r="H301" s="161">
        <f t="shared" si="19"/>
        <v>1.139814514456714</v>
      </c>
      <c r="I301" s="42">
        <f t="shared" si="20"/>
        <v>0</v>
      </c>
    </row>
    <row r="302" spans="1:9" x14ac:dyDescent="0.25">
      <c r="A302" s="38">
        <f>Données!A302</f>
        <v>5935</v>
      </c>
      <c r="B302" s="27" t="str">
        <f>Données!B302</f>
        <v>Villars-Epeney</v>
      </c>
      <c r="C302" s="31">
        <f>Données!Z302</f>
        <v>92</v>
      </c>
      <c r="D302" s="241">
        <f>Ecrêtage!E302</f>
        <v>73.091454603580573</v>
      </c>
      <c r="E302" s="241">
        <f t="shared" si="17"/>
        <v>0</v>
      </c>
      <c r="F302" s="241">
        <f>+Données!X302</f>
        <v>68</v>
      </c>
      <c r="G302" s="382">
        <f t="shared" si="18"/>
        <v>0</v>
      </c>
      <c r="H302" s="161">
        <f t="shared" si="19"/>
        <v>1.0065894413383969</v>
      </c>
      <c r="I302" s="42">
        <f t="shared" si="20"/>
        <v>0</v>
      </c>
    </row>
    <row r="303" spans="1:9" x14ac:dyDescent="0.25">
      <c r="A303" s="38">
        <f>Données!A303</f>
        <v>5937</v>
      </c>
      <c r="B303" s="27" t="str">
        <f>Données!B303</f>
        <v>Vugelles-La Mothe</v>
      </c>
      <c r="C303" s="31">
        <f>Données!Z303</f>
        <v>142</v>
      </c>
      <c r="D303" s="241">
        <f>Ecrêtage!E303</f>
        <v>23.54855030181087</v>
      </c>
      <c r="E303" s="241">
        <f t="shared" si="17"/>
        <v>24.893183340956035</v>
      </c>
      <c r="F303" s="241">
        <f>+Données!X303</f>
        <v>70</v>
      </c>
      <c r="G303" s="382">
        <f t="shared" si="18"/>
        <v>-66808.325450457807</v>
      </c>
      <c r="H303" s="161">
        <f t="shared" si="19"/>
        <v>1.0361950131424673</v>
      </c>
      <c r="I303" s="42">
        <f t="shared" si="20"/>
        <v>-69226.453668163362</v>
      </c>
    </row>
    <row r="304" spans="1:9" x14ac:dyDescent="0.25">
      <c r="A304" s="38">
        <f>Données!A304</f>
        <v>5938</v>
      </c>
      <c r="B304" s="27" t="str">
        <f>Données!B304</f>
        <v>Yverdon-les-Bains</v>
      </c>
      <c r="C304" s="31">
        <f>Données!Z304</f>
        <v>29897</v>
      </c>
      <c r="D304" s="241">
        <f>Ecrêtage!E304</f>
        <v>26.109465814853223</v>
      </c>
      <c r="E304" s="241">
        <f t="shared" si="17"/>
        <v>22.332267827913682</v>
      </c>
      <c r="F304" s="241">
        <f>+Données!X304</f>
        <v>75</v>
      </c>
      <c r="G304" s="382">
        <f t="shared" si="18"/>
        <v>-13520273.177835491</v>
      </c>
      <c r="H304" s="161">
        <f t="shared" si="19"/>
        <v>1.1102089426526436</v>
      </c>
      <c r="I304" s="42">
        <f t="shared" si="20"/>
        <v>-15010328.189139638</v>
      </c>
    </row>
    <row r="305" spans="1:9" x14ac:dyDescent="0.25">
      <c r="A305" s="38">
        <f>Données!A305</f>
        <v>5939</v>
      </c>
      <c r="B305" s="27" t="str">
        <f>Données!B305</f>
        <v>Yvonand</v>
      </c>
      <c r="C305" s="31">
        <f>Données!Z305</f>
        <v>3535</v>
      </c>
      <c r="D305" s="241">
        <f>Ecrêtage!E305</f>
        <v>27.551442221145191</v>
      </c>
      <c r="E305" s="241">
        <f t="shared" si="17"/>
        <v>20.890291421621715</v>
      </c>
      <c r="F305" s="241">
        <f>+Données!X305</f>
        <v>71.5</v>
      </c>
      <c r="G305" s="415">
        <f t="shared" si="18"/>
        <v>-1425619.8132867296</v>
      </c>
      <c r="H305" s="161">
        <f t="shared" si="19"/>
        <v>1.0583991919955202</v>
      </c>
      <c r="I305" s="42">
        <f t="shared" si="20"/>
        <v>-1508874.8584754791</v>
      </c>
    </row>
    <row r="306" spans="1:9" x14ac:dyDescent="0.25">
      <c r="A306" s="25"/>
      <c r="B306" s="74">
        <f>COUNTA(B6:B305)</f>
        <v>300</v>
      </c>
      <c r="C306" s="9">
        <f>SUM(C6:C305)</f>
        <v>831327</v>
      </c>
      <c r="D306" s="17">
        <f>Ecrêtage!E306</f>
        <v>48.441733642766906</v>
      </c>
      <c r="E306" s="17"/>
      <c r="F306" s="162">
        <f>VPI!Q306</f>
        <v>67.554851270429381</v>
      </c>
      <c r="G306" s="332">
        <f>SUM(G6:G305)</f>
        <v>-131468408.64733963</v>
      </c>
      <c r="H306" s="380">
        <f>F306/F$306</f>
        <v>1</v>
      </c>
      <c r="I306" s="30">
        <f>SUM(I6:I305)</f>
        <v>-141045751.55889025</v>
      </c>
    </row>
  </sheetData>
  <sheetProtection sheet="1" objects="1" scenarios="1"/>
  <mergeCells count="8">
    <mergeCell ref="A4:A5"/>
    <mergeCell ref="I4:I5"/>
    <mergeCell ref="H4:H5"/>
    <mergeCell ref="F4:F5"/>
    <mergeCell ref="G4:G5"/>
    <mergeCell ref="B4:B5"/>
    <mergeCell ref="C4:C5"/>
    <mergeCell ref="D4:D5"/>
  </mergeCells>
  <phoneticPr fontId="21" type="noConversion"/>
  <hyperlinks>
    <hyperlink ref="E1" location="Population!A1" display="← Précédent" xr:uid="{FA7D792E-F931-4B28-A994-C274FA1E13DC}"/>
    <hyperlink ref="G1" location="DT!A1" display="Suivant →" xr:uid="{42740692-23A6-4EE7-A698-07672C5336C9}"/>
    <hyperlink ref="F1" location="'Table des matières'!A1" display="Table des             matières" xr:uid="{1F6BF085-4168-4E4A-85BB-BC1DC2C07F2A}"/>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theme="6" tint="0.39997558519241921"/>
  </sheetPr>
  <dimension ref="A1:AL306"/>
  <sheetViews>
    <sheetView zoomScaleNormal="100" workbookViewId="0">
      <pane ySplit="5" topLeftCell="A239" activePane="bottomLeft" state="frozen"/>
      <selection activeCell="C3" sqref="C3:E3"/>
      <selection pane="bottomLeft" activeCell="C3" sqref="C3:E3"/>
    </sheetView>
  </sheetViews>
  <sheetFormatPr baseColWidth="10" defaultColWidth="10.75" defaultRowHeight="15" x14ac:dyDescent="0.25"/>
  <cols>
    <col min="1" max="1" width="7.25" style="11" customWidth="1"/>
    <col min="2" max="2" width="20.25" style="11" bestFit="1" customWidth="1"/>
    <col min="3" max="3" width="11.375" style="5" bestFit="1" customWidth="1"/>
    <col min="4" max="4" width="3.625" style="236" customWidth="1"/>
    <col min="5" max="5" width="10.75" style="5" bestFit="1" customWidth="1"/>
    <col min="6" max="6" width="12.5" style="5" customWidth="1"/>
    <col min="7" max="7" width="13.75" style="5" customWidth="1"/>
    <col min="8" max="8" width="13.25" style="5" customWidth="1"/>
    <col min="9" max="9" width="3.625" style="236" customWidth="1"/>
    <col min="10" max="10" width="9.875" style="5" bestFit="1" customWidth="1"/>
    <col min="11" max="11" width="12.5" style="5" customWidth="1"/>
    <col min="12" max="12" width="13" style="5" bestFit="1" customWidth="1"/>
    <col min="13" max="13" width="13.25" style="5" bestFit="1" customWidth="1"/>
    <col min="14" max="14" width="3.625" style="236" customWidth="1"/>
    <col min="15" max="15" width="13.875" style="5" customWidth="1"/>
    <col min="16" max="16" width="10" style="13" customWidth="1"/>
    <col min="17" max="17" width="2.5" style="11" customWidth="1"/>
    <col min="18" max="18" width="10.875" style="217" bestFit="1" customWidth="1"/>
    <col min="19" max="19" width="11.75" style="217" bestFit="1" customWidth="1"/>
    <col min="20" max="20" width="11.125" style="217" bestFit="1" customWidth="1"/>
    <col min="21" max="22" width="10.625" style="217" bestFit="1" customWidth="1"/>
    <col min="23" max="23" width="12.75" style="217" bestFit="1" customWidth="1"/>
    <col min="24" max="38" width="10.75" style="217"/>
    <col min="39" max="16384" width="10.75" style="11"/>
  </cols>
  <sheetData>
    <row r="1" spans="1:38" s="291" customFormat="1" ht="26.25" x14ac:dyDescent="0.4">
      <c r="A1" s="278" t="s">
        <v>408</v>
      </c>
      <c r="B1" s="283"/>
      <c r="C1" s="288"/>
      <c r="D1" s="289"/>
      <c r="E1" s="288"/>
      <c r="G1" s="404" t="s">
        <v>405</v>
      </c>
      <c r="H1" s="305" t="s">
        <v>397</v>
      </c>
      <c r="I1" s="688" t="s">
        <v>406</v>
      </c>
      <c r="J1" s="688"/>
      <c r="K1" s="288"/>
      <c r="O1" s="288"/>
      <c r="P1" s="290"/>
      <c r="Q1" s="285"/>
    </row>
    <row r="2" spans="1:38" s="33" customFormat="1" ht="15.75" x14ac:dyDescent="0.25">
      <c r="A2" s="355" t="str">
        <f>Paramètres!B4</f>
        <v>Décompte 2022</v>
      </c>
      <c r="B2" s="32"/>
      <c r="C2" s="34"/>
      <c r="D2" s="166"/>
      <c r="E2" s="34"/>
      <c r="F2" s="34"/>
      <c r="G2" s="34"/>
      <c r="H2" s="34"/>
      <c r="I2" s="166"/>
      <c r="J2" s="34"/>
      <c r="K2" s="34"/>
      <c r="L2" s="34"/>
      <c r="M2" s="34"/>
      <c r="N2" s="166"/>
      <c r="O2" s="34"/>
      <c r="P2" s="80"/>
      <c r="Q2" s="217"/>
    </row>
    <row r="3" spans="1:38" s="217" customFormat="1" ht="25.5" customHeight="1" x14ac:dyDescent="0.25">
      <c r="C3" s="5"/>
      <c r="D3" s="236"/>
      <c r="E3" s="5"/>
      <c r="F3" s="5"/>
      <c r="G3" s="5"/>
      <c r="H3" s="5"/>
      <c r="I3" s="236"/>
      <c r="J3" s="5"/>
      <c r="K3" s="5"/>
      <c r="L3" s="5"/>
      <c r="M3" s="5"/>
      <c r="N3" s="236"/>
      <c r="O3" s="5"/>
      <c r="P3" s="237"/>
    </row>
    <row r="4" spans="1:38" ht="60" customHeight="1" x14ac:dyDescent="0.25">
      <c r="A4" s="680" t="s">
        <v>44</v>
      </c>
      <c r="B4" s="680" t="s">
        <v>84</v>
      </c>
      <c r="C4" s="638" t="s">
        <v>496</v>
      </c>
      <c r="D4" s="337"/>
      <c r="E4" s="638" t="s">
        <v>431</v>
      </c>
      <c r="F4" s="638" t="s">
        <v>43</v>
      </c>
      <c r="G4" s="304" t="s">
        <v>256</v>
      </c>
      <c r="H4" s="304" t="s">
        <v>510</v>
      </c>
      <c r="I4" s="337"/>
      <c r="J4" s="638" t="s">
        <v>430</v>
      </c>
      <c r="K4" s="638" t="s">
        <v>429</v>
      </c>
      <c r="L4" s="304" t="s">
        <v>190</v>
      </c>
      <c r="M4" s="304" t="s">
        <v>511</v>
      </c>
      <c r="N4" s="337"/>
      <c r="O4" s="638" t="s">
        <v>512</v>
      </c>
      <c r="P4" s="217"/>
      <c r="Q4" s="217"/>
      <c r="AF4" s="11"/>
      <c r="AG4" s="11"/>
      <c r="AH4" s="11"/>
      <c r="AI4" s="11"/>
      <c r="AJ4" s="11"/>
      <c r="AK4" s="11"/>
      <c r="AL4" s="11"/>
    </row>
    <row r="5" spans="1:38" x14ac:dyDescent="0.25">
      <c r="A5" s="681"/>
      <c r="B5" s="682"/>
      <c r="C5" s="645"/>
      <c r="D5" s="337"/>
      <c r="E5" s="645"/>
      <c r="F5" s="639"/>
      <c r="G5" s="333">
        <f>Paramètres!B40</f>
        <v>8</v>
      </c>
      <c r="H5" s="334">
        <f>+Paramètres!C40</f>
        <v>0.75</v>
      </c>
      <c r="I5" s="338"/>
      <c r="J5" s="645"/>
      <c r="K5" s="645"/>
      <c r="L5" s="333">
        <f>Paramètres!B41</f>
        <v>1</v>
      </c>
      <c r="M5" s="336">
        <f>+Paramètres!C41</f>
        <v>0.75</v>
      </c>
      <c r="N5" s="338"/>
      <c r="O5" s="639"/>
      <c r="P5" s="217"/>
      <c r="Q5" s="217"/>
      <c r="AF5" s="11"/>
      <c r="AG5" s="11"/>
      <c r="AH5" s="11"/>
      <c r="AI5" s="11"/>
      <c r="AJ5" s="11"/>
      <c r="AK5" s="11"/>
      <c r="AL5" s="11"/>
    </row>
    <row r="6" spans="1:38" x14ac:dyDescent="0.25">
      <c r="A6" s="36">
        <f>+Données!A6</f>
        <v>5401</v>
      </c>
      <c r="B6" s="247" t="str">
        <f>+Données!B6</f>
        <v>Aigle</v>
      </c>
      <c r="C6" s="234">
        <f>+Ecrêtage!C6</f>
        <v>294634.51575757569</v>
      </c>
      <c r="D6" s="233"/>
      <c r="E6" s="234">
        <f>Données!AF6+Données!AG6+Données!AH6</f>
        <v>0</v>
      </c>
      <c r="F6" s="165">
        <f t="shared" ref="F6" si="0">+C6*$G$5</f>
        <v>2357076.1260606055</v>
      </c>
      <c r="G6" s="41">
        <f>IF(E6&gt;F6,E6-F6,0)</f>
        <v>0</v>
      </c>
      <c r="H6" s="313">
        <f>-G6*H$5</f>
        <v>0</v>
      </c>
      <c r="J6" s="41">
        <f>Données!AN6</f>
        <v>0</v>
      </c>
      <c r="K6" s="214">
        <f t="shared" ref="K6" si="1">C6*L$5</f>
        <v>294634.51575757569</v>
      </c>
      <c r="L6" s="50">
        <f>IF(J6&gt;K6,J6-K6,0)</f>
        <v>0</v>
      </c>
      <c r="M6" s="331">
        <f>-L6*M$5</f>
        <v>0</v>
      </c>
      <c r="O6" s="64">
        <f t="shared" ref="O6" si="2">M6+H6</f>
        <v>0</v>
      </c>
      <c r="P6" s="270"/>
      <c r="Q6" s="226"/>
      <c r="R6" s="226"/>
      <c r="S6" s="226"/>
      <c r="T6" s="226"/>
      <c r="U6" s="226"/>
      <c r="AF6" s="11"/>
      <c r="AG6" s="11"/>
      <c r="AH6" s="11"/>
      <c r="AI6" s="11"/>
      <c r="AJ6" s="11"/>
      <c r="AK6" s="11"/>
      <c r="AL6" s="11"/>
    </row>
    <row r="7" spans="1:38" s="217" customFormat="1" x14ac:dyDescent="0.25">
      <c r="A7" s="38">
        <f>+Données!A7</f>
        <v>5402</v>
      </c>
      <c r="B7" s="247" t="str">
        <f>+Données!B7</f>
        <v>Bex</v>
      </c>
      <c r="C7" s="235">
        <f>+Ecrêtage!C7</f>
        <v>191961.18746478873</v>
      </c>
      <c r="D7" s="233"/>
      <c r="E7" s="235">
        <f>Données!AF7+Données!AG7+Données!AH7</f>
        <v>0</v>
      </c>
      <c r="F7" s="233">
        <f t="shared" ref="F7:F70" si="3">+C7*$G$5</f>
        <v>1535689.4997183098</v>
      </c>
      <c r="G7" s="8">
        <f t="shared" ref="G7:G70" si="4">IF(E7&gt;F7,E7-F7,0)</f>
        <v>0</v>
      </c>
      <c r="H7" s="313">
        <f t="shared" ref="H7:H70" si="5">-G7*H$5</f>
        <v>0</v>
      </c>
      <c r="I7" s="236"/>
      <c r="J7" s="8">
        <f>Données!AN7</f>
        <v>0</v>
      </c>
      <c r="K7" s="213">
        <f t="shared" ref="K7:K70" si="6">C7*L$5</f>
        <v>191961.18746478873</v>
      </c>
      <c r="L7" s="236">
        <f t="shared" ref="L7:L70" si="7">IF(J7&gt;K7,J7-K7,0)</f>
        <v>0</v>
      </c>
      <c r="M7" s="313">
        <f t="shared" ref="M7:M70" si="8">-L7*M$5</f>
        <v>0</v>
      </c>
      <c r="N7" s="236"/>
      <c r="O7" s="42">
        <f t="shared" ref="O7:O70" si="9">M7+H7</f>
        <v>0</v>
      </c>
      <c r="P7" s="270"/>
      <c r="Q7" s="226"/>
      <c r="R7" s="226"/>
      <c r="S7" s="226"/>
      <c r="T7" s="226"/>
      <c r="U7" s="226"/>
    </row>
    <row r="8" spans="1:38" s="217" customFormat="1" x14ac:dyDescent="0.25">
      <c r="A8" s="38">
        <f>+Données!A8</f>
        <v>5403</v>
      </c>
      <c r="B8" s="247" t="str">
        <f>+Données!B8</f>
        <v>Chessel</v>
      </c>
      <c r="C8" s="235">
        <f>+Ecrêtage!C8</f>
        <v>13521.430615384616</v>
      </c>
      <c r="D8" s="233"/>
      <c r="E8" s="235">
        <f>Données!AF8+Données!AG8+Données!AH8</f>
        <v>0</v>
      </c>
      <c r="F8" s="233">
        <f t="shared" si="3"/>
        <v>108171.44492307692</v>
      </c>
      <c r="G8" s="8">
        <f t="shared" si="4"/>
        <v>0</v>
      </c>
      <c r="H8" s="313">
        <f t="shared" si="5"/>
        <v>0</v>
      </c>
      <c r="I8" s="236"/>
      <c r="J8" s="8">
        <f>Données!AN8</f>
        <v>0</v>
      </c>
      <c r="K8" s="213">
        <f t="shared" si="6"/>
        <v>13521.430615384616</v>
      </c>
      <c r="L8" s="236">
        <f t="shared" si="7"/>
        <v>0</v>
      </c>
      <c r="M8" s="313">
        <f t="shared" si="8"/>
        <v>0</v>
      </c>
      <c r="N8" s="236"/>
      <c r="O8" s="42">
        <f t="shared" si="9"/>
        <v>0</v>
      </c>
      <c r="P8" s="270"/>
      <c r="Q8" s="226"/>
      <c r="R8" s="226"/>
      <c r="S8" s="226"/>
      <c r="T8" s="226"/>
      <c r="U8" s="226"/>
    </row>
    <row r="9" spans="1:38" s="217" customFormat="1" x14ac:dyDescent="0.25">
      <c r="A9" s="38">
        <f>+Données!A9</f>
        <v>5404</v>
      </c>
      <c r="B9" s="247" t="str">
        <f>+Données!B9</f>
        <v>Corbeyrier</v>
      </c>
      <c r="C9" s="235">
        <f>+Ecrêtage!C9</f>
        <v>11663.247882882884</v>
      </c>
      <c r="D9" s="233"/>
      <c r="E9" s="235">
        <f>Données!AF9+Données!AG9+Données!AH9</f>
        <v>0</v>
      </c>
      <c r="F9" s="233">
        <f t="shared" si="3"/>
        <v>93305.983063063075</v>
      </c>
      <c r="G9" s="8">
        <f t="shared" si="4"/>
        <v>0</v>
      </c>
      <c r="H9" s="313">
        <f t="shared" si="5"/>
        <v>0</v>
      </c>
      <c r="I9" s="236"/>
      <c r="J9" s="8">
        <f>Données!AN9</f>
        <v>0</v>
      </c>
      <c r="K9" s="213">
        <f t="shared" si="6"/>
        <v>11663.247882882884</v>
      </c>
      <c r="L9" s="236">
        <f t="shared" si="7"/>
        <v>0</v>
      </c>
      <c r="M9" s="313">
        <f t="shared" si="8"/>
        <v>0</v>
      </c>
      <c r="N9" s="236"/>
      <c r="O9" s="42">
        <f t="shared" si="9"/>
        <v>0</v>
      </c>
      <c r="P9" s="270"/>
      <c r="Q9" s="226"/>
      <c r="R9" s="226"/>
      <c r="S9" s="226"/>
      <c r="T9" s="226"/>
      <c r="U9" s="226"/>
    </row>
    <row r="10" spans="1:38" s="217" customFormat="1" x14ac:dyDescent="0.25">
      <c r="A10" s="38">
        <f>+Données!A10</f>
        <v>5405</v>
      </c>
      <c r="B10" s="247" t="str">
        <f>+Données!B10</f>
        <v>Gryon</v>
      </c>
      <c r="C10" s="235">
        <f>+Ecrêtage!C10</f>
        <v>73286.214467120197</v>
      </c>
      <c r="D10" s="233"/>
      <c r="E10" s="235">
        <f>Données!AF10+Données!AG10+Données!AH10</f>
        <v>0</v>
      </c>
      <c r="F10" s="233">
        <f t="shared" si="3"/>
        <v>586289.71573696157</v>
      </c>
      <c r="G10" s="8">
        <f t="shared" si="4"/>
        <v>0</v>
      </c>
      <c r="H10" s="313">
        <f t="shared" si="5"/>
        <v>0</v>
      </c>
      <c r="I10" s="236"/>
      <c r="J10" s="8">
        <f>Données!AN10</f>
        <v>0</v>
      </c>
      <c r="K10" s="213">
        <f t="shared" si="6"/>
        <v>73286.214467120197</v>
      </c>
      <c r="L10" s="236">
        <f t="shared" si="7"/>
        <v>0</v>
      </c>
      <c r="M10" s="313">
        <f t="shared" si="8"/>
        <v>0</v>
      </c>
      <c r="N10" s="236"/>
      <c r="O10" s="42">
        <f t="shared" si="9"/>
        <v>0</v>
      </c>
      <c r="P10" s="270"/>
      <c r="Q10" s="226"/>
      <c r="R10" s="226"/>
      <c r="S10" s="226"/>
      <c r="T10" s="226"/>
      <c r="U10" s="226"/>
    </row>
    <row r="11" spans="1:38" x14ac:dyDescent="0.25">
      <c r="A11" s="38">
        <f>+Données!A11</f>
        <v>5406</v>
      </c>
      <c r="B11" s="247" t="str">
        <f>+Données!B11</f>
        <v>Lavey-Morcles</v>
      </c>
      <c r="C11" s="235">
        <f>+Ecrêtage!C11</f>
        <v>22111.529381387842</v>
      </c>
      <c r="D11" s="233"/>
      <c r="E11" s="235">
        <f>Données!AF11+Données!AG11+Données!AH11</f>
        <v>0</v>
      </c>
      <c r="F11" s="233">
        <f t="shared" si="3"/>
        <v>176892.23505110273</v>
      </c>
      <c r="G11" s="8">
        <f t="shared" si="4"/>
        <v>0</v>
      </c>
      <c r="H11" s="313">
        <f t="shared" si="5"/>
        <v>0</v>
      </c>
      <c r="J11" s="8">
        <f>Données!AN11</f>
        <v>0</v>
      </c>
      <c r="K11" s="213">
        <f t="shared" si="6"/>
        <v>22111.529381387842</v>
      </c>
      <c r="L11" s="12">
        <f t="shared" si="7"/>
        <v>0</v>
      </c>
      <c r="M11" s="313">
        <f t="shared" si="8"/>
        <v>0</v>
      </c>
      <c r="O11" s="42">
        <f t="shared" si="9"/>
        <v>0</v>
      </c>
      <c r="P11" s="270"/>
      <c r="Q11" s="226"/>
      <c r="R11" s="226"/>
      <c r="S11" s="226"/>
      <c r="T11" s="226"/>
      <c r="U11" s="226"/>
      <c r="AF11" s="11"/>
      <c r="AG11" s="11"/>
      <c r="AH11" s="11"/>
      <c r="AI11" s="11"/>
      <c r="AJ11" s="11"/>
      <c r="AK11" s="11"/>
      <c r="AL11" s="11"/>
    </row>
    <row r="12" spans="1:38" x14ac:dyDescent="0.25">
      <c r="A12" s="38">
        <f>+Données!A12</f>
        <v>5407</v>
      </c>
      <c r="B12" s="247" t="str">
        <f>+Données!B12</f>
        <v>Leysin</v>
      </c>
      <c r="C12" s="235">
        <f>+Ecrêtage!C12</f>
        <v>89841.412521367529</v>
      </c>
      <c r="D12" s="233"/>
      <c r="E12" s="235">
        <f>Données!AF12+Données!AG12+Données!AH12</f>
        <v>0</v>
      </c>
      <c r="F12" s="233">
        <f t="shared" si="3"/>
        <v>718731.30017094023</v>
      </c>
      <c r="G12" s="8">
        <f t="shared" si="4"/>
        <v>0</v>
      </c>
      <c r="H12" s="313">
        <f t="shared" si="5"/>
        <v>0</v>
      </c>
      <c r="J12" s="8">
        <f>Données!AN12</f>
        <v>0</v>
      </c>
      <c r="K12" s="213">
        <f t="shared" si="6"/>
        <v>89841.412521367529</v>
      </c>
      <c r="L12" s="12">
        <f t="shared" si="7"/>
        <v>0</v>
      </c>
      <c r="M12" s="313">
        <f t="shared" si="8"/>
        <v>0</v>
      </c>
      <c r="O12" s="42">
        <f t="shared" si="9"/>
        <v>0</v>
      </c>
      <c r="P12" s="270"/>
      <c r="Q12" s="226"/>
      <c r="R12" s="226"/>
      <c r="S12" s="226"/>
      <c r="T12" s="226"/>
      <c r="U12" s="226"/>
      <c r="AF12" s="11"/>
      <c r="AG12" s="11"/>
      <c r="AH12" s="11"/>
      <c r="AI12" s="11"/>
      <c r="AJ12" s="11"/>
      <c r="AK12" s="11"/>
      <c r="AL12" s="11"/>
    </row>
    <row r="13" spans="1:38" x14ac:dyDescent="0.25">
      <c r="A13" s="38">
        <f>+Données!A13</f>
        <v>5408</v>
      </c>
      <c r="B13" s="247" t="str">
        <f>+Données!B13</f>
        <v>Noville</v>
      </c>
      <c r="C13" s="235">
        <f>+Ecrêtage!C13</f>
        <v>41973.380088888902</v>
      </c>
      <c r="D13" s="233"/>
      <c r="E13" s="235">
        <f>Données!AF13+Données!AG13+Données!AH13</f>
        <v>0</v>
      </c>
      <c r="F13" s="233">
        <f t="shared" si="3"/>
        <v>335787.04071111121</v>
      </c>
      <c r="G13" s="8">
        <f t="shared" si="4"/>
        <v>0</v>
      </c>
      <c r="H13" s="313">
        <f t="shared" si="5"/>
        <v>0</v>
      </c>
      <c r="J13" s="8">
        <f>Données!AN13</f>
        <v>0</v>
      </c>
      <c r="K13" s="213">
        <f t="shared" si="6"/>
        <v>41973.380088888902</v>
      </c>
      <c r="L13" s="12">
        <f t="shared" si="7"/>
        <v>0</v>
      </c>
      <c r="M13" s="313">
        <f t="shared" si="8"/>
        <v>0</v>
      </c>
      <c r="O13" s="42">
        <f t="shared" si="9"/>
        <v>0</v>
      </c>
      <c r="P13" s="270"/>
      <c r="Q13" s="226"/>
      <c r="R13" s="226"/>
      <c r="S13" s="226"/>
      <c r="T13" s="226"/>
      <c r="U13" s="226"/>
      <c r="AF13" s="11"/>
      <c r="AG13" s="11"/>
      <c r="AH13" s="11"/>
      <c r="AI13" s="11"/>
      <c r="AJ13" s="11"/>
      <c r="AK13" s="11"/>
      <c r="AL13" s="11"/>
    </row>
    <row r="14" spans="1:38" x14ac:dyDescent="0.25">
      <c r="A14" s="38">
        <f>+Données!A14</f>
        <v>5409</v>
      </c>
      <c r="B14" s="247" t="str">
        <f>+Données!B14</f>
        <v>Ollon</v>
      </c>
      <c r="C14" s="235">
        <f>+Ecrêtage!C14</f>
        <v>405938.29721719451</v>
      </c>
      <c r="D14" s="233"/>
      <c r="E14" s="235">
        <f>Données!AF14+Données!AG14+Données!AH14</f>
        <v>0</v>
      </c>
      <c r="F14" s="233">
        <f t="shared" si="3"/>
        <v>3247506.3777375561</v>
      </c>
      <c r="G14" s="8">
        <f t="shared" si="4"/>
        <v>0</v>
      </c>
      <c r="H14" s="313">
        <f t="shared" si="5"/>
        <v>0</v>
      </c>
      <c r="J14" s="8">
        <f>Données!AN14</f>
        <v>0</v>
      </c>
      <c r="K14" s="213">
        <f t="shared" si="6"/>
        <v>405938.29721719451</v>
      </c>
      <c r="L14" s="12">
        <f t="shared" si="7"/>
        <v>0</v>
      </c>
      <c r="M14" s="313">
        <f t="shared" si="8"/>
        <v>0</v>
      </c>
      <c r="O14" s="42">
        <f t="shared" si="9"/>
        <v>0</v>
      </c>
      <c r="P14" s="270"/>
      <c r="Q14" s="226"/>
      <c r="R14" s="226"/>
      <c r="S14" s="226"/>
      <c r="T14" s="226"/>
      <c r="U14" s="226"/>
      <c r="AF14" s="11"/>
      <c r="AG14" s="11"/>
      <c r="AH14" s="11"/>
      <c r="AI14" s="11"/>
      <c r="AJ14" s="11"/>
      <c r="AK14" s="11"/>
      <c r="AL14" s="11"/>
    </row>
    <row r="15" spans="1:38" x14ac:dyDescent="0.25">
      <c r="A15" s="38">
        <f>+Données!A15</f>
        <v>5410</v>
      </c>
      <c r="B15" s="247" t="str">
        <f>+Données!B15</f>
        <v>Ormont-Dessous</v>
      </c>
      <c r="C15" s="235">
        <f>+Ecrêtage!C15</f>
        <v>38418.577099567097</v>
      </c>
      <c r="D15" s="233"/>
      <c r="E15" s="235">
        <f>Données!AF15+Données!AG15+Données!AH15</f>
        <v>0</v>
      </c>
      <c r="F15" s="233">
        <f t="shared" si="3"/>
        <v>307348.61679653678</v>
      </c>
      <c r="G15" s="8">
        <f t="shared" si="4"/>
        <v>0</v>
      </c>
      <c r="H15" s="313">
        <f t="shared" si="5"/>
        <v>0</v>
      </c>
      <c r="J15" s="8">
        <f>Données!AN15</f>
        <v>0</v>
      </c>
      <c r="K15" s="213">
        <f t="shared" si="6"/>
        <v>38418.577099567097</v>
      </c>
      <c r="L15" s="12">
        <f t="shared" si="7"/>
        <v>0</v>
      </c>
      <c r="M15" s="313">
        <f t="shared" si="8"/>
        <v>0</v>
      </c>
      <c r="O15" s="42">
        <f t="shared" si="9"/>
        <v>0</v>
      </c>
      <c r="P15" s="270"/>
      <c r="Q15" s="226"/>
      <c r="R15" s="226"/>
      <c r="S15" s="226"/>
      <c r="T15" s="226"/>
      <c r="U15" s="226"/>
      <c r="AF15" s="11"/>
      <c r="AG15" s="11"/>
      <c r="AH15" s="11"/>
      <c r="AI15" s="11"/>
      <c r="AJ15" s="11"/>
      <c r="AK15" s="11"/>
      <c r="AL15" s="11"/>
    </row>
    <row r="16" spans="1:38" x14ac:dyDescent="0.25">
      <c r="A16" s="38">
        <f>+Données!A16</f>
        <v>5411</v>
      </c>
      <c r="B16" s="247" t="str">
        <f>+Données!B16</f>
        <v>Ormont-Dessus</v>
      </c>
      <c r="C16" s="235">
        <f>+Ecrêtage!C16</f>
        <v>76161.465657894747</v>
      </c>
      <c r="D16" s="233"/>
      <c r="E16" s="235">
        <f>Données!AF16+Données!AG16+Données!AH16</f>
        <v>0</v>
      </c>
      <c r="F16" s="233">
        <f t="shared" si="3"/>
        <v>609291.72526315798</v>
      </c>
      <c r="G16" s="8">
        <f t="shared" si="4"/>
        <v>0</v>
      </c>
      <c r="H16" s="313">
        <f t="shared" si="5"/>
        <v>0</v>
      </c>
      <c r="J16" s="8">
        <f>Données!AN16</f>
        <v>0</v>
      </c>
      <c r="K16" s="213">
        <f t="shared" si="6"/>
        <v>76161.465657894747</v>
      </c>
      <c r="L16" s="12">
        <f t="shared" si="7"/>
        <v>0</v>
      </c>
      <c r="M16" s="313">
        <f t="shared" si="8"/>
        <v>0</v>
      </c>
      <c r="O16" s="42">
        <f t="shared" si="9"/>
        <v>0</v>
      </c>
      <c r="P16" s="270"/>
      <c r="Q16" s="226"/>
      <c r="R16" s="226"/>
      <c r="S16" s="226"/>
      <c r="T16" s="226"/>
      <c r="U16" s="226"/>
      <c r="AF16" s="11"/>
      <c r="AG16" s="11"/>
      <c r="AH16" s="11"/>
      <c r="AI16" s="11"/>
      <c r="AJ16" s="11"/>
      <c r="AK16" s="11"/>
      <c r="AL16" s="11"/>
    </row>
    <row r="17" spans="1:38" x14ac:dyDescent="0.25">
      <c r="A17" s="38">
        <f>+Données!A17</f>
        <v>5412</v>
      </c>
      <c r="B17" s="247" t="str">
        <f>+Données!B17</f>
        <v>Rennaz</v>
      </c>
      <c r="C17" s="235">
        <f>+Ecrêtage!C17</f>
        <v>32240.440579710143</v>
      </c>
      <c r="D17" s="233"/>
      <c r="E17" s="235">
        <f>Données!AF17+Données!AG17+Données!AH17</f>
        <v>0</v>
      </c>
      <c r="F17" s="233">
        <f t="shared" si="3"/>
        <v>257923.52463768114</v>
      </c>
      <c r="G17" s="8">
        <f t="shared" si="4"/>
        <v>0</v>
      </c>
      <c r="H17" s="313">
        <f t="shared" si="5"/>
        <v>0</v>
      </c>
      <c r="J17" s="8">
        <f>Données!AN17</f>
        <v>0</v>
      </c>
      <c r="K17" s="213">
        <f t="shared" si="6"/>
        <v>32240.440579710143</v>
      </c>
      <c r="L17" s="12">
        <f t="shared" si="7"/>
        <v>0</v>
      </c>
      <c r="M17" s="313">
        <f t="shared" si="8"/>
        <v>0</v>
      </c>
      <c r="O17" s="42">
        <f t="shared" si="9"/>
        <v>0</v>
      </c>
      <c r="P17" s="270"/>
      <c r="Q17" s="226"/>
      <c r="R17" s="226"/>
      <c r="S17" s="226"/>
      <c r="T17" s="226"/>
      <c r="U17" s="226"/>
      <c r="AF17" s="11"/>
      <c r="AG17" s="11"/>
      <c r="AH17" s="11"/>
      <c r="AI17" s="11"/>
      <c r="AJ17" s="11"/>
      <c r="AK17" s="11"/>
      <c r="AL17" s="11"/>
    </row>
    <row r="18" spans="1:38" x14ac:dyDescent="0.25">
      <c r="A18" s="38">
        <f>+Données!A18</f>
        <v>5413</v>
      </c>
      <c r="B18" s="247" t="str">
        <f>+Données!B18</f>
        <v>Roche</v>
      </c>
      <c r="C18" s="235">
        <f>+Ecrêtage!C18</f>
        <v>42596.643504901964</v>
      </c>
      <c r="D18" s="233"/>
      <c r="E18" s="235">
        <f>Données!AF18+Données!AG18+Données!AH18</f>
        <v>0</v>
      </c>
      <c r="F18" s="233">
        <f t="shared" si="3"/>
        <v>340773.14803921571</v>
      </c>
      <c r="G18" s="8">
        <f t="shared" si="4"/>
        <v>0</v>
      </c>
      <c r="H18" s="313">
        <f t="shared" si="5"/>
        <v>0</v>
      </c>
      <c r="J18" s="8">
        <f>Données!AN18</f>
        <v>0</v>
      </c>
      <c r="K18" s="213">
        <f t="shared" si="6"/>
        <v>42596.643504901964</v>
      </c>
      <c r="L18" s="12">
        <f t="shared" si="7"/>
        <v>0</v>
      </c>
      <c r="M18" s="313">
        <f t="shared" si="8"/>
        <v>0</v>
      </c>
      <c r="O18" s="42">
        <f t="shared" si="9"/>
        <v>0</v>
      </c>
      <c r="P18" s="270"/>
      <c r="Q18" s="226"/>
      <c r="R18" s="226"/>
      <c r="S18" s="226"/>
      <c r="T18" s="226"/>
      <c r="U18" s="226"/>
      <c r="AF18" s="11"/>
      <c r="AG18" s="11"/>
      <c r="AH18" s="11"/>
      <c r="AI18" s="11"/>
      <c r="AJ18" s="11"/>
      <c r="AK18" s="11"/>
      <c r="AL18" s="11"/>
    </row>
    <row r="19" spans="1:38" x14ac:dyDescent="0.25">
      <c r="A19" s="38">
        <f>+Données!A19</f>
        <v>5414</v>
      </c>
      <c r="B19" s="247" t="str">
        <f>+Données!B19</f>
        <v>Villeneuve</v>
      </c>
      <c r="C19" s="235">
        <f>+Ecrêtage!C19</f>
        <v>165881.46711111109</v>
      </c>
      <c r="D19" s="233"/>
      <c r="E19" s="235">
        <f>Données!AF19+Données!AG19+Données!AH19</f>
        <v>0</v>
      </c>
      <c r="F19" s="233">
        <f t="shared" si="3"/>
        <v>1327051.7368888888</v>
      </c>
      <c r="G19" s="8">
        <f t="shared" si="4"/>
        <v>0</v>
      </c>
      <c r="H19" s="313">
        <f t="shared" si="5"/>
        <v>0</v>
      </c>
      <c r="J19" s="8">
        <f>Données!AN19</f>
        <v>0</v>
      </c>
      <c r="K19" s="213">
        <f t="shared" si="6"/>
        <v>165881.46711111109</v>
      </c>
      <c r="L19" s="12">
        <f t="shared" si="7"/>
        <v>0</v>
      </c>
      <c r="M19" s="313">
        <f t="shared" si="8"/>
        <v>0</v>
      </c>
      <c r="O19" s="42">
        <f t="shared" si="9"/>
        <v>0</v>
      </c>
      <c r="P19" s="270"/>
      <c r="Q19" s="226"/>
      <c r="R19" s="226"/>
      <c r="S19" s="226"/>
      <c r="T19" s="226"/>
      <c r="U19" s="226"/>
      <c r="AF19" s="11"/>
      <c r="AG19" s="11"/>
      <c r="AH19" s="11"/>
      <c r="AI19" s="11"/>
      <c r="AJ19" s="11"/>
      <c r="AK19" s="11"/>
      <c r="AL19" s="11"/>
    </row>
    <row r="20" spans="1:38" x14ac:dyDescent="0.25">
      <c r="A20" s="38">
        <f>+Données!A20</f>
        <v>5415</v>
      </c>
      <c r="B20" s="247" t="str">
        <f>+Données!B20</f>
        <v>Yvorne</v>
      </c>
      <c r="C20" s="235">
        <f>+Ecrêtage!C20</f>
        <v>33675.515990675995</v>
      </c>
      <c r="D20" s="233"/>
      <c r="E20" s="235">
        <f>Données!AF20+Données!AG20+Données!AH20</f>
        <v>0</v>
      </c>
      <c r="F20" s="233">
        <f t="shared" si="3"/>
        <v>269404.12792540796</v>
      </c>
      <c r="G20" s="8">
        <f t="shared" si="4"/>
        <v>0</v>
      </c>
      <c r="H20" s="313">
        <f t="shared" si="5"/>
        <v>0</v>
      </c>
      <c r="J20" s="8">
        <f>Données!AN20</f>
        <v>0</v>
      </c>
      <c r="K20" s="213">
        <f t="shared" si="6"/>
        <v>33675.515990675995</v>
      </c>
      <c r="L20" s="12">
        <f t="shared" si="7"/>
        <v>0</v>
      </c>
      <c r="M20" s="313">
        <f t="shared" si="8"/>
        <v>0</v>
      </c>
      <c r="O20" s="42">
        <f t="shared" si="9"/>
        <v>0</v>
      </c>
      <c r="P20" s="270"/>
      <c r="Q20" s="226"/>
      <c r="R20" s="226"/>
      <c r="S20" s="226"/>
      <c r="T20" s="226"/>
      <c r="U20" s="226"/>
      <c r="AF20" s="11"/>
      <c r="AG20" s="11"/>
      <c r="AH20" s="11"/>
      <c r="AI20" s="11"/>
      <c r="AJ20" s="11"/>
      <c r="AK20" s="11"/>
      <c r="AL20" s="11"/>
    </row>
    <row r="21" spans="1:38" s="217" customFormat="1" x14ac:dyDescent="0.25">
      <c r="A21" s="38">
        <f>+Données!A21</f>
        <v>5422</v>
      </c>
      <c r="B21" s="247" t="str">
        <f>+Données!B21</f>
        <v>Aubonne</v>
      </c>
      <c r="C21" s="235">
        <f>+Ecrêtage!C21</f>
        <v>297608.37742857152</v>
      </c>
      <c r="D21" s="233"/>
      <c r="E21" s="235">
        <f>Données!AF21+Données!AG21+Données!AH21</f>
        <v>0</v>
      </c>
      <c r="F21" s="233">
        <f t="shared" si="3"/>
        <v>2380867.0194285722</v>
      </c>
      <c r="G21" s="8">
        <f t="shared" si="4"/>
        <v>0</v>
      </c>
      <c r="H21" s="313">
        <f t="shared" si="5"/>
        <v>0</v>
      </c>
      <c r="I21" s="236"/>
      <c r="J21" s="8">
        <f>Données!AN21</f>
        <v>0</v>
      </c>
      <c r="K21" s="213">
        <f t="shared" si="6"/>
        <v>297608.37742857152</v>
      </c>
      <c r="L21" s="236">
        <f t="shared" si="7"/>
        <v>0</v>
      </c>
      <c r="M21" s="313">
        <f t="shared" si="8"/>
        <v>0</v>
      </c>
      <c r="N21" s="236"/>
      <c r="O21" s="42">
        <f t="shared" si="9"/>
        <v>0</v>
      </c>
      <c r="P21" s="270"/>
      <c r="Q21" s="226"/>
      <c r="R21" s="226"/>
      <c r="S21" s="226"/>
      <c r="T21" s="226"/>
      <c r="U21" s="226"/>
    </row>
    <row r="22" spans="1:38" x14ac:dyDescent="0.25">
      <c r="A22" s="38">
        <f>+Données!A22</f>
        <v>5423</v>
      </c>
      <c r="B22" s="247" t="str">
        <f>+Données!B22</f>
        <v>Ballens</v>
      </c>
      <c r="C22" s="235">
        <f>+Ecrêtage!C22</f>
        <v>17345.890547945211</v>
      </c>
      <c r="D22" s="233"/>
      <c r="E22" s="235">
        <f>Données!AF22+Données!AG22+Données!AH22</f>
        <v>0</v>
      </c>
      <c r="F22" s="233">
        <f t="shared" si="3"/>
        <v>138767.12438356169</v>
      </c>
      <c r="G22" s="8">
        <f t="shared" si="4"/>
        <v>0</v>
      </c>
      <c r="H22" s="313">
        <f t="shared" si="5"/>
        <v>0</v>
      </c>
      <c r="J22" s="8">
        <f>Données!AN22</f>
        <v>0</v>
      </c>
      <c r="K22" s="213">
        <f t="shared" si="6"/>
        <v>17345.890547945211</v>
      </c>
      <c r="L22" s="12">
        <f t="shared" si="7"/>
        <v>0</v>
      </c>
      <c r="M22" s="313">
        <f t="shared" si="8"/>
        <v>0</v>
      </c>
      <c r="O22" s="42">
        <f t="shared" si="9"/>
        <v>0</v>
      </c>
      <c r="P22" s="270"/>
      <c r="Q22" s="226"/>
      <c r="R22" s="226"/>
      <c r="S22" s="226"/>
      <c r="T22" s="226"/>
      <c r="U22" s="226"/>
      <c r="AF22" s="11"/>
      <c r="AG22" s="11"/>
      <c r="AH22" s="11"/>
      <c r="AI22" s="11"/>
      <c r="AJ22" s="11"/>
      <c r="AK22" s="11"/>
      <c r="AL22" s="11"/>
    </row>
    <row r="23" spans="1:38" x14ac:dyDescent="0.25">
      <c r="A23" s="38">
        <f>+Données!A23</f>
        <v>5424</v>
      </c>
      <c r="B23" s="247" t="str">
        <f>+Données!B23</f>
        <v>Berolle</v>
      </c>
      <c r="C23" s="235">
        <f>+Ecrêtage!C23</f>
        <v>10263.254304635762</v>
      </c>
      <c r="D23" s="233"/>
      <c r="E23" s="235">
        <f>Données!AF23+Données!AG23+Données!AH23</f>
        <v>0</v>
      </c>
      <c r="F23" s="233">
        <f t="shared" si="3"/>
        <v>82106.034437086098</v>
      </c>
      <c r="G23" s="8">
        <f t="shared" si="4"/>
        <v>0</v>
      </c>
      <c r="H23" s="313">
        <f t="shared" si="5"/>
        <v>0</v>
      </c>
      <c r="J23" s="8">
        <f>Données!AN23</f>
        <v>0</v>
      </c>
      <c r="K23" s="213">
        <f t="shared" si="6"/>
        <v>10263.254304635762</v>
      </c>
      <c r="L23" s="12">
        <f t="shared" si="7"/>
        <v>0</v>
      </c>
      <c r="M23" s="313">
        <f t="shared" si="8"/>
        <v>0</v>
      </c>
      <c r="O23" s="42">
        <f t="shared" si="9"/>
        <v>0</v>
      </c>
      <c r="P23" s="270"/>
      <c r="Q23" s="226"/>
      <c r="R23" s="226"/>
      <c r="S23" s="226"/>
      <c r="T23" s="226"/>
      <c r="U23" s="226"/>
      <c r="AF23" s="11"/>
      <c r="AG23" s="11"/>
      <c r="AH23" s="11"/>
      <c r="AI23" s="11"/>
      <c r="AJ23" s="11"/>
      <c r="AK23" s="11"/>
      <c r="AL23" s="11"/>
    </row>
    <row r="24" spans="1:38" x14ac:dyDescent="0.25">
      <c r="A24" s="38">
        <f>+Données!A24</f>
        <v>5425</v>
      </c>
      <c r="B24" s="247" t="str">
        <f>+Données!B24</f>
        <v>Bière</v>
      </c>
      <c r="C24" s="235">
        <f>+Ecrêtage!C24</f>
        <v>42247.955252373817</v>
      </c>
      <c r="D24" s="233"/>
      <c r="E24" s="235">
        <f>Données!AF24+Données!AG24+Données!AH24</f>
        <v>0</v>
      </c>
      <c r="F24" s="233">
        <f t="shared" si="3"/>
        <v>337983.64201899053</v>
      </c>
      <c r="G24" s="8">
        <f t="shared" si="4"/>
        <v>0</v>
      </c>
      <c r="H24" s="313">
        <f t="shared" si="5"/>
        <v>0</v>
      </c>
      <c r="J24" s="8">
        <f>Données!AN24</f>
        <v>0</v>
      </c>
      <c r="K24" s="213">
        <f t="shared" si="6"/>
        <v>42247.955252373817</v>
      </c>
      <c r="L24" s="12">
        <f t="shared" si="7"/>
        <v>0</v>
      </c>
      <c r="M24" s="313">
        <f t="shared" si="8"/>
        <v>0</v>
      </c>
      <c r="O24" s="42">
        <f t="shared" si="9"/>
        <v>0</v>
      </c>
      <c r="P24" s="270"/>
      <c r="Q24" s="226"/>
      <c r="R24" s="226"/>
      <c r="S24" s="226"/>
      <c r="T24" s="226"/>
      <c r="U24" s="226"/>
      <c r="AF24" s="11"/>
      <c r="AG24" s="11"/>
      <c r="AH24" s="11"/>
      <c r="AI24" s="11"/>
      <c r="AJ24" s="11"/>
      <c r="AK24" s="11"/>
      <c r="AL24" s="11"/>
    </row>
    <row r="25" spans="1:38" x14ac:dyDescent="0.25">
      <c r="A25" s="38">
        <f>+Données!A25</f>
        <v>5426</v>
      </c>
      <c r="B25" s="247" t="str">
        <f>+Données!B25</f>
        <v>Bougy-Villars</v>
      </c>
      <c r="C25" s="235">
        <f>+Ecrêtage!C25</f>
        <v>61985.534935400508</v>
      </c>
      <c r="D25" s="233"/>
      <c r="E25" s="235">
        <f>Données!AF25+Données!AG25+Données!AH25</f>
        <v>0</v>
      </c>
      <c r="F25" s="233">
        <f t="shared" si="3"/>
        <v>495884.27948320407</v>
      </c>
      <c r="G25" s="8">
        <f t="shared" si="4"/>
        <v>0</v>
      </c>
      <c r="H25" s="313">
        <f t="shared" si="5"/>
        <v>0</v>
      </c>
      <c r="J25" s="8">
        <f>Données!AN25</f>
        <v>0</v>
      </c>
      <c r="K25" s="213">
        <f t="shared" si="6"/>
        <v>61985.534935400508</v>
      </c>
      <c r="L25" s="12">
        <f t="shared" si="7"/>
        <v>0</v>
      </c>
      <c r="M25" s="313">
        <f t="shared" si="8"/>
        <v>0</v>
      </c>
      <c r="O25" s="42">
        <f t="shared" si="9"/>
        <v>0</v>
      </c>
      <c r="P25" s="270"/>
      <c r="Q25" s="226"/>
      <c r="R25" s="226"/>
      <c r="S25" s="226"/>
      <c r="T25" s="226"/>
      <c r="U25" s="226"/>
      <c r="AF25" s="11"/>
      <c r="AG25" s="11"/>
      <c r="AH25" s="11"/>
      <c r="AI25" s="11"/>
      <c r="AJ25" s="11"/>
      <c r="AK25" s="11"/>
      <c r="AL25" s="11"/>
    </row>
    <row r="26" spans="1:38" x14ac:dyDescent="0.25">
      <c r="A26" s="38">
        <f>+Données!A26</f>
        <v>5427</v>
      </c>
      <c r="B26" s="247" t="str">
        <f>+Données!B26</f>
        <v>Féchy</v>
      </c>
      <c r="C26" s="235">
        <f>+Ecrêtage!C26</f>
        <v>86972.782199519221</v>
      </c>
      <c r="D26" s="233"/>
      <c r="E26" s="235">
        <f>Données!AF26+Données!AG26+Données!AH26</f>
        <v>0</v>
      </c>
      <c r="F26" s="233">
        <f t="shared" si="3"/>
        <v>695782.25759615377</v>
      </c>
      <c r="G26" s="8">
        <f t="shared" si="4"/>
        <v>0</v>
      </c>
      <c r="H26" s="313">
        <f t="shared" si="5"/>
        <v>0</v>
      </c>
      <c r="J26" s="8">
        <f>Données!AN26</f>
        <v>0</v>
      </c>
      <c r="K26" s="213">
        <f t="shared" si="6"/>
        <v>86972.782199519221</v>
      </c>
      <c r="L26" s="12">
        <f t="shared" si="7"/>
        <v>0</v>
      </c>
      <c r="M26" s="313">
        <f t="shared" si="8"/>
        <v>0</v>
      </c>
      <c r="O26" s="42">
        <f t="shared" si="9"/>
        <v>0</v>
      </c>
      <c r="P26" s="270"/>
      <c r="Q26" s="226"/>
      <c r="R26" s="226"/>
      <c r="S26" s="226"/>
      <c r="T26" s="226"/>
      <c r="U26" s="226"/>
      <c r="AF26" s="11"/>
      <c r="AG26" s="11"/>
      <c r="AH26" s="11"/>
      <c r="AI26" s="11"/>
      <c r="AJ26" s="11"/>
      <c r="AK26" s="11"/>
      <c r="AL26" s="11"/>
    </row>
    <row r="27" spans="1:38" x14ac:dyDescent="0.25">
      <c r="A27" s="38">
        <f>+Données!A27</f>
        <v>5428</v>
      </c>
      <c r="B27" s="247" t="str">
        <f>+Données!B27</f>
        <v>Gimel</v>
      </c>
      <c r="C27" s="235">
        <f>+Ecrêtage!C27</f>
        <v>71357.587986577171</v>
      </c>
      <c r="D27" s="233"/>
      <c r="E27" s="235">
        <f>Données!AF27+Données!AG27+Données!AH27</f>
        <v>0</v>
      </c>
      <c r="F27" s="233">
        <f t="shared" si="3"/>
        <v>570860.70389261737</v>
      </c>
      <c r="G27" s="8">
        <f t="shared" si="4"/>
        <v>0</v>
      </c>
      <c r="H27" s="313">
        <f t="shared" si="5"/>
        <v>0</v>
      </c>
      <c r="J27" s="8">
        <f>Données!AN27</f>
        <v>0</v>
      </c>
      <c r="K27" s="213">
        <f t="shared" si="6"/>
        <v>71357.587986577171</v>
      </c>
      <c r="L27" s="12">
        <f t="shared" si="7"/>
        <v>0</v>
      </c>
      <c r="M27" s="313">
        <f t="shared" si="8"/>
        <v>0</v>
      </c>
      <c r="O27" s="42">
        <f t="shared" si="9"/>
        <v>0</v>
      </c>
      <c r="P27" s="270"/>
      <c r="Q27" s="226"/>
      <c r="R27" s="226"/>
      <c r="S27" s="226"/>
      <c r="T27" s="226"/>
      <c r="U27" s="226"/>
      <c r="AF27" s="11"/>
      <c r="AG27" s="11"/>
      <c r="AH27" s="11"/>
      <c r="AI27" s="11"/>
      <c r="AJ27" s="11"/>
      <c r="AK27" s="11"/>
      <c r="AL27" s="11"/>
    </row>
    <row r="28" spans="1:38" x14ac:dyDescent="0.25">
      <c r="A28" s="38">
        <f>+Données!A28</f>
        <v>5429</v>
      </c>
      <c r="B28" s="247" t="str">
        <f>+Données!B28</f>
        <v>Longirod</v>
      </c>
      <c r="C28" s="235">
        <f>+Ecrêtage!C28</f>
        <v>17142.381290322584</v>
      </c>
      <c r="D28" s="233"/>
      <c r="E28" s="235">
        <f>Données!AF28+Données!AG28+Données!AH28</f>
        <v>0</v>
      </c>
      <c r="F28" s="233">
        <f t="shared" si="3"/>
        <v>137139.05032258068</v>
      </c>
      <c r="G28" s="8">
        <f t="shared" si="4"/>
        <v>0</v>
      </c>
      <c r="H28" s="313">
        <f t="shared" si="5"/>
        <v>0</v>
      </c>
      <c r="J28" s="8">
        <f>Données!AN28</f>
        <v>0</v>
      </c>
      <c r="K28" s="213">
        <f t="shared" si="6"/>
        <v>17142.381290322584</v>
      </c>
      <c r="L28" s="12">
        <f t="shared" si="7"/>
        <v>0</v>
      </c>
      <c r="M28" s="313">
        <f t="shared" si="8"/>
        <v>0</v>
      </c>
      <c r="O28" s="42">
        <f t="shared" si="9"/>
        <v>0</v>
      </c>
      <c r="P28" s="270"/>
      <c r="Q28" s="226"/>
      <c r="R28" s="226"/>
      <c r="S28" s="226"/>
      <c r="T28" s="226"/>
      <c r="U28" s="226"/>
      <c r="AF28" s="11"/>
      <c r="AG28" s="11"/>
      <c r="AH28" s="11"/>
      <c r="AI28" s="11"/>
      <c r="AJ28" s="11"/>
      <c r="AK28" s="11"/>
      <c r="AL28" s="11"/>
    </row>
    <row r="29" spans="1:38" x14ac:dyDescent="0.25">
      <c r="A29" s="38">
        <f>+Données!A29</f>
        <v>5430</v>
      </c>
      <c r="B29" s="247" t="str">
        <f>+Données!B29</f>
        <v>Marchissy</v>
      </c>
      <c r="C29" s="235">
        <f>+Ecrêtage!C29</f>
        <v>17121.715483870968</v>
      </c>
      <c r="D29" s="233"/>
      <c r="E29" s="235">
        <f>Données!AF29+Données!AG29+Données!AH29</f>
        <v>0</v>
      </c>
      <c r="F29" s="233">
        <f t="shared" si="3"/>
        <v>136973.72387096775</v>
      </c>
      <c r="G29" s="8">
        <f t="shared" si="4"/>
        <v>0</v>
      </c>
      <c r="H29" s="313">
        <f t="shared" si="5"/>
        <v>0</v>
      </c>
      <c r="J29" s="8">
        <f>Données!AN29</f>
        <v>0</v>
      </c>
      <c r="K29" s="213">
        <f t="shared" si="6"/>
        <v>17121.715483870968</v>
      </c>
      <c r="L29" s="12">
        <f t="shared" si="7"/>
        <v>0</v>
      </c>
      <c r="M29" s="313">
        <f t="shared" si="8"/>
        <v>0</v>
      </c>
      <c r="O29" s="42">
        <f t="shared" si="9"/>
        <v>0</v>
      </c>
      <c r="P29" s="270"/>
      <c r="Q29" s="226"/>
      <c r="R29" s="226"/>
      <c r="S29" s="226"/>
      <c r="T29" s="226"/>
      <c r="U29" s="226"/>
      <c r="AF29" s="11"/>
      <c r="AG29" s="11"/>
      <c r="AH29" s="11"/>
      <c r="AI29" s="11"/>
      <c r="AJ29" s="11"/>
      <c r="AK29" s="11"/>
      <c r="AL29" s="11"/>
    </row>
    <row r="30" spans="1:38" x14ac:dyDescent="0.25">
      <c r="A30" s="38">
        <f>+Données!A30</f>
        <v>5431</v>
      </c>
      <c r="B30" s="247" t="str">
        <f>+Données!B30</f>
        <v>Mollens</v>
      </c>
      <c r="C30" s="235">
        <f>+Ecrêtage!C30</f>
        <v>9475.049594594595</v>
      </c>
      <c r="D30" s="233"/>
      <c r="E30" s="235">
        <f>Données!AF30+Données!AG30+Données!AH30</f>
        <v>0</v>
      </c>
      <c r="F30" s="233">
        <f t="shared" si="3"/>
        <v>75800.39675675676</v>
      </c>
      <c r="G30" s="8">
        <f t="shared" si="4"/>
        <v>0</v>
      </c>
      <c r="H30" s="313">
        <f t="shared" si="5"/>
        <v>0</v>
      </c>
      <c r="J30" s="8">
        <f>Données!AN30</f>
        <v>0</v>
      </c>
      <c r="K30" s="213">
        <f t="shared" si="6"/>
        <v>9475.049594594595</v>
      </c>
      <c r="L30" s="12">
        <f t="shared" si="7"/>
        <v>0</v>
      </c>
      <c r="M30" s="313">
        <f t="shared" si="8"/>
        <v>0</v>
      </c>
      <c r="O30" s="42">
        <f t="shared" si="9"/>
        <v>0</v>
      </c>
      <c r="P30" s="270"/>
      <c r="Q30" s="226"/>
      <c r="R30" s="226"/>
      <c r="S30" s="226"/>
      <c r="T30" s="226"/>
      <c r="U30" s="226"/>
      <c r="AF30" s="11"/>
      <c r="AG30" s="11"/>
      <c r="AH30" s="11"/>
      <c r="AI30" s="11"/>
      <c r="AJ30" s="11"/>
      <c r="AK30" s="11"/>
      <c r="AL30" s="11"/>
    </row>
    <row r="31" spans="1:38" x14ac:dyDescent="0.25">
      <c r="A31" s="38">
        <f>+Données!A31</f>
        <v>5434</v>
      </c>
      <c r="B31" s="247" t="str">
        <f>+Données!B31</f>
        <v>Saint-George</v>
      </c>
      <c r="C31" s="235">
        <f>+Ecrêtage!C31</f>
        <v>41109.419880095913</v>
      </c>
      <c r="D31" s="233"/>
      <c r="E31" s="235">
        <f>Données!AF31+Données!AG31+Données!AH31</f>
        <v>0</v>
      </c>
      <c r="F31" s="233">
        <f t="shared" si="3"/>
        <v>328875.3590407673</v>
      </c>
      <c r="G31" s="8">
        <f t="shared" si="4"/>
        <v>0</v>
      </c>
      <c r="H31" s="313">
        <f t="shared" si="5"/>
        <v>0</v>
      </c>
      <c r="J31" s="8">
        <f>Données!AN31</f>
        <v>0</v>
      </c>
      <c r="K31" s="213">
        <f t="shared" si="6"/>
        <v>41109.419880095913</v>
      </c>
      <c r="L31" s="12">
        <f t="shared" si="7"/>
        <v>0</v>
      </c>
      <c r="M31" s="313">
        <f t="shared" si="8"/>
        <v>0</v>
      </c>
      <c r="O31" s="42">
        <f t="shared" si="9"/>
        <v>0</v>
      </c>
      <c r="P31" s="270"/>
      <c r="Q31" s="226"/>
      <c r="R31" s="226"/>
      <c r="S31" s="226"/>
      <c r="T31" s="226"/>
      <c r="U31" s="226"/>
      <c r="AF31" s="11"/>
      <c r="AG31" s="11"/>
      <c r="AH31" s="11"/>
      <c r="AI31" s="11"/>
      <c r="AJ31" s="11"/>
      <c r="AK31" s="11"/>
      <c r="AL31" s="11"/>
    </row>
    <row r="32" spans="1:38" x14ac:dyDescent="0.25">
      <c r="A32" s="38">
        <f>+Données!A32</f>
        <v>5435</v>
      </c>
      <c r="B32" s="247" t="str">
        <f>+Données!B32</f>
        <v>Saint-Livres</v>
      </c>
      <c r="C32" s="235">
        <f>+Ecrêtage!C32</f>
        <v>25462.29188405797</v>
      </c>
      <c r="D32" s="233"/>
      <c r="E32" s="235">
        <f>Données!AF32+Données!AG32+Données!AH32</f>
        <v>0</v>
      </c>
      <c r="F32" s="233">
        <f t="shared" si="3"/>
        <v>203698.33507246376</v>
      </c>
      <c r="G32" s="8">
        <f t="shared" si="4"/>
        <v>0</v>
      </c>
      <c r="H32" s="313">
        <f t="shared" si="5"/>
        <v>0</v>
      </c>
      <c r="J32" s="8">
        <f>Données!AN32</f>
        <v>0</v>
      </c>
      <c r="K32" s="213">
        <f t="shared" si="6"/>
        <v>25462.29188405797</v>
      </c>
      <c r="L32" s="12">
        <f t="shared" si="7"/>
        <v>0</v>
      </c>
      <c r="M32" s="313">
        <f t="shared" si="8"/>
        <v>0</v>
      </c>
      <c r="O32" s="42">
        <f t="shared" si="9"/>
        <v>0</v>
      </c>
      <c r="P32" s="270"/>
      <c r="Q32" s="226"/>
      <c r="R32" s="226"/>
      <c r="S32" s="226"/>
      <c r="T32" s="226"/>
      <c r="U32" s="226"/>
      <c r="AF32" s="11"/>
      <c r="AG32" s="11"/>
      <c r="AH32" s="11"/>
      <c r="AI32" s="11"/>
      <c r="AJ32" s="11"/>
      <c r="AK32" s="11"/>
      <c r="AL32" s="11"/>
    </row>
    <row r="33" spans="1:38" x14ac:dyDescent="0.25">
      <c r="A33" s="38">
        <f>+Données!A33</f>
        <v>5436</v>
      </c>
      <c r="B33" s="247" t="str">
        <f>+Données!B33</f>
        <v>Saint-Oyens</v>
      </c>
      <c r="C33" s="235">
        <f>+Ecrêtage!C33</f>
        <v>16425.371772151899</v>
      </c>
      <c r="D33" s="233"/>
      <c r="E33" s="235">
        <f>Données!AF33+Données!AG33+Données!AH33</f>
        <v>0</v>
      </c>
      <c r="F33" s="233">
        <f t="shared" si="3"/>
        <v>131402.97417721519</v>
      </c>
      <c r="G33" s="8">
        <f t="shared" si="4"/>
        <v>0</v>
      </c>
      <c r="H33" s="313">
        <f t="shared" si="5"/>
        <v>0</v>
      </c>
      <c r="J33" s="8">
        <f>Données!AN33</f>
        <v>0</v>
      </c>
      <c r="K33" s="213">
        <f t="shared" si="6"/>
        <v>16425.371772151899</v>
      </c>
      <c r="L33" s="12">
        <f t="shared" si="7"/>
        <v>0</v>
      </c>
      <c r="M33" s="313">
        <f t="shared" si="8"/>
        <v>0</v>
      </c>
      <c r="O33" s="42">
        <f t="shared" si="9"/>
        <v>0</v>
      </c>
      <c r="P33" s="270"/>
      <c r="Q33" s="226"/>
      <c r="R33" s="226"/>
      <c r="S33" s="226"/>
      <c r="T33" s="226"/>
      <c r="U33" s="226"/>
      <c r="AF33" s="11"/>
      <c r="AG33" s="11"/>
      <c r="AH33" s="11"/>
      <c r="AI33" s="11"/>
      <c r="AJ33" s="11"/>
      <c r="AK33" s="11"/>
      <c r="AL33" s="11"/>
    </row>
    <row r="34" spans="1:38" x14ac:dyDescent="0.25">
      <c r="A34" s="38">
        <f>+Données!A34</f>
        <v>5437</v>
      </c>
      <c r="B34" s="247" t="str">
        <f>+Données!B34</f>
        <v>Saubraz</v>
      </c>
      <c r="C34" s="235">
        <f>+Ecrêtage!C34</f>
        <v>12127.91725</v>
      </c>
      <c r="D34" s="233"/>
      <c r="E34" s="235">
        <f>Données!AF34+Données!AG34+Données!AH34</f>
        <v>0</v>
      </c>
      <c r="F34" s="233">
        <f t="shared" si="3"/>
        <v>97023.338000000003</v>
      </c>
      <c r="G34" s="8">
        <f t="shared" si="4"/>
        <v>0</v>
      </c>
      <c r="H34" s="313">
        <f t="shared" si="5"/>
        <v>0</v>
      </c>
      <c r="J34" s="8">
        <f>Données!AN34</f>
        <v>0</v>
      </c>
      <c r="K34" s="213">
        <f t="shared" si="6"/>
        <v>12127.91725</v>
      </c>
      <c r="L34" s="12">
        <f t="shared" si="7"/>
        <v>0</v>
      </c>
      <c r="M34" s="313">
        <f t="shared" si="8"/>
        <v>0</v>
      </c>
      <c r="O34" s="42">
        <f t="shared" si="9"/>
        <v>0</v>
      </c>
      <c r="P34" s="270"/>
      <c r="Q34" s="226"/>
      <c r="R34" s="226"/>
      <c r="S34" s="226"/>
      <c r="T34" s="226"/>
      <c r="U34" s="226"/>
      <c r="AF34" s="11"/>
      <c r="AG34" s="11"/>
      <c r="AH34" s="11"/>
      <c r="AI34" s="11"/>
      <c r="AJ34" s="11"/>
      <c r="AK34" s="11"/>
      <c r="AL34" s="11"/>
    </row>
    <row r="35" spans="1:38" x14ac:dyDescent="0.25">
      <c r="A35" s="38">
        <f>+Données!A35</f>
        <v>5451</v>
      </c>
      <c r="B35" s="247" t="str">
        <f>+Données!B35</f>
        <v>Avenches</v>
      </c>
      <c r="C35" s="235">
        <f>+Ecrêtage!C35</f>
        <v>142633.11649122802</v>
      </c>
      <c r="D35" s="233"/>
      <c r="E35" s="235">
        <f>Données!AF35+Données!AG35+Données!AH35</f>
        <v>0</v>
      </c>
      <c r="F35" s="233">
        <f t="shared" si="3"/>
        <v>1141064.9319298242</v>
      </c>
      <c r="G35" s="8">
        <f t="shared" si="4"/>
        <v>0</v>
      </c>
      <c r="H35" s="313">
        <f t="shared" si="5"/>
        <v>0</v>
      </c>
      <c r="J35" s="8">
        <f>Données!AN35</f>
        <v>0</v>
      </c>
      <c r="K35" s="213">
        <f t="shared" si="6"/>
        <v>142633.11649122802</v>
      </c>
      <c r="L35" s="12">
        <f t="shared" si="7"/>
        <v>0</v>
      </c>
      <c r="M35" s="313">
        <f t="shared" si="8"/>
        <v>0</v>
      </c>
      <c r="O35" s="42">
        <f t="shared" si="9"/>
        <v>0</v>
      </c>
      <c r="P35" s="270"/>
      <c r="Q35" s="226"/>
      <c r="R35" s="226"/>
      <c r="S35" s="226"/>
      <c r="T35" s="226"/>
      <c r="U35" s="226"/>
      <c r="AF35" s="11"/>
      <c r="AG35" s="11"/>
      <c r="AH35" s="11"/>
      <c r="AI35" s="11"/>
      <c r="AJ35" s="11"/>
      <c r="AK35" s="11"/>
      <c r="AL35" s="11"/>
    </row>
    <row r="36" spans="1:38" x14ac:dyDescent="0.25">
      <c r="A36" s="38">
        <f>+Données!A36</f>
        <v>5456</v>
      </c>
      <c r="B36" s="247" t="str">
        <f>+Données!B36</f>
        <v>Cudrefin</v>
      </c>
      <c r="C36" s="235">
        <f>+Ecrêtage!C36</f>
        <v>64060.385932203382</v>
      </c>
      <c r="D36" s="233"/>
      <c r="E36" s="235">
        <f>Données!AF36+Données!AG36+Données!AH36</f>
        <v>0</v>
      </c>
      <c r="F36" s="233">
        <f t="shared" si="3"/>
        <v>512483.08745762706</v>
      </c>
      <c r="G36" s="8">
        <f t="shared" si="4"/>
        <v>0</v>
      </c>
      <c r="H36" s="313">
        <f t="shared" si="5"/>
        <v>0</v>
      </c>
      <c r="J36" s="8">
        <f>Données!AN36</f>
        <v>0</v>
      </c>
      <c r="K36" s="213">
        <f t="shared" si="6"/>
        <v>64060.385932203382</v>
      </c>
      <c r="L36" s="12">
        <f t="shared" si="7"/>
        <v>0</v>
      </c>
      <c r="M36" s="313">
        <f t="shared" si="8"/>
        <v>0</v>
      </c>
      <c r="O36" s="42">
        <f t="shared" si="9"/>
        <v>0</v>
      </c>
      <c r="P36" s="270"/>
      <c r="Q36" s="226"/>
      <c r="R36" s="226"/>
      <c r="S36" s="226"/>
      <c r="T36" s="226"/>
      <c r="U36" s="226"/>
      <c r="AF36" s="11"/>
      <c r="AG36" s="11"/>
      <c r="AH36" s="11"/>
      <c r="AI36" s="11"/>
      <c r="AJ36" s="11"/>
      <c r="AK36" s="11"/>
      <c r="AL36" s="11"/>
    </row>
    <row r="37" spans="1:38" x14ac:dyDescent="0.25">
      <c r="A37" s="38">
        <f>+Données!A37</f>
        <v>5458</v>
      </c>
      <c r="B37" s="247" t="str">
        <f>+Données!B37</f>
        <v>Faoug</v>
      </c>
      <c r="C37" s="235">
        <f>+Ecrêtage!C37</f>
        <v>32630.920512820507</v>
      </c>
      <c r="D37" s="233"/>
      <c r="E37" s="235">
        <f>Données!AF37+Données!AG37+Données!AH37</f>
        <v>0</v>
      </c>
      <c r="F37" s="233">
        <f t="shared" si="3"/>
        <v>261047.36410256405</v>
      </c>
      <c r="G37" s="8">
        <f t="shared" si="4"/>
        <v>0</v>
      </c>
      <c r="H37" s="313">
        <f t="shared" si="5"/>
        <v>0</v>
      </c>
      <c r="J37" s="8">
        <f>Données!AN37</f>
        <v>0</v>
      </c>
      <c r="K37" s="213">
        <f t="shared" si="6"/>
        <v>32630.920512820507</v>
      </c>
      <c r="L37" s="12">
        <f t="shared" si="7"/>
        <v>0</v>
      </c>
      <c r="M37" s="313">
        <f t="shared" si="8"/>
        <v>0</v>
      </c>
      <c r="O37" s="42">
        <f t="shared" si="9"/>
        <v>0</v>
      </c>
      <c r="P37" s="270"/>
      <c r="Q37" s="226"/>
      <c r="R37" s="226"/>
      <c r="S37" s="226"/>
      <c r="T37" s="226"/>
      <c r="U37" s="226"/>
      <c r="AF37" s="11"/>
      <c r="AG37" s="11"/>
      <c r="AH37" s="11"/>
      <c r="AI37" s="11"/>
      <c r="AJ37" s="11"/>
      <c r="AK37" s="11"/>
      <c r="AL37" s="11"/>
    </row>
    <row r="38" spans="1:38" x14ac:dyDescent="0.25">
      <c r="A38" s="38">
        <f>+Données!A38</f>
        <v>5464</v>
      </c>
      <c r="B38" s="247" t="str">
        <f>+Données!B38</f>
        <v>Vully-les-Lacs</v>
      </c>
      <c r="C38" s="235">
        <f>+Ecrêtage!C38</f>
        <v>117933.44731343284</v>
      </c>
      <c r="D38" s="233"/>
      <c r="E38" s="235">
        <f>Données!AF38+Données!AG38+Données!AH38</f>
        <v>0</v>
      </c>
      <c r="F38" s="233">
        <f t="shared" si="3"/>
        <v>943467.57850746275</v>
      </c>
      <c r="G38" s="8">
        <f t="shared" si="4"/>
        <v>0</v>
      </c>
      <c r="H38" s="313">
        <f t="shared" si="5"/>
        <v>0</v>
      </c>
      <c r="J38" s="8">
        <f>Données!AN38</f>
        <v>0</v>
      </c>
      <c r="K38" s="213">
        <f t="shared" si="6"/>
        <v>117933.44731343284</v>
      </c>
      <c r="L38" s="12">
        <f t="shared" si="7"/>
        <v>0</v>
      </c>
      <c r="M38" s="313">
        <f t="shared" si="8"/>
        <v>0</v>
      </c>
      <c r="O38" s="42">
        <f t="shared" si="9"/>
        <v>0</v>
      </c>
      <c r="P38" s="270"/>
      <c r="Q38" s="226"/>
      <c r="R38" s="226"/>
      <c r="S38" s="226"/>
      <c r="T38" s="226"/>
      <c r="U38" s="226"/>
      <c r="AF38" s="11"/>
      <c r="AG38" s="11"/>
      <c r="AH38" s="11"/>
      <c r="AI38" s="11"/>
      <c r="AJ38" s="11"/>
      <c r="AK38" s="11"/>
      <c r="AL38" s="11"/>
    </row>
    <row r="39" spans="1:38" x14ac:dyDescent="0.25">
      <c r="A39" s="38">
        <f>+Données!A39</f>
        <v>5471</v>
      </c>
      <c r="B39" s="247" t="str">
        <f>+Données!B39</f>
        <v>Bettens</v>
      </c>
      <c r="C39" s="235">
        <f>+Ecrêtage!C39</f>
        <v>22692.287412698413</v>
      </c>
      <c r="D39" s="233"/>
      <c r="E39" s="235">
        <f>Données!AF39+Données!AG39+Données!AH39</f>
        <v>0</v>
      </c>
      <c r="F39" s="233">
        <f t="shared" si="3"/>
        <v>181538.29930158731</v>
      </c>
      <c r="G39" s="8">
        <f t="shared" si="4"/>
        <v>0</v>
      </c>
      <c r="H39" s="313">
        <f t="shared" si="5"/>
        <v>0</v>
      </c>
      <c r="J39" s="8">
        <f>Données!AN39</f>
        <v>0</v>
      </c>
      <c r="K39" s="213">
        <f t="shared" si="6"/>
        <v>22692.287412698413</v>
      </c>
      <c r="L39" s="12">
        <f t="shared" si="7"/>
        <v>0</v>
      </c>
      <c r="M39" s="313">
        <f t="shared" si="8"/>
        <v>0</v>
      </c>
      <c r="O39" s="42">
        <f t="shared" si="9"/>
        <v>0</v>
      </c>
      <c r="P39" s="270"/>
      <c r="Q39" s="226"/>
      <c r="R39" s="226"/>
      <c r="S39" s="226"/>
      <c r="T39" s="226"/>
      <c r="U39" s="226"/>
      <c r="AF39" s="11"/>
      <c r="AG39" s="11"/>
      <c r="AH39" s="11"/>
      <c r="AI39" s="11"/>
      <c r="AJ39" s="11"/>
      <c r="AK39" s="11"/>
      <c r="AL39" s="11"/>
    </row>
    <row r="40" spans="1:38" x14ac:dyDescent="0.25">
      <c r="A40" s="38">
        <f>+Données!A40</f>
        <v>5472</v>
      </c>
      <c r="B40" s="247" t="str">
        <f>+Données!B40</f>
        <v>Bournens</v>
      </c>
      <c r="C40" s="235">
        <f>+Ecrêtage!C40</f>
        <v>19974.836617647059</v>
      </c>
      <c r="D40" s="233"/>
      <c r="E40" s="235">
        <f>Données!AF40+Données!AG40+Données!AH40</f>
        <v>0</v>
      </c>
      <c r="F40" s="233">
        <f t="shared" si="3"/>
        <v>159798.69294117647</v>
      </c>
      <c r="G40" s="8">
        <f t="shared" si="4"/>
        <v>0</v>
      </c>
      <c r="H40" s="313">
        <f t="shared" si="5"/>
        <v>0</v>
      </c>
      <c r="J40" s="8">
        <f>Données!AN40</f>
        <v>0</v>
      </c>
      <c r="K40" s="213">
        <f t="shared" si="6"/>
        <v>19974.836617647059</v>
      </c>
      <c r="L40" s="12">
        <f t="shared" si="7"/>
        <v>0</v>
      </c>
      <c r="M40" s="313">
        <f t="shared" si="8"/>
        <v>0</v>
      </c>
      <c r="O40" s="42">
        <f t="shared" si="9"/>
        <v>0</v>
      </c>
      <c r="P40" s="270"/>
      <c r="Q40" s="226"/>
      <c r="R40" s="226"/>
      <c r="S40" s="226"/>
      <c r="T40" s="226"/>
      <c r="U40" s="226"/>
      <c r="AF40" s="11"/>
      <c r="AG40" s="11"/>
      <c r="AH40" s="11"/>
      <c r="AI40" s="11"/>
      <c r="AJ40" s="11"/>
      <c r="AK40" s="11"/>
      <c r="AL40" s="11"/>
    </row>
    <row r="41" spans="1:38" x14ac:dyDescent="0.25">
      <c r="A41" s="38">
        <f>+Données!A41</f>
        <v>5473</v>
      </c>
      <c r="B41" s="247" t="str">
        <f>+Données!B41</f>
        <v>Boussens</v>
      </c>
      <c r="C41" s="235">
        <f>+Ecrêtage!C41</f>
        <v>42017.076666666668</v>
      </c>
      <c r="D41" s="233"/>
      <c r="E41" s="235">
        <f>Données!AF41+Données!AG41+Données!AH41</f>
        <v>0</v>
      </c>
      <c r="F41" s="233">
        <f t="shared" si="3"/>
        <v>336136.61333333334</v>
      </c>
      <c r="G41" s="8">
        <f t="shared" si="4"/>
        <v>0</v>
      </c>
      <c r="H41" s="313">
        <f t="shared" si="5"/>
        <v>0</v>
      </c>
      <c r="J41" s="8">
        <f>Données!AN41</f>
        <v>0</v>
      </c>
      <c r="K41" s="213">
        <f t="shared" si="6"/>
        <v>42017.076666666668</v>
      </c>
      <c r="L41" s="12">
        <f t="shared" si="7"/>
        <v>0</v>
      </c>
      <c r="M41" s="313">
        <f t="shared" si="8"/>
        <v>0</v>
      </c>
      <c r="O41" s="42">
        <f t="shared" si="9"/>
        <v>0</v>
      </c>
      <c r="P41" s="270"/>
      <c r="Q41" s="226"/>
      <c r="R41" s="226"/>
      <c r="S41" s="226"/>
      <c r="T41" s="226"/>
      <c r="U41" s="226"/>
      <c r="AF41" s="11"/>
      <c r="AG41" s="11"/>
      <c r="AH41" s="11"/>
      <c r="AI41" s="11"/>
      <c r="AJ41" s="11"/>
      <c r="AK41" s="11"/>
      <c r="AL41" s="11"/>
    </row>
    <row r="42" spans="1:38" x14ac:dyDescent="0.25">
      <c r="A42" s="38">
        <f>+Données!A42</f>
        <v>5474</v>
      </c>
      <c r="B42" s="247" t="str">
        <f>+Données!B42</f>
        <v>La Chaux (Cossonay)</v>
      </c>
      <c r="C42" s="235">
        <f>+Ecrêtage!C42</f>
        <v>13862.516425438596</v>
      </c>
      <c r="D42" s="233"/>
      <c r="E42" s="235">
        <f>Données!AF42+Données!AG42+Données!AH42</f>
        <v>0</v>
      </c>
      <c r="F42" s="233">
        <f t="shared" si="3"/>
        <v>110900.13140350877</v>
      </c>
      <c r="G42" s="8">
        <f t="shared" si="4"/>
        <v>0</v>
      </c>
      <c r="H42" s="313">
        <f t="shared" si="5"/>
        <v>0</v>
      </c>
      <c r="J42" s="8">
        <f>Données!AN42</f>
        <v>0</v>
      </c>
      <c r="K42" s="213">
        <f t="shared" si="6"/>
        <v>13862.516425438596</v>
      </c>
      <c r="L42" s="12">
        <f t="shared" si="7"/>
        <v>0</v>
      </c>
      <c r="M42" s="313">
        <f t="shared" si="8"/>
        <v>0</v>
      </c>
      <c r="O42" s="42">
        <f t="shared" si="9"/>
        <v>0</v>
      </c>
      <c r="P42" s="270"/>
      <c r="Q42" s="226"/>
      <c r="R42" s="226"/>
      <c r="S42" s="226"/>
      <c r="T42" s="226"/>
      <c r="U42" s="226"/>
      <c r="AF42" s="11"/>
      <c r="AG42" s="11"/>
      <c r="AH42" s="11"/>
      <c r="AI42" s="11"/>
      <c r="AJ42" s="11"/>
      <c r="AK42" s="11"/>
      <c r="AL42" s="11"/>
    </row>
    <row r="43" spans="1:38" x14ac:dyDescent="0.25">
      <c r="A43" s="38">
        <f>+Données!A43</f>
        <v>5475</v>
      </c>
      <c r="B43" s="247" t="str">
        <f>+Données!B43</f>
        <v>Chavannes-le-Veyron</v>
      </c>
      <c r="C43" s="235">
        <f>+Ecrêtage!C43</f>
        <v>4297.2048000000004</v>
      </c>
      <c r="D43" s="233"/>
      <c r="E43" s="235">
        <f>Données!AF43+Données!AG43+Données!AH43</f>
        <v>0</v>
      </c>
      <c r="F43" s="233">
        <f t="shared" si="3"/>
        <v>34377.638400000003</v>
      </c>
      <c r="G43" s="8">
        <f t="shared" si="4"/>
        <v>0</v>
      </c>
      <c r="H43" s="313">
        <f t="shared" si="5"/>
        <v>0</v>
      </c>
      <c r="J43" s="8">
        <f>Données!AN43</f>
        <v>0</v>
      </c>
      <c r="K43" s="213">
        <f t="shared" si="6"/>
        <v>4297.2048000000004</v>
      </c>
      <c r="L43" s="12">
        <f t="shared" si="7"/>
        <v>0</v>
      </c>
      <c r="M43" s="313">
        <f t="shared" si="8"/>
        <v>0</v>
      </c>
      <c r="O43" s="42">
        <f t="shared" si="9"/>
        <v>0</v>
      </c>
      <c r="P43" s="270"/>
      <c r="Q43" s="226"/>
      <c r="R43" s="226"/>
      <c r="S43" s="226"/>
      <c r="T43" s="226"/>
      <c r="U43" s="226"/>
      <c r="AF43" s="11"/>
      <c r="AG43" s="11"/>
      <c r="AH43" s="11"/>
      <c r="AI43" s="11"/>
      <c r="AJ43" s="11"/>
      <c r="AK43" s="11"/>
      <c r="AL43" s="11"/>
    </row>
    <row r="44" spans="1:38" x14ac:dyDescent="0.25">
      <c r="A44" s="38">
        <f>+Données!A44</f>
        <v>5476</v>
      </c>
      <c r="B44" s="247" t="str">
        <f>+Données!B44</f>
        <v>Chevilly</v>
      </c>
      <c r="C44" s="235">
        <f>+Ecrêtage!C44</f>
        <v>13558.452965517243</v>
      </c>
      <c r="D44" s="233"/>
      <c r="E44" s="235">
        <f>Données!AF44+Données!AG44+Données!AH44</f>
        <v>0</v>
      </c>
      <c r="F44" s="233">
        <f t="shared" si="3"/>
        <v>108467.62372413794</v>
      </c>
      <c r="G44" s="8">
        <f t="shared" si="4"/>
        <v>0</v>
      </c>
      <c r="H44" s="313">
        <f t="shared" si="5"/>
        <v>0</v>
      </c>
      <c r="J44" s="8">
        <f>Données!AN44</f>
        <v>0</v>
      </c>
      <c r="K44" s="213">
        <f t="shared" si="6"/>
        <v>13558.452965517243</v>
      </c>
      <c r="L44" s="12">
        <f t="shared" si="7"/>
        <v>0</v>
      </c>
      <c r="M44" s="313">
        <f t="shared" si="8"/>
        <v>0</v>
      </c>
      <c r="O44" s="42">
        <f t="shared" si="9"/>
        <v>0</v>
      </c>
      <c r="P44" s="270"/>
      <c r="Q44" s="226"/>
      <c r="R44" s="226"/>
      <c r="S44" s="226"/>
      <c r="T44" s="226"/>
      <c r="U44" s="226"/>
      <c r="AF44" s="11"/>
      <c r="AG44" s="11"/>
      <c r="AH44" s="11"/>
      <c r="AI44" s="11"/>
      <c r="AJ44" s="11"/>
      <c r="AK44" s="11"/>
      <c r="AL44" s="11"/>
    </row>
    <row r="45" spans="1:38" x14ac:dyDescent="0.25">
      <c r="A45" s="38">
        <f>+Données!A45</f>
        <v>5477</v>
      </c>
      <c r="B45" s="247" t="str">
        <f>+Données!B45</f>
        <v>Cossonay</v>
      </c>
      <c r="C45" s="235">
        <f>+Ecrêtage!C45</f>
        <v>151490.5288235294</v>
      </c>
      <c r="D45" s="233"/>
      <c r="E45" s="235">
        <f>Données!AF45+Données!AG45+Données!AH45</f>
        <v>0</v>
      </c>
      <c r="F45" s="233">
        <f t="shared" si="3"/>
        <v>1211924.2305882352</v>
      </c>
      <c r="G45" s="8">
        <f t="shared" si="4"/>
        <v>0</v>
      </c>
      <c r="H45" s="313">
        <f t="shared" si="5"/>
        <v>0</v>
      </c>
      <c r="J45" s="8">
        <f>Données!AN45</f>
        <v>0</v>
      </c>
      <c r="K45" s="213">
        <f t="shared" si="6"/>
        <v>151490.5288235294</v>
      </c>
      <c r="L45" s="12">
        <f t="shared" si="7"/>
        <v>0</v>
      </c>
      <c r="M45" s="313">
        <f t="shared" si="8"/>
        <v>0</v>
      </c>
      <c r="O45" s="42">
        <f t="shared" si="9"/>
        <v>0</v>
      </c>
      <c r="P45" s="270"/>
      <c r="Q45" s="226"/>
      <c r="R45" s="226"/>
      <c r="S45" s="226"/>
      <c r="T45" s="226"/>
      <c r="U45" s="226"/>
      <c r="AF45" s="11"/>
      <c r="AG45" s="11"/>
      <c r="AH45" s="11"/>
      <c r="AI45" s="11"/>
      <c r="AJ45" s="11"/>
      <c r="AK45" s="11"/>
      <c r="AL45" s="11"/>
    </row>
    <row r="46" spans="1:38" x14ac:dyDescent="0.25">
      <c r="A46" s="38">
        <f>+Données!A46</f>
        <v>5479</v>
      </c>
      <c r="B46" s="247" t="str">
        <f>+Données!B46</f>
        <v>Cuarnens</v>
      </c>
      <c r="C46" s="235">
        <f>+Ecrêtage!C46</f>
        <v>14331.337792207793</v>
      </c>
      <c r="D46" s="233"/>
      <c r="E46" s="235">
        <f>Données!AF46+Données!AG46+Données!AH46</f>
        <v>0</v>
      </c>
      <c r="F46" s="233">
        <f t="shared" si="3"/>
        <v>114650.70233766234</v>
      </c>
      <c r="G46" s="8">
        <f t="shared" si="4"/>
        <v>0</v>
      </c>
      <c r="H46" s="313">
        <f t="shared" si="5"/>
        <v>0</v>
      </c>
      <c r="J46" s="8">
        <f>Données!AN46</f>
        <v>0</v>
      </c>
      <c r="K46" s="213">
        <f t="shared" si="6"/>
        <v>14331.337792207793</v>
      </c>
      <c r="L46" s="12">
        <f t="shared" si="7"/>
        <v>0</v>
      </c>
      <c r="M46" s="313">
        <f t="shared" si="8"/>
        <v>0</v>
      </c>
      <c r="O46" s="42">
        <f t="shared" si="9"/>
        <v>0</v>
      </c>
      <c r="P46" s="270"/>
      <c r="Q46" s="226"/>
      <c r="R46" s="226"/>
      <c r="S46" s="226"/>
      <c r="T46" s="226"/>
      <c r="U46" s="226"/>
      <c r="AF46" s="11"/>
      <c r="AG46" s="11"/>
      <c r="AH46" s="11"/>
      <c r="AI46" s="11"/>
      <c r="AJ46" s="11"/>
      <c r="AK46" s="11"/>
      <c r="AL46" s="11"/>
    </row>
    <row r="47" spans="1:38" x14ac:dyDescent="0.25">
      <c r="A47" s="38">
        <f>+Données!A47</f>
        <v>5480</v>
      </c>
      <c r="B47" s="247" t="str">
        <f>+Données!B47</f>
        <v>Daillens</v>
      </c>
      <c r="C47" s="235">
        <f>+Ecrêtage!C47</f>
        <v>42720.265505050505</v>
      </c>
      <c r="D47" s="233"/>
      <c r="E47" s="235">
        <f>Données!AF47+Données!AG47+Données!AH47</f>
        <v>0</v>
      </c>
      <c r="F47" s="233">
        <f t="shared" si="3"/>
        <v>341762.12404040404</v>
      </c>
      <c r="G47" s="8">
        <f t="shared" si="4"/>
        <v>0</v>
      </c>
      <c r="H47" s="313">
        <f t="shared" si="5"/>
        <v>0</v>
      </c>
      <c r="J47" s="8">
        <f>Données!AN47</f>
        <v>0</v>
      </c>
      <c r="K47" s="213">
        <f t="shared" si="6"/>
        <v>42720.265505050505</v>
      </c>
      <c r="L47" s="12">
        <f t="shared" si="7"/>
        <v>0</v>
      </c>
      <c r="M47" s="313">
        <f t="shared" si="8"/>
        <v>0</v>
      </c>
      <c r="O47" s="42">
        <f t="shared" si="9"/>
        <v>0</v>
      </c>
      <c r="P47" s="270"/>
      <c r="Q47" s="226"/>
      <c r="R47" s="226"/>
      <c r="S47" s="226"/>
      <c r="T47" s="226"/>
      <c r="U47" s="226"/>
      <c r="AF47" s="11"/>
      <c r="AG47" s="11"/>
      <c r="AH47" s="11"/>
      <c r="AI47" s="11"/>
      <c r="AJ47" s="11"/>
      <c r="AK47" s="11"/>
      <c r="AL47" s="11"/>
    </row>
    <row r="48" spans="1:38" x14ac:dyDescent="0.25">
      <c r="A48" s="38">
        <f>+Données!A48</f>
        <v>5481</v>
      </c>
      <c r="B48" s="247" t="str">
        <f>+Données!B48</f>
        <v>Dizy</v>
      </c>
      <c r="C48" s="235">
        <f>+Ecrêtage!C48</f>
        <v>8552.7156000000014</v>
      </c>
      <c r="D48" s="233"/>
      <c r="E48" s="235">
        <f>Données!AF48+Données!AG48+Données!AH48</f>
        <v>0</v>
      </c>
      <c r="F48" s="233">
        <f t="shared" si="3"/>
        <v>68421.724800000011</v>
      </c>
      <c r="G48" s="8">
        <f t="shared" si="4"/>
        <v>0</v>
      </c>
      <c r="H48" s="313">
        <f t="shared" si="5"/>
        <v>0</v>
      </c>
      <c r="J48" s="8">
        <f>Données!AN48</f>
        <v>0</v>
      </c>
      <c r="K48" s="213">
        <f t="shared" si="6"/>
        <v>8552.7156000000014</v>
      </c>
      <c r="L48" s="12">
        <f t="shared" si="7"/>
        <v>0</v>
      </c>
      <c r="M48" s="313">
        <f t="shared" si="8"/>
        <v>0</v>
      </c>
      <c r="O48" s="42">
        <f t="shared" si="9"/>
        <v>0</v>
      </c>
      <c r="P48" s="270"/>
      <c r="Q48" s="226"/>
      <c r="R48" s="226"/>
      <c r="S48" s="226"/>
      <c r="T48" s="226"/>
      <c r="U48" s="226"/>
      <c r="AF48" s="11"/>
      <c r="AG48" s="11"/>
      <c r="AH48" s="11"/>
      <c r="AI48" s="11"/>
      <c r="AJ48" s="11"/>
      <c r="AK48" s="11"/>
      <c r="AL48" s="11"/>
    </row>
    <row r="49" spans="1:38" x14ac:dyDescent="0.25">
      <c r="A49" s="38">
        <f>+Données!A49</f>
        <v>5482</v>
      </c>
      <c r="B49" s="247" t="str">
        <f>+Données!B49</f>
        <v>Eclépens</v>
      </c>
      <c r="C49" s="235">
        <f>+Ecrêtage!C49</f>
        <v>48314.544130434791</v>
      </c>
      <c r="D49" s="233"/>
      <c r="E49" s="235">
        <f>Données!AF49+Données!AG49+Données!AH49</f>
        <v>0</v>
      </c>
      <c r="F49" s="233">
        <f t="shared" si="3"/>
        <v>386516.35304347833</v>
      </c>
      <c r="G49" s="8">
        <f t="shared" si="4"/>
        <v>0</v>
      </c>
      <c r="H49" s="313">
        <f t="shared" si="5"/>
        <v>0</v>
      </c>
      <c r="J49" s="8">
        <f>Données!AN49</f>
        <v>0</v>
      </c>
      <c r="K49" s="213">
        <f t="shared" si="6"/>
        <v>48314.544130434791</v>
      </c>
      <c r="L49" s="12">
        <f t="shared" si="7"/>
        <v>0</v>
      </c>
      <c r="M49" s="313">
        <f t="shared" si="8"/>
        <v>0</v>
      </c>
      <c r="O49" s="42">
        <f t="shared" si="9"/>
        <v>0</v>
      </c>
      <c r="P49" s="270"/>
      <c r="Q49" s="226"/>
      <c r="R49" s="226"/>
      <c r="S49" s="226"/>
      <c r="T49" s="226"/>
      <c r="U49" s="226"/>
      <c r="AF49" s="11"/>
      <c r="AG49" s="11"/>
      <c r="AH49" s="11"/>
      <c r="AI49" s="11"/>
      <c r="AJ49" s="11"/>
      <c r="AK49" s="11"/>
      <c r="AL49" s="11"/>
    </row>
    <row r="50" spans="1:38" x14ac:dyDescent="0.25">
      <c r="A50" s="38">
        <f>+Données!A50</f>
        <v>5483</v>
      </c>
      <c r="B50" s="247" t="str">
        <f>+Données!B50</f>
        <v>Ferreyres</v>
      </c>
      <c r="C50" s="235">
        <f>+Ecrêtage!C50</f>
        <v>10284.283289473684</v>
      </c>
      <c r="D50" s="233"/>
      <c r="E50" s="235">
        <f>Données!AF50+Données!AG50+Données!AH50</f>
        <v>0</v>
      </c>
      <c r="F50" s="233">
        <f t="shared" si="3"/>
        <v>82274.266315789471</v>
      </c>
      <c r="G50" s="8">
        <f t="shared" si="4"/>
        <v>0</v>
      </c>
      <c r="H50" s="313">
        <f t="shared" si="5"/>
        <v>0</v>
      </c>
      <c r="J50" s="8">
        <f>Données!AN50</f>
        <v>0</v>
      </c>
      <c r="K50" s="213">
        <f t="shared" si="6"/>
        <v>10284.283289473684</v>
      </c>
      <c r="L50" s="12">
        <f t="shared" si="7"/>
        <v>0</v>
      </c>
      <c r="M50" s="313">
        <f t="shared" si="8"/>
        <v>0</v>
      </c>
      <c r="O50" s="42">
        <f t="shared" si="9"/>
        <v>0</v>
      </c>
      <c r="P50" s="270"/>
      <c r="Q50" s="226"/>
      <c r="R50" s="226"/>
      <c r="S50" s="226"/>
      <c r="T50" s="226"/>
      <c r="U50" s="226"/>
      <c r="AF50" s="11"/>
      <c r="AG50" s="11"/>
      <c r="AH50" s="11"/>
      <c r="AI50" s="11"/>
      <c r="AJ50" s="11"/>
      <c r="AK50" s="11"/>
      <c r="AL50" s="11"/>
    </row>
    <row r="51" spans="1:38" x14ac:dyDescent="0.25">
      <c r="A51" s="38">
        <f>+Données!A51</f>
        <v>5484</v>
      </c>
      <c r="B51" s="247" t="str">
        <f>+Données!B51</f>
        <v>Gollion</v>
      </c>
      <c r="C51" s="235">
        <f>+Ecrêtage!C51</f>
        <v>32601.670945945945</v>
      </c>
      <c r="D51" s="233"/>
      <c r="E51" s="235">
        <f>Données!AF51+Données!AG51+Données!AH51</f>
        <v>0</v>
      </c>
      <c r="F51" s="233">
        <f t="shared" si="3"/>
        <v>260813.36756756756</v>
      </c>
      <c r="G51" s="8">
        <f t="shared" si="4"/>
        <v>0</v>
      </c>
      <c r="H51" s="313">
        <f t="shared" si="5"/>
        <v>0</v>
      </c>
      <c r="J51" s="8">
        <f>Données!AN51</f>
        <v>0</v>
      </c>
      <c r="K51" s="213">
        <f t="shared" si="6"/>
        <v>32601.670945945945</v>
      </c>
      <c r="L51" s="12">
        <f t="shared" si="7"/>
        <v>0</v>
      </c>
      <c r="M51" s="313">
        <f t="shared" si="8"/>
        <v>0</v>
      </c>
      <c r="O51" s="42">
        <f t="shared" si="9"/>
        <v>0</v>
      </c>
      <c r="P51" s="270"/>
      <c r="Q51" s="226"/>
      <c r="R51" s="226"/>
      <c r="S51" s="226"/>
      <c r="T51" s="226"/>
      <c r="U51" s="226"/>
      <c r="AF51" s="11"/>
      <c r="AG51" s="11"/>
      <c r="AH51" s="11"/>
      <c r="AI51" s="11"/>
      <c r="AJ51" s="11"/>
      <c r="AK51" s="11"/>
      <c r="AL51" s="11"/>
    </row>
    <row r="52" spans="1:38" x14ac:dyDescent="0.25">
      <c r="A52" s="38">
        <f>+Données!A52</f>
        <v>5485</v>
      </c>
      <c r="B52" s="247" t="str">
        <f>+Données!B52</f>
        <v>Grancy</v>
      </c>
      <c r="C52" s="235">
        <f>+Ecrêtage!C52</f>
        <v>18961.380428571429</v>
      </c>
      <c r="D52" s="233"/>
      <c r="E52" s="235">
        <f>Données!AF52+Données!AG52+Données!AH52</f>
        <v>0</v>
      </c>
      <c r="F52" s="233">
        <f t="shared" si="3"/>
        <v>151691.04342857143</v>
      </c>
      <c r="G52" s="8">
        <f t="shared" si="4"/>
        <v>0</v>
      </c>
      <c r="H52" s="313">
        <f t="shared" si="5"/>
        <v>0</v>
      </c>
      <c r="J52" s="8">
        <f>Données!AN52</f>
        <v>0</v>
      </c>
      <c r="K52" s="213">
        <f t="shared" si="6"/>
        <v>18961.380428571429</v>
      </c>
      <c r="L52" s="12">
        <f t="shared" si="7"/>
        <v>0</v>
      </c>
      <c r="M52" s="313">
        <f t="shared" si="8"/>
        <v>0</v>
      </c>
      <c r="O52" s="42">
        <f t="shared" si="9"/>
        <v>0</v>
      </c>
      <c r="P52" s="270"/>
      <c r="Q52" s="226"/>
      <c r="R52" s="226"/>
      <c r="S52" s="226"/>
      <c r="T52" s="226"/>
      <c r="U52" s="226"/>
      <c r="AF52" s="11"/>
      <c r="AG52" s="11"/>
      <c r="AH52" s="11"/>
      <c r="AI52" s="11"/>
      <c r="AJ52" s="11"/>
      <c r="AK52" s="11"/>
      <c r="AL52" s="11"/>
    </row>
    <row r="53" spans="1:38" x14ac:dyDescent="0.25">
      <c r="A53" s="38">
        <f>+Données!A53</f>
        <v>5486</v>
      </c>
      <c r="B53" s="247" t="str">
        <f>+Données!B53</f>
        <v>L'Isle</v>
      </c>
      <c r="C53" s="235">
        <f>+Ecrêtage!C53</f>
        <v>34756.215466666676</v>
      </c>
      <c r="D53" s="233"/>
      <c r="E53" s="235">
        <f>Données!AF53+Données!AG53+Données!AH53</f>
        <v>0</v>
      </c>
      <c r="F53" s="233">
        <f t="shared" si="3"/>
        <v>278049.72373333341</v>
      </c>
      <c r="G53" s="8">
        <f t="shared" si="4"/>
        <v>0</v>
      </c>
      <c r="H53" s="313">
        <f t="shared" si="5"/>
        <v>0</v>
      </c>
      <c r="J53" s="8">
        <f>Données!AN53</f>
        <v>0</v>
      </c>
      <c r="K53" s="213">
        <f t="shared" si="6"/>
        <v>34756.215466666676</v>
      </c>
      <c r="L53" s="12">
        <f t="shared" si="7"/>
        <v>0</v>
      </c>
      <c r="M53" s="313">
        <f t="shared" si="8"/>
        <v>0</v>
      </c>
      <c r="O53" s="42">
        <f t="shared" si="9"/>
        <v>0</v>
      </c>
      <c r="P53" s="270"/>
      <c r="Q53" s="226"/>
      <c r="R53" s="226"/>
      <c r="S53" s="226"/>
      <c r="T53" s="226"/>
      <c r="U53" s="226"/>
      <c r="AF53" s="11"/>
      <c r="AG53" s="11"/>
      <c r="AH53" s="11"/>
      <c r="AI53" s="11"/>
      <c r="AJ53" s="11"/>
      <c r="AK53" s="11"/>
      <c r="AL53" s="11"/>
    </row>
    <row r="54" spans="1:38" x14ac:dyDescent="0.25">
      <c r="A54" s="38">
        <f>+Données!A54</f>
        <v>5487</v>
      </c>
      <c r="B54" s="247" t="str">
        <f>+Données!B54</f>
        <v>Lussery-Villars</v>
      </c>
      <c r="C54" s="235">
        <f>+Ecrêtage!C54</f>
        <v>12042.619866666666</v>
      </c>
      <c r="D54" s="233"/>
      <c r="E54" s="235">
        <f>Données!AF54+Données!AG54+Données!AH54</f>
        <v>0</v>
      </c>
      <c r="F54" s="233">
        <f t="shared" si="3"/>
        <v>96340.958933333328</v>
      </c>
      <c r="G54" s="8">
        <f t="shared" si="4"/>
        <v>0</v>
      </c>
      <c r="H54" s="313">
        <f t="shared" si="5"/>
        <v>0</v>
      </c>
      <c r="J54" s="8">
        <f>Données!AN54</f>
        <v>0</v>
      </c>
      <c r="K54" s="213">
        <f t="shared" si="6"/>
        <v>12042.619866666666</v>
      </c>
      <c r="L54" s="12">
        <f t="shared" si="7"/>
        <v>0</v>
      </c>
      <c r="M54" s="313">
        <f t="shared" si="8"/>
        <v>0</v>
      </c>
      <c r="O54" s="42">
        <f t="shared" si="9"/>
        <v>0</v>
      </c>
      <c r="P54" s="270"/>
      <c r="Q54" s="226"/>
      <c r="R54" s="226"/>
      <c r="S54" s="226"/>
      <c r="T54" s="226"/>
      <c r="U54" s="226"/>
      <c r="AF54" s="11"/>
      <c r="AG54" s="11"/>
      <c r="AH54" s="11"/>
      <c r="AI54" s="11"/>
      <c r="AJ54" s="11"/>
      <c r="AK54" s="11"/>
      <c r="AL54" s="11"/>
    </row>
    <row r="55" spans="1:38" x14ac:dyDescent="0.25">
      <c r="A55" s="38">
        <f>+Données!A55</f>
        <v>5488</v>
      </c>
      <c r="B55" s="247" t="str">
        <f>+Données!B55</f>
        <v>Mauraz</v>
      </c>
      <c r="C55" s="235">
        <f>+Ecrêtage!C55</f>
        <v>2131.6062337662343</v>
      </c>
      <c r="D55" s="233"/>
      <c r="E55" s="235">
        <f>Données!AF55+Données!AG55+Données!AH55</f>
        <v>0</v>
      </c>
      <c r="F55" s="233">
        <f t="shared" si="3"/>
        <v>17052.849870129874</v>
      </c>
      <c r="G55" s="8">
        <f t="shared" si="4"/>
        <v>0</v>
      </c>
      <c r="H55" s="313">
        <f t="shared" si="5"/>
        <v>0</v>
      </c>
      <c r="J55" s="8">
        <f>Données!AN55</f>
        <v>0</v>
      </c>
      <c r="K55" s="213">
        <f t="shared" si="6"/>
        <v>2131.6062337662343</v>
      </c>
      <c r="L55" s="12">
        <f t="shared" si="7"/>
        <v>0</v>
      </c>
      <c r="M55" s="313">
        <f t="shared" si="8"/>
        <v>0</v>
      </c>
      <c r="O55" s="42">
        <f t="shared" si="9"/>
        <v>0</v>
      </c>
      <c r="P55" s="270"/>
      <c r="Q55" s="226"/>
      <c r="R55" s="226"/>
      <c r="S55" s="226"/>
      <c r="T55" s="226"/>
      <c r="U55" s="226"/>
      <c r="AF55" s="11"/>
      <c r="AG55" s="11"/>
      <c r="AH55" s="11"/>
      <c r="AI55" s="11"/>
      <c r="AJ55" s="11"/>
      <c r="AK55" s="11"/>
      <c r="AL55" s="11"/>
    </row>
    <row r="56" spans="1:38" x14ac:dyDescent="0.25">
      <c r="A56" s="38">
        <f>+Données!A56</f>
        <v>5489</v>
      </c>
      <c r="B56" s="247" t="str">
        <f>+Données!B56</f>
        <v>Mex</v>
      </c>
      <c r="C56" s="235">
        <f>+Ecrêtage!C56</f>
        <v>60740.368067226897</v>
      </c>
      <c r="D56" s="233"/>
      <c r="E56" s="235">
        <f>Données!AF56+Données!AG56+Données!AH56</f>
        <v>0</v>
      </c>
      <c r="F56" s="233">
        <f t="shared" si="3"/>
        <v>485922.94453781517</v>
      </c>
      <c r="G56" s="8">
        <f t="shared" si="4"/>
        <v>0</v>
      </c>
      <c r="H56" s="313">
        <f t="shared" si="5"/>
        <v>0</v>
      </c>
      <c r="J56" s="8">
        <f>Données!AN56</f>
        <v>0</v>
      </c>
      <c r="K56" s="213">
        <f t="shared" si="6"/>
        <v>60740.368067226897</v>
      </c>
      <c r="L56" s="12">
        <f t="shared" si="7"/>
        <v>0</v>
      </c>
      <c r="M56" s="313">
        <f t="shared" si="8"/>
        <v>0</v>
      </c>
      <c r="O56" s="42">
        <f t="shared" si="9"/>
        <v>0</v>
      </c>
      <c r="P56" s="270"/>
      <c r="Q56" s="226"/>
      <c r="R56" s="226"/>
      <c r="S56" s="226"/>
      <c r="T56" s="226"/>
      <c r="U56" s="226"/>
      <c r="AF56" s="11"/>
      <c r="AG56" s="11"/>
      <c r="AH56" s="11"/>
      <c r="AI56" s="11"/>
      <c r="AJ56" s="11"/>
      <c r="AK56" s="11"/>
      <c r="AL56" s="11"/>
    </row>
    <row r="57" spans="1:38" x14ac:dyDescent="0.25">
      <c r="A57" s="38">
        <f>+Données!A57</f>
        <v>5490</v>
      </c>
      <c r="B57" s="247" t="str">
        <f>+Données!B57</f>
        <v>Moiry</v>
      </c>
      <c r="C57" s="235">
        <f>+Ecrêtage!C57</f>
        <v>8460.9523376623383</v>
      </c>
      <c r="D57" s="233"/>
      <c r="E57" s="235">
        <f>Données!AF57+Données!AG57+Données!AH57</f>
        <v>0</v>
      </c>
      <c r="F57" s="233">
        <f t="shared" si="3"/>
        <v>67687.618701298707</v>
      </c>
      <c r="G57" s="8">
        <f t="shared" si="4"/>
        <v>0</v>
      </c>
      <c r="H57" s="313">
        <f t="shared" si="5"/>
        <v>0</v>
      </c>
      <c r="J57" s="8">
        <f>Données!AN57</f>
        <v>0</v>
      </c>
      <c r="K57" s="213">
        <f t="shared" si="6"/>
        <v>8460.9523376623383</v>
      </c>
      <c r="L57" s="12">
        <f t="shared" si="7"/>
        <v>0</v>
      </c>
      <c r="M57" s="313">
        <f t="shared" si="8"/>
        <v>0</v>
      </c>
      <c r="O57" s="42">
        <f t="shared" si="9"/>
        <v>0</v>
      </c>
      <c r="P57" s="270"/>
      <c r="Q57" s="226"/>
      <c r="R57" s="226"/>
      <c r="S57" s="226"/>
      <c r="T57" s="226"/>
      <c r="U57" s="226"/>
      <c r="AF57" s="11"/>
      <c r="AG57" s="11"/>
      <c r="AH57" s="11"/>
      <c r="AI57" s="11"/>
      <c r="AJ57" s="11"/>
      <c r="AK57" s="11"/>
      <c r="AL57" s="11"/>
    </row>
    <row r="58" spans="1:38" x14ac:dyDescent="0.25">
      <c r="A58" s="38">
        <f>+Données!A58</f>
        <v>5491</v>
      </c>
      <c r="B58" s="247" t="str">
        <f>+Données!B58</f>
        <v>Mont-la-Ville</v>
      </c>
      <c r="C58" s="235">
        <f>+Ecrêtage!C58</f>
        <v>13842.217236842105</v>
      </c>
      <c r="D58" s="233"/>
      <c r="E58" s="235">
        <f>Données!AF58+Données!AG58+Données!AH58</f>
        <v>0</v>
      </c>
      <c r="F58" s="233">
        <f t="shared" si="3"/>
        <v>110737.73789473684</v>
      </c>
      <c r="G58" s="8">
        <f t="shared" si="4"/>
        <v>0</v>
      </c>
      <c r="H58" s="313">
        <f t="shared" si="5"/>
        <v>0</v>
      </c>
      <c r="J58" s="8">
        <f>Données!AN58</f>
        <v>0</v>
      </c>
      <c r="K58" s="213">
        <f t="shared" si="6"/>
        <v>13842.217236842105</v>
      </c>
      <c r="L58" s="12">
        <f t="shared" si="7"/>
        <v>0</v>
      </c>
      <c r="M58" s="313">
        <f t="shared" si="8"/>
        <v>0</v>
      </c>
      <c r="O58" s="42">
        <f t="shared" si="9"/>
        <v>0</v>
      </c>
      <c r="P58" s="270"/>
      <c r="Q58" s="226"/>
      <c r="R58" s="226"/>
      <c r="S58" s="226"/>
      <c r="T58" s="226"/>
      <c r="U58" s="226"/>
      <c r="AF58" s="11"/>
      <c r="AG58" s="11"/>
      <c r="AH58" s="11"/>
      <c r="AI58" s="11"/>
      <c r="AJ58" s="11"/>
      <c r="AK58" s="11"/>
      <c r="AL58" s="11"/>
    </row>
    <row r="59" spans="1:38" x14ac:dyDescent="0.25">
      <c r="A59" s="38">
        <f>+Données!A59</f>
        <v>5492</v>
      </c>
      <c r="B59" s="247" t="str">
        <f>+Données!B59</f>
        <v>Montricher</v>
      </c>
      <c r="C59" s="235">
        <f>+Ecrêtage!C59</f>
        <v>149907.58062499994</v>
      </c>
      <c r="D59" s="233"/>
      <c r="E59" s="235">
        <f>Données!AF59+Données!AG59+Données!AH59</f>
        <v>0</v>
      </c>
      <c r="F59" s="233">
        <f t="shared" si="3"/>
        <v>1199260.6449999996</v>
      </c>
      <c r="G59" s="8">
        <f t="shared" si="4"/>
        <v>0</v>
      </c>
      <c r="H59" s="313">
        <f t="shared" si="5"/>
        <v>0</v>
      </c>
      <c r="J59" s="8">
        <f>Données!AN59</f>
        <v>0</v>
      </c>
      <c r="K59" s="213">
        <f t="shared" si="6"/>
        <v>149907.58062499994</v>
      </c>
      <c r="L59" s="12">
        <f t="shared" si="7"/>
        <v>0</v>
      </c>
      <c r="M59" s="313">
        <f t="shared" si="8"/>
        <v>0</v>
      </c>
      <c r="O59" s="42">
        <f t="shared" si="9"/>
        <v>0</v>
      </c>
      <c r="P59" s="270"/>
      <c r="Q59" s="226"/>
      <c r="R59" s="226"/>
      <c r="S59" s="226"/>
      <c r="T59" s="226"/>
      <c r="U59" s="226"/>
      <c r="AF59" s="11"/>
      <c r="AG59" s="11"/>
      <c r="AH59" s="11"/>
      <c r="AI59" s="11"/>
      <c r="AJ59" s="11"/>
      <c r="AK59" s="11"/>
      <c r="AL59" s="11"/>
    </row>
    <row r="60" spans="1:38" x14ac:dyDescent="0.25">
      <c r="A60" s="38">
        <f>+Données!A60</f>
        <v>5493</v>
      </c>
      <c r="B60" s="247" t="str">
        <f>+Données!B60</f>
        <v>Orny</v>
      </c>
      <c r="C60" s="235">
        <f>+Ecrêtage!C60</f>
        <v>14635.830579557431</v>
      </c>
      <c r="D60" s="233"/>
      <c r="E60" s="235">
        <f>Données!AF60+Données!AG60+Données!AH60</f>
        <v>0</v>
      </c>
      <c r="F60" s="233">
        <f t="shared" si="3"/>
        <v>117086.64463645944</v>
      </c>
      <c r="G60" s="8">
        <f t="shared" si="4"/>
        <v>0</v>
      </c>
      <c r="H60" s="313">
        <f t="shared" si="5"/>
        <v>0</v>
      </c>
      <c r="J60" s="8">
        <f>Données!AN60</f>
        <v>0</v>
      </c>
      <c r="K60" s="213">
        <f t="shared" si="6"/>
        <v>14635.830579557431</v>
      </c>
      <c r="L60" s="12">
        <f t="shared" si="7"/>
        <v>0</v>
      </c>
      <c r="M60" s="313">
        <f t="shared" si="8"/>
        <v>0</v>
      </c>
      <c r="O60" s="42">
        <f t="shared" si="9"/>
        <v>0</v>
      </c>
      <c r="P60" s="270"/>
      <c r="Q60" s="226"/>
      <c r="R60" s="226"/>
      <c r="S60" s="226"/>
      <c r="T60" s="226"/>
      <c r="U60" s="226"/>
      <c r="AF60" s="11"/>
      <c r="AG60" s="11"/>
      <c r="AH60" s="11"/>
      <c r="AI60" s="11"/>
      <c r="AJ60" s="11"/>
      <c r="AK60" s="11"/>
      <c r="AL60" s="11"/>
    </row>
    <row r="61" spans="1:38" x14ac:dyDescent="0.25">
      <c r="A61" s="38">
        <f>+Données!A61</f>
        <v>5495</v>
      </c>
      <c r="B61" s="247" t="str">
        <f>+Données!B61</f>
        <v>Penthalaz</v>
      </c>
      <c r="C61" s="235">
        <f>+Ecrêtage!C61</f>
        <v>103056.57202702702</v>
      </c>
      <c r="D61" s="233"/>
      <c r="E61" s="235">
        <f>Données!AF61+Données!AG61+Données!AH61</f>
        <v>0</v>
      </c>
      <c r="F61" s="233">
        <f t="shared" si="3"/>
        <v>824452.5762162162</v>
      </c>
      <c r="G61" s="8">
        <f t="shared" si="4"/>
        <v>0</v>
      </c>
      <c r="H61" s="313">
        <f t="shared" si="5"/>
        <v>0</v>
      </c>
      <c r="J61" s="8">
        <f>Données!AN61</f>
        <v>0</v>
      </c>
      <c r="K61" s="213">
        <f t="shared" si="6"/>
        <v>103056.57202702702</v>
      </c>
      <c r="L61" s="12">
        <f t="shared" si="7"/>
        <v>0</v>
      </c>
      <c r="M61" s="313">
        <f t="shared" si="8"/>
        <v>0</v>
      </c>
      <c r="O61" s="42">
        <f t="shared" si="9"/>
        <v>0</v>
      </c>
      <c r="P61" s="270"/>
      <c r="Q61" s="226"/>
      <c r="R61" s="226"/>
      <c r="S61" s="226"/>
      <c r="T61" s="226"/>
      <c r="U61" s="226"/>
      <c r="AF61" s="11"/>
      <c r="AG61" s="11"/>
      <c r="AH61" s="11"/>
      <c r="AI61" s="11"/>
      <c r="AJ61" s="11"/>
      <c r="AK61" s="11"/>
      <c r="AL61" s="11"/>
    </row>
    <row r="62" spans="1:38" x14ac:dyDescent="0.25">
      <c r="A62" s="38">
        <f>+Données!A62</f>
        <v>5496</v>
      </c>
      <c r="B62" s="247" t="str">
        <f>+Données!B62</f>
        <v>Penthaz</v>
      </c>
      <c r="C62" s="235">
        <f>+Ecrêtage!C62</f>
        <v>61651.518705035967</v>
      </c>
      <c r="D62" s="233"/>
      <c r="E62" s="235">
        <f>Données!AF62+Données!AG62+Données!AH62</f>
        <v>0</v>
      </c>
      <c r="F62" s="233">
        <f t="shared" si="3"/>
        <v>493212.14964028774</v>
      </c>
      <c r="G62" s="8">
        <f t="shared" si="4"/>
        <v>0</v>
      </c>
      <c r="H62" s="313">
        <f t="shared" si="5"/>
        <v>0</v>
      </c>
      <c r="J62" s="8">
        <f>Données!AN62</f>
        <v>0</v>
      </c>
      <c r="K62" s="213">
        <f t="shared" si="6"/>
        <v>61651.518705035967</v>
      </c>
      <c r="L62" s="12">
        <f t="shared" si="7"/>
        <v>0</v>
      </c>
      <c r="M62" s="313">
        <f t="shared" si="8"/>
        <v>0</v>
      </c>
      <c r="O62" s="42">
        <f t="shared" si="9"/>
        <v>0</v>
      </c>
      <c r="P62" s="270"/>
      <c r="Q62" s="226"/>
      <c r="R62" s="226"/>
      <c r="S62" s="226"/>
      <c r="T62" s="226"/>
      <c r="U62" s="226"/>
      <c r="AF62" s="11"/>
      <c r="AG62" s="11"/>
      <c r="AH62" s="11"/>
      <c r="AI62" s="11"/>
      <c r="AJ62" s="11"/>
      <c r="AK62" s="11"/>
      <c r="AL62" s="11"/>
    </row>
    <row r="63" spans="1:38" x14ac:dyDescent="0.25">
      <c r="A63" s="38">
        <f>+Données!A63</f>
        <v>5497</v>
      </c>
      <c r="B63" s="247" t="str">
        <f>+Données!B63</f>
        <v>Pompaples</v>
      </c>
      <c r="C63" s="235">
        <f>+Ecrêtage!C63</f>
        <v>22949.830606060608</v>
      </c>
      <c r="D63" s="233"/>
      <c r="E63" s="235">
        <f>Données!AF63+Données!AG63+Données!AH63</f>
        <v>0</v>
      </c>
      <c r="F63" s="233">
        <f t="shared" si="3"/>
        <v>183598.64484848487</v>
      </c>
      <c r="G63" s="8">
        <f t="shared" si="4"/>
        <v>0</v>
      </c>
      <c r="H63" s="313">
        <f t="shared" si="5"/>
        <v>0</v>
      </c>
      <c r="J63" s="8">
        <f>Données!AN63</f>
        <v>0</v>
      </c>
      <c r="K63" s="213">
        <f t="shared" si="6"/>
        <v>22949.830606060608</v>
      </c>
      <c r="L63" s="12">
        <f t="shared" si="7"/>
        <v>0</v>
      </c>
      <c r="M63" s="313">
        <f t="shared" si="8"/>
        <v>0</v>
      </c>
      <c r="O63" s="42">
        <f t="shared" si="9"/>
        <v>0</v>
      </c>
      <c r="P63" s="270"/>
      <c r="Q63" s="226"/>
      <c r="R63" s="226"/>
      <c r="S63" s="226"/>
      <c r="T63" s="226"/>
      <c r="U63" s="226"/>
      <c r="AF63" s="11"/>
      <c r="AG63" s="11"/>
      <c r="AH63" s="11"/>
      <c r="AI63" s="11"/>
      <c r="AJ63" s="11"/>
      <c r="AK63" s="11"/>
      <c r="AL63" s="11"/>
    </row>
    <row r="64" spans="1:38" x14ac:dyDescent="0.25">
      <c r="A64" s="38">
        <f>+Données!A64</f>
        <v>5498</v>
      </c>
      <c r="B64" s="247" t="str">
        <f>+Données!B64</f>
        <v>La Sarraz</v>
      </c>
      <c r="C64" s="235">
        <f>+Ecrêtage!C64</f>
        <v>73743.655606060609</v>
      </c>
      <c r="D64" s="233"/>
      <c r="E64" s="235">
        <f>Données!AF64+Données!AG64+Données!AH64</f>
        <v>0</v>
      </c>
      <c r="F64" s="233">
        <f t="shared" si="3"/>
        <v>589949.24484848487</v>
      </c>
      <c r="G64" s="8">
        <f t="shared" si="4"/>
        <v>0</v>
      </c>
      <c r="H64" s="313">
        <f t="shared" si="5"/>
        <v>0</v>
      </c>
      <c r="J64" s="8">
        <f>Données!AN64</f>
        <v>0</v>
      </c>
      <c r="K64" s="213">
        <f t="shared" si="6"/>
        <v>73743.655606060609</v>
      </c>
      <c r="L64" s="12">
        <f t="shared" si="7"/>
        <v>0</v>
      </c>
      <c r="M64" s="313">
        <f t="shared" si="8"/>
        <v>0</v>
      </c>
      <c r="O64" s="42">
        <f t="shared" si="9"/>
        <v>0</v>
      </c>
      <c r="P64" s="270"/>
      <c r="Q64" s="226"/>
      <c r="R64" s="226"/>
      <c r="S64" s="226"/>
      <c r="T64" s="226"/>
      <c r="U64" s="226"/>
      <c r="AF64" s="11"/>
      <c r="AG64" s="11"/>
      <c r="AH64" s="11"/>
      <c r="AI64" s="11"/>
      <c r="AJ64" s="11"/>
      <c r="AK64" s="11"/>
      <c r="AL64" s="11"/>
    </row>
    <row r="65" spans="1:38" x14ac:dyDescent="0.25">
      <c r="A65" s="38">
        <f>+Données!A65</f>
        <v>5499</v>
      </c>
      <c r="B65" s="247" t="str">
        <f>+Données!B65</f>
        <v>Senarclens</v>
      </c>
      <c r="C65" s="235">
        <f>+Ecrêtage!C65</f>
        <v>20491.103065693427</v>
      </c>
      <c r="D65" s="233"/>
      <c r="E65" s="235">
        <f>Données!AF65+Données!AG65+Données!AH65</f>
        <v>0</v>
      </c>
      <c r="F65" s="233">
        <f t="shared" si="3"/>
        <v>163928.82452554742</v>
      </c>
      <c r="G65" s="8">
        <f t="shared" si="4"/>
        <v>0</v>
      </c>
      <c r="H65" s="313">
        <f t="shared" si="5"/>
        <v>0</v>
      </c>
      <c r="J65" s="8">
        <f>Données!AN65</f>
        <v>0</v>
      </c>
      <c r="K65" s="213">
        <f t="shared" si="6"/>
        <v>20491.103065693427</v>
      </c>
      <c r="L65" s="12">
        <f t="shared" si="7"/>
        <v>0</v>
      </c>
      <c r="M65" s="313">
        <f t="shared" si="8"/>
        <v>0</v>
      </c>
      <c r="O65" s="42">
        <f t="shared" si="9"/>
        <v>0</v>
      </c>
      <c r="P65" s="270"/>
      <c r="Q65" s="226"/>
      <c r="R65" s="226"/>
      <c r="S65" s="226"/>
      <c r="T65" s="226"/>
      <c r="U65" s="226"/>
      <c r="AF65" s="11"/>
      <c r="AG65" s="11"/>
      <c r="AH65" s="11"/>
      <c r="AI65" s="11"/>
      <c r="AJ65" s="11"/>
      <c r="AK65" s="11"/>
      <c r="AL65" s="11"/>
    </row>
    <row r="66" spans="1:38" x14ac:dyDescent="0.25">
      <c r="A66" s="38">
        <f>+Données!A66</f>
        <v>5501</v>
      </c>
      <c r="B66" s="247" t="str">
        <f>+Données!B66</f>
        <v>Sullens</v>
      </c>
      <c r="C66" s="235">
        <f>+Ecrêtage!C66</f>
        <v>53840.673124999994</v>
      </c>
      <c r="D66" s="233"/>
      <c r="E66" s="235">
        <f>Données!AF66+Données!AG66+Données!AH66</f>
        <v>0</v>
      </c>
      <c r="F66" s="233">
        <f t="shared" si="3"/>
        <v>430725.38499999995</v>
      </c>
      <c r="G66" s="8">
        <f t="shared" si="4"/>
        <v>0</v>
      </c>
      <c r="H66" s="313">
        <f t="shared" si="5"/>
        <v>0</v>
      </c>
      <c r="J66" s="8">
        <f>Données!AN66</f>
        <v>0</v>
      </c>
      <c r="K66" s="213">
        <f t="shared" si="6"/>
        <v>53840.673124999994</v>
      </c>
      <c r="L66" s="12">
        <f t="shared" si="7"/>
        <v>0</v>
      </c>
      <c r="M66" s="313">
        <f t="shared" si="8"/>
        <v>0</v>
      </c>
      <c r="O66" s="42">
        <f t="shared" si="9"/>
        <v>0</v>
      </c>
      <c r="P66" s="270"/>
      <c r="Q66" s="226"/>
      <c r="R66" s="226"/>
      <c r="S66" s="226"/>
      <c r="T66" s="226"/>
      <c r="U66" s="226"/>
      <c r="AF66" s="11"/>
      <c r="AG66" s="11"/>
      <c r="AH66" s="11"/>
      <c r="AI66" s="11"/>
      <c r="AJ66" s="11"/>
      <c r="AK66" s="11"/>
      <c r="AL66" s="11"/>
    </row>
    <row r="67" spans="1:38" x14ac:dyDescent="0.25">
      <c r="A67" s="38">
        <f>+Données!A67</f>
        <v>5503</v>
      </c>
      <c r="B67" s="247" t="str">
        <f>+Données!B67</f>
        <v>Vufflens-la-Ville</v>
      </c>
      <c r="C67" s="235">
        <f>+Ecrêtage!C67</f>
        <v>75222.663980099518</v>
      </c>
      <c r="D67" s="233"/>
      <c r="E67" s="235">
        <f>Données!AF67+Données!AG67+Données!AH67</f>
        <v>0</v>
      </c>
      <c r="F67" s="233">
        <f t="shared" si="3"/>
        <v>601781.31184079614</v>
      </c>
      <c r="G67" s="8">
        <f t="shared" si="4"/>
        <v>0</v>
      </c>
      <c r="H67" s="313">
        <f t="shared" si="5"/>
        <v>0</v>
      </c>
      <c r="J67" s="8">
        <f>Données!AN67</f>
        <v>0</v>
      </c>
      <c r="K67" s="213">
        <f t="shared" si="6"/>
        <v>75222.663980099518</v>
      </c>
      <c r="L67" s="12">
        <f t="shared" si="7"/>
        <v>0</v>
      </c>
      <c r="M67" s="313">
        <f t="shared" si="8"/>
        <v>0</v>
      </c>
      <c r="O67" s="42">
        <f t="shared" si="9"/>
        <v>0</v>
      </c>
      <c r="P67" s="270"/>
      <c r="Q67" s="226"/>
      <c r="R67" s="226"/>
      <c r="S67" s="226"/>
      <c r="T67" s="226"/>
      <c r="U67" s="226"/>
      <c r="AF67" s="11"/>
      <c r="AG67" s="11"/>
      <c r="AH67" s="11"/>
      <c r="AI67" s="11"/>
      <c r="AJ67" s="11"/>
      <c r="AK67" s="11"/>
      <c r="AL67" s="11"/>
    </row>
    <row r="68" spans="1:38" x14ac:dyDescent="0.25">
      <c r="A68" s="38">
        <f>+Données!A68</f>
        <v>5511</v>
      </c>
      <c r="B68" s="247" t="str">
        <f>+Données!B68</f>
        <v>Assens</v>
      </c>
      <c r="C68" s="235">
        <f>+Ecrêtage!C68</f>
        <v>72835.778857142868</v>
      </c>
      <c r="D68" s="233"/>
      <c r="E68" s="235">
        <f>Données!AF68+Données!AG68+Données!AH68</f>
        <v>0</v>
      </c>
      <c r="F68" s="233">
        <f t="shared" si="3"/>
        <v>582686.23085714295</v>
      </c>
      <c r="G68" s="8">
        <f t="shared" si="4"/>
        <v>0</v>
      </c>
      <c r="H68" s="313">
        <f t="shared" si="5"/>
        <v>0</v>
      </c>
      <c r="J68" s="8">
        <f>Données!AN68</f>
        <v>0</v>
      </c>
      <c r="K68" s="213">
        <f t="shared" si="6"/>
        <v>72835.778857142868</v>
      </c>
      <c r="L68" s="12">
        <f t="shared" si="7"/>
        <v>0</v>
      </c>
      <c r="M68" s="313">
        <f t="shared" si="8"/>
        <v>0</v>
      </c>
      <c r="O68" s="42">
        <f t="shared" si="9"/>
        <v>0</v>
      </c>
      <c r="P68" s="270"/>
      <c r="Q68" s="226"/>
      <c r="R68" s="226"/>
      <c r="S68" s="226"/>
      <c r="T68" s="226"/>
      <c r="U68" s="226"/>
      <c r="AF68" s="11"/>
      <c r="AG68" s="11"/>
      <c r="AH68" s="11"/>
      <c r="AI68" s="11"/>
      <c r="AJ68" s="11"/>
      <c r="AK68" s="11"/>
      <c r="AL68" s="11"/>
    </row>
    <row r="69" spans="1:38" x14ac:dyDescent="0.25">
      <c r="A69" s="38">
        <f>+Données!A69</f>
        <v>5512</v>
      </c>
      <c r="B69" s="247" t="str">
        <f>+Données!B69</f>
        <v>Bercher</v>
      </c>
      <c r="C69" s="235">
        <f>+Ecrêtage!C69</f>
        <v>41198.7282278481</v>
      </c>
      <c r="D69" s="233"/>
      <c r="E69" s="235">
        <f>Données!AF69+Données!AG69+Données!AH69</f>
        <v>0</v>
      </c>
      <c r="F69" s="233">
        <f t="shared" si="3"/>
        <v>329589.8258227848</v>
      </c>
      <c r="G69" s="8">
        <f t="shared" si="4"/>
        <v>0</v>
      </c>
      <c r="H69" s="313">
        <f t="shared" si="5"/>
        <v>0</v>
      </c>
      <c r="J69" s="8">
        <f>Données!AN69</f>
        <v>0</v>
      </c>
      <c r="K69" s="213">
        <f t="shared" si="6"/>
        <v>41198.7282278481</v>
      </c>
      <c r="L69" s="12">
        <f t="shared" si="7"/>
        <v>0</v>
      </c>
      <c r="M69" s="313">
        <f t="shared" si="8"/>
        <v>0</v>
      </c>
      <c r="O69" s="42">
        <f t="shared" si="9"/>
        <v>0</v>
      </c>
      <c r="P69" s="270"/>
      <c r="Q69" s="226"/>
      <c r="R69" s="226"/>
      <c r="S69" s="226"/>
      <c r="T69" s="226"/>
      <c r="U69" s="226"/>
      <c r="AF69" s="11"/>
      <c r="AG69" s="11"/>
      <c r="AH69" s="11"/>
      <c r="AI69" s="11"/>
      <c r="AJ69" s="11"/>
      <c r="AK69" s="11"/>
      <c r="AL69" s="11"/>
    </row>
    <row r="70" spans="1:38" x14ac:dyDescent="0.25">
      <c r="A70" s="38">
        <f>+Données!A70</f>
        <v>5514</v>
      </c>
      <c r="B70" s="247" t="str">
        <f>+Données!B70</f>
        <v>Bottens</v>
      </c>
      <c r="C70" s="235">
        <f>+Ecrêtage!C70</f>
        <v>45712.235586206894</v>
      </c>
      <c r="D70" s="233"/>
      <c r="E70" s="235">
        <f>Données!AF70+Données!AG70+Données!AH70</f>
        <v>0</v>
      </c>
      <c r="F70" s="233">
        <f t="shared" si="3"/>
        <v>365697.88468965515</v>
      </c>
      <c r="G70" s="8">
        <f t="shared" si="4"/>
        <v>0</v>
      </c>
      <c r="H70" s="313">
        <f t="shared" si="5"/>
        <v>0</v>
      </c>
      <c r="J70" s="8">
        <f>Données!AN70</f>
        <v>0</v>
      </c>
      <c r="K70" s="213">
        <f t="shared" si="6"/>
        <v>45712.235586206894</v>
      </c>
      <c r="L70" s="12">
        <f t="shared" si="7"/>
        <v>0</v>
      </c>
      <c r="M70" s="313">
        <f t="shared" si="8"/>
        <v>0</v>
      </c>
      <c r="O70" s="42">
        <f t="shared" si="9"/>
        <v>0</v>
      </c>
      <c r="P70" s="270"/>
      <c r="Q70" s="226"/>
      <c r="R70" s="226"/>
      <c r="S70" s="226"/>
      <c r="T70" s="226"/>
      <c r="U70" s="226"/>
      <c r="AF70" s="11"/>
      <c r="AG70" s="11"/>
      <c r="AH70" s="11"/>
      <c r="AI70" s="11"/>
      <c r="AJ70" s="11"/>
      <c r="AK70" s="11"/>
      <c r="AL70" s="11"/>
    </row>
    <row r="71" spans="1:38" x14ac:dyDescent="0.25">
      <c r="A71" s="38">
        <f>+Données!A71</f>
        <v>5515</v>
      </c>
      <c r="B71" s="247" t="str">
        <f>+Données!B71</f>
        <v>Bretigny-sur-Morrens</v>
      </c>
      <c r="C71" s="235">
        <f>+Ecrêtage!C71</f>
        <v>29285.295897435899</v>
      </c>
      <c r="D71" s="233"/>
      <c r="E71" s="235">
        <f>Données!AF71+Données!AG71+Données!AH71</f>
        <v>0</v>
      </c>
      <c r="F71" s="233">
        <f t="shared" ref="F71:F134" si="10">+C71*$G$5</f>
        <v>234282.36717948719</v>
      </c>
      <c r="G71" s="8">
        <f t="shared" ref="G71:G134" si="11">IF(E71&gt;F71,E71-F71,0)</f>
        <v>0</v>
      </c>
      <c r="H71" s="313">
        <f t="shared" ref="H71:H134" si="12">-G71*H$5</f>
        <v>0</v>
      </c>
      <c r="J71" s="8">
        <f>Données!AN71</f>
        <v>0</v>
      </c>
      <c r="K71" s="213">
        <f t="shared" ref="K71:K134" si="13">C71*L$5</f>
        <v>29285.295897435899</v>
      </c>
      <c r="L71" s="12">
        <f t="shared" ref="L71:L134" si="14">IF(J71&gt;K71,J71-K71,0)</f>
        <v>0</v>
      </c>
      <c r="M71" s="313">
        <f t="shared" ref="M71:M134" si="15">-L71*M$5</f>
        <v>0</v>
      </c>
      <c r="O71" s="42">
        <f t="shared" ref="O71:O134" si="16">M71+H71</f>
        <v>0</v>
      </c>
      <c r="P71" s="270"/>
      <c r="Q71" s="226"/>
      <c r="R71" s="226"/>
      <c r="S71" s="226"/>
      <c r="T71" s="226"/>
      <c r="U71" s="226"/>
      <c r="AF71" s="11"/>
      <c r="AG71" s="11"/>
      <c r="AH71" s="11"/>
      <c r="AI71" s="11"/>
      <c r="AJ71" s="11"/>
      <c r="AK71" s="11"/>
      <c r="AL71" s="11"/>
    </row>
    <row r="72" spans="1:38" x14ac:dyDescent="0.25">
      <c r="A72" s="38">
        <f>+Données!A72</f>
        <v>5516</v>
      </c>
      <c r="B72" s="247" t="str">
        <f>+Données!B72</f>
        <v>Cugy</v>
      </c>
      <c r="C72" s="235">
        <f>+Ecrêtage!C72</f>
        <v>110290.24758771928</v>
      </c>
      <c r="D72" s="233"/>
      <c r="E72" s="235">
        <f>Données!AF72+Données!AG72+Données!AH72</f>
        <v>0</v>
      </c>
      <c r="F72" s="233">
        <f t="shared" si="10"/>
        <v>882321.98070175422</v>
      </c>
      <c r="G72" s="8">
        <f t="shared" si="11"/>
        <v>0</v>
      </c>
      <c r="H72" s="313">
        <f t="shared" si="12"/>
        <v>0</v>
      </c>
      <c r="J72" s="8">
        <f>Données!AN72</f>
        <v>0</v>
      </c>
      <c r="K72" s="213">
        <f t="shared" si="13"/>
        <v>110290.24758771928</v>
      </c>
      <c r="L72" s="12">
        <f t="shared" si="14"/>
        <v>0</v>
      </c>
      <c r="M72" s="313">
        <f t="shared" si="15"/>
        <v>0</v>
      </c>
      <c r="O72" s="42">
        <f t="shared" si="16"/>
        <v>0</v>
      </c>
      <c r="P72" s="270"/>
      <c r="Q72" s="226"/>
      <c r="R72" s="226"/>
      <c r="S72" s="226"/>
      <c r="T72" s="226"/>
      <c r="U72" s="226"/>
      <c r="AF72" s="11"/>
      <c r="AG72" s="11"/>
      <c r="AH72" s="11"/>
      <c r="AI72" s="11"/>
      <c r="AJ72" s="11"/>
      <c r="AK72" s="11"/>
      <c r="AL72" s="11"/>
    </row>
    <row r="73" spans="1:38" x14ac:dyDescent="0.25">
      <c r="A73" s="38">
        <f>+Données!A73</f>
        <v>5518</v>
      </c>
      <c r="B73" s="247" t="str">
        <f>+Données!B73</f>
        <v>Echallens</v>
      </c>
      <c r="C73" s="235">
        <f>+Ecrêtage!C73</f>
        <v>193282.28662068967</v>
      </c>
      <c r="D73" s="233"/>
      <c r="E73" s="235">
        <f>Données!AF73+Données!AG73+Données!AH73</f>
        <v>0</v>
      </c>
      <c r="F73" s="233">
        <f t="shared" si="10"/>
        <v>1546258.2929655174</v>
      </c>
      <c r="G73" s="8">
        <f t="shared" si="11"/>
        <v>0</v>
      </c>
      <c r="H73" s="313">
        <f t="shared" si="12"/>
        <v>0</v>
      </c>
      <c r="J73" s="8">
        <f>Données!AN73</f>
        <v>0</v>
      </c>
      <c r="K73" s="213">
        <f t="shared" si="13"/>
        <v>193282.28662068967</v>
      </c>
      <c r="L73" s="12">
        <f t="shared" si="14"/>
        <v>0</v>
      </c>
      <c r="M73" s="313">
        <f t="shared" si="15"/>
        <v>0</v>
      </c>
      <c r="O73" s="42">
        <f t="shared" si="16"/>
        <v>0</v>
      </c>
      <c r="P73" s="270"/>
      <c r="Q73" s="226"/>
      <c r="R73" s="226"/>
      <c r="S73" s="226"/>
      <c r="T73" s="226"/>
      <c r="U73" s="226"/>
      <c r="AF73" s="11"/>
      <c r="AG73" s="11"/>
      <c r="AH73" s="11"/>
      <c r="AI73" s="11"/>
      <c r="AJ73" s="11"/>
      <c r="AK73" s="11"/>
      <c r="AL73" s="11"/>
    </row>
    <row r="74" spans="1:38" x14ac:dyDescent="0.25">
      <c r="A74" s="38">
        <f>+Données!A74</f>
        <v>5520</v>
      </c>
      <c r="B74" s="247" t="str">
        <f>+Données!B74</f>
        <v>Essertines-sur-Yverdon</v>
      </c>
      <c r="C74" s="235">
        <f>+Ecrêtage!C74</f>
        <v>31422.035945945943</v>
      </c>
      <c r="D74" s="233"/>
      <c r="E74" s="235">
        <f>Données!AF74+Données!AG74+Données!AH74</f>
        <v>0</v>
      </c>
      <c r="F74" s="233">
        <f t="shared" si="10"/>
        <v>251376.28756756755</v>
      </c>
      <c r="G74" s="8">
        <f t="shared" si="11"/>
        <v>0</v>
      </c>
      <c r="H74" s="313">
        <f t="shared" si="12"/>
        <v>0</v>
      </c>
      <c r="J74" s="8">
        <f>Données!AN74</f>
        <v>0</v>
      </c>
      <c r="K74" s="213">
        <f t="shared" si="13"/>
        <v>31422.035945945943</v>
      </c>
      <c r="L74" s="12">
        <f t="shared" si="14"/>
        <v>0</v>
      </c>
      <c r="M74" s="313">
        <f t="shared" si="15"/>
        <v>0</v>
      </c>
      <c r="O74" s="42">
        <f t="shared" si="16"/>
        <v>0</v>
      </c>
      <c r="P74" s="270"/>
      <c r="Q74" s="226"/>
      <c r="R74" s="226"/>
      <c r="S74" s="226"/>
      <c r="T74" s="226"/>
      <c r="U74" s="226"/>
      <c r="AF74" s="11"/>
      <c r="AG74" s="11"/>
      <c r="AH74" s="11"/>
      <c r="AI74" s="11"/>
      <c r="AJ74" s="11"/>
      <c r="AK74" s="11"/>
      <c r="AL74" s="11"/>
    </row>
    <row r="75" spans="1:38" x14ac:dyDescent="0.25">
      <c r="A75" s="38">
        <f>+Données!A75</f>
        <v>5521</v>
      </c>
      <c r="B75" s="247" t="str">
        <f>+Données!B75</f>
        <v>Etagnières</v>
      </c>
      <c r="C75" s="235">
        <f>+Ecrêtage!C75</f>
        <v>47189.665890410972</v>
      </c>
      <c r="D75" s="233"/>
      <c r="E75" s="235">
        <f>Données!AF75+Données!AG75+Données!AH75</f>
        <v>0</v>
      </c>
      <c r="F75" s="233">
        <f t="shared" si="10"/>
        <v>377517.32712328777</v>
      </c>
      <c r="G75" s="8">
        <f t="shared" si="11"/>
        <v>0</v>
      </c>
      <c r="H75" s="313">
        <f t="shared" si="12"/>
        <v>0</v>
      </c>
      <c r="J75" s="8">
        <f>Données!AN75</f>
        <v>0</v>
      </c>
      <c r="K75" s="213">
        <f t="shared" si="13"/>
        <v>47189.665890410972</v>
      </c>
      <c r="L75" s="12">
        <f t="shared" si="14"/>
        <v>0</v>
      </c>
      <c r="M75" s="313">
        <f t="shared" si="15"/>
        <v>0</v>
      </c>
      <c r="O75" s="42">
        <f t="shared" si="16"/>
        <v>0</v>
      </c>
      <c r="P75" s="270"/>
      <c r="Q75" s="226"/>
      <c r="R75" s="226"/>
      <c r="S75" s="226"/>
      <c r="T75" s="226"/>
      <c r="U75" s="226"/>
      <c r="AF75" s="11"/>
      <c r="AG75" s="11"/>
      <c r="AH75" s="11"/>
      <c r="AI75" s="11"/>
      <c r="AJ75" s="11"/>
      <c r="AK75" s="11"/>
      <c r="AL75" s="11"/>
    </row>
    <row r="76" spans="1:38" x14ac:dyDescent="0.25">
      <c r="A76" s="38">
        <f>+Données!A76</f>
        <v>5522</v>
      </c>
      <c r="B76" s="247" t="str">
        <f>+Données!B76</f>
        <v>Fey</v>
      </c>
      <c r="C76" s="235">
        <f>+Ecrêtage!C76</f>
        <v>24172.463733333334</v>
      </c>
      <c r="D76" s="233"/>
      <c r="E76" s="235">
        <f>Données!AF76+Données!AG76+Données!AH76</f>
        <v>0</v>
      </c>
      <c r="F76" s="233">
        <f t="shared" si="10"/>
        <v>193379.70986666667</v>
      </c>
      <c r="G76" s="8">
        <f t="shared" si="11"/>
        <v>0</v>
      </c>
      <c r="H76" s="313">
        <f t="shared" si="12"/>
        <v>0</v>
      </c>
      <c r="J76" s="8">
        <f>Données!AN76</f>
        <v>0</v>
      </c>
      <c r="K76" s="213">
        <f t="shared" si="13"/>
        <v>24172.463733333334</v>
      </c>
      <c r="L76" s="12">
        <f t="shared" si="14"/>
        <v>0</v>
      </c>
      <c r="M76" s="313">
        <f t="shared" si="15"/>
        <v>0</v>
      </c>
      <c r="O76" s="42">
        <f t="shared" si="16"/>
        <v>0</v>
      </c>
      <c r="P76" s="270"/>
      <c r="Q76" s="226"/>
      <c r="R76" s="226"/>
      <c r="S76" s="226"/>
      <c r="T76" s="226"/>
      <c r="U76" s="226"/>
      <c r="AF76" s="11"/>
      <c r="AG76" s="11"/>
      <c r="AH76" s="11"/>
      <c r="AI76" s="11"/>
      <c r="AJ76" s="11"/>
      <c r="AK76" s="11"/>
      <c r="AL76" s="11"/>
    </row>
    <row r="77" spans="1:38" x14ac:dyDescent="0.25">
      <c r="A77" s="38">
        <f>+Données!A77</f>
        <v>5523</v>
      </c>
      <c r="B77" s="247" t="str">
        <f>+Données!B77</f>
        <v>Froideville</v>
      </c>
      <c r="C77" s="235">
        <f>+Ecrêtage!C77</f>
        <v>92231.307222222211</v>
      </c>
      <c r="D77" s="233"/>
      <c r="E77" s="235">
        <f>Données!AF77+Données!AG77+Données!AH77</f>
        <v>0</v>
      </c>
      <c r="F77" s="233">
        <f t="shared" si="10"/>
        <v>737850.45777777769</v>
      </c>
      <c r="G77" s="8">
        <f t="shared" si="11"/>
        <v>0</v>
      </c>
      <c r="H77" s="313">
        <f t="shared" si="12"/>
        <v>0</v>
      </c>
      <c r="J77" s="8">
        <f>Données!AN77</f>
        <v>0</v>
      </c>
      <c r="K77" s="213">
        <f t="shared" si="13"/>
        <v>92231.307222222211</v>
      </c>
      <c r="L77" s="12">
        <f t="shared" si="14"/>
        <v>0</v>
      </c>
      <c r="M77" s="313">
        <f t="shared" si="15"/>
        <v>0</v>
      </c>
      <c r="O77" s="42">
        <f t="shared" si="16"/>
        <v>0</v>
      </c>
      <c r="P77" s="270"/>
      <c r="Q77" s="226"/>
      <c r="R77" s="226"/>
      <c r="S77" s="226"/>
      <c r="T77" s="226"/>
      <c r="U77" s="226"/>
      <c r="AF77" s="11"/>
      <c r="AG77" s="11"/>
      <c r="AH77" s="11"/>
      <c r="AI77" s="11"/>
      <c r="AJ77" s="11"/>
      <c r="AK77" s="11"/>
      <c r="AL77" s="11"/>
    </row>
    <row r="78" spans="1:38" x14ac:dyDescent="0.25">
      <c r="A78" s="38">
        <f>+Données!A78</f>
        <v>5527</v>
      </c>
      <c r="B78" s="247" t="str">
        <f>+Données!B78</f>
        <v>Morrens</v>
      </c>
      <c r="C78" s="235">
        <f>+Ecrêtage!C78</f>
        <v>40722.505675675682</v>
      </c>
      <c r="D78" s="233"/>
      <c r="E78" s="235">
        <f>Données!AF78+Données!AG78+Données!AH78</f>
        <v>0</v>
      </c>
      <c r="F78" s="233">
        <f t="shared" si="10"/>
        <v>325780.04540540546</v>
      </c>
      <c r="G78" s="8">
        <f t="shared" si="11"/>
        <v>0</v>
      </c>
      <c r="H78" s="313">
        <f t="shared" si="12"/>
        <v>0</v>
      </c>
      <c r="J78" s="8">
        <f>Données!AN78</f>
        <v>0</v>
      </c>
      <c r="K78" s="213">
        <f t="shared" si="13"/>
        <v>40722.505675675682</v>
      </c>
      <c r="L78" s="12">
        <f t="shared" si="14"/>
        <v>0</v>
      </c>
      <c r="M78" s="313">
        <f t="shared" si="15"/>
        <v>0</v>
      </c>
      <c r="O78" s="42">
        <f t="shared" si="16"/>
        <v>0</v>
      </c>
      <c r="P78" s="270"/>
      <c r="Q78" s="226"/>
      <c r="R78" s="226"/>
      <c r="S78" s="226"/>
      <c r="T78" s="226"/>
      <c r="U78" s="226"/>
      <c r="AF78" s="11"/>
      <c r="AG78" s="11"/>
      <c r="AH78" s="11"/>
      <c r="AI78" s="11"/>
      <c r="AJ78" s="11"/>
      <c r="AK78" s="11"/>
      <c r="AL78" s="11"/>
    </row>
    <row r="79" spans="1:38" x14ac:dyDescent="0.25">
      <c r="A79" s="38">
        <f>+Données!A79</f>
        <v>5529</v>
      </c>
      <c r="B79" s="247" t="str">
        <f>+Données!B79</f>
        <v>Oulens-sous-Echallens</v>
      </c>
      <c r="C79" s="235">
        <f>+Ecrêtage!C79</f>
        <v>22677.013380281693</v>
      </c>
      <c r="D79" s="233"/>
      <c r="E79" s="235">
        <f>Données!AF79+Données!AG79+Données!AH79</f>
        <v>0</v>
      </c>
      <c r="F79" s="233">
        <f t="shared" si="10"/>
        <v>181416.10704225354</v>
      </c>
      <c r="G79" s="8">
        <f t="shared" si="11"/>
        <v>0</v>
      </c>
      <c r="H79" s="313">
        <f t="shared" si="12"/>
        <v>0</v>
      </c>
      <c r="J79" s="8">
        <f>Données!AN79</f>
        <v>0</v>
      </c>
      <c r="K79" s="213">
        <f t="shared" si="13"/>
        <v>22677.013380281693</v>
      </c>
      <c r="L79" s="12">
        <f t="shared" si="14"/>
        <v>0</v>
      </c>
      <c r="M79" s="313">
        <f t="shared" si="15"/>
        <v>0</v>
      </c>
      <c r="O79" s="42">
        <f t="shared" si="16"/>
        <v>0</v>
      </c>
      <c r="P79" s="270"/>
      <c r="Q79" s="226"/>
      <c r="R79" s="226"/>
      <c r="S79" s="226"/>
      <c r="T79" s="226"/>
      <c r="U79" s="226"/>
      <c r="AF79" s="11"/>
      <c r="AG79" s="11"/>
      <c r="AH79" s="11"/>
      <c r="AI79" s="11"/>
      <c r="AJ79" s="11"/>
      <c r="AK79" s="11"/>
      <c r="AL79" s="11"/>
    </row>
    <row r="80" spans="1:38" x14ac:dyDescent="0.25">
      <c r="A80" s="38">
        <f>+Données!A80</f>
        <v>5530</v>
      </c>
      <c r="B80" s="247" t="str">
        <f>+Données!B80</f>
        <v>Pailly</v>
      </c>
      <c r="C80" s="235">
        <f>+Ecrêtage!C80</f>
        <v>20112.17390350877</v>
      </c>
      <c r="D80" s="233"/>
      <c r="E80" s="235">
        <f>Données!AF80+Données!AG80+Données!AH80</f>
        <v>0</v>
      </c>
      <c r="F80" s="233">
        <f t="shared" si="10"/>
        <v>160897.39122807016</v>
      </c>
      <c r="G80" s="8">
        <f t="shared" si="11"/>
        <v>0</v>
      </c>
      <c r="H80" s="313">
        <f t="shared" si="12"/>
        <v>0</v>
      </c>
      <c r="J80" s="8">
        <f>Données!AN80</f>
        <v>0</v>
      </c>
      <c r="K80" s="213">
        <f t="shared" si="13"/>
        <v>20112.17390350877</v>
      </c>
      <c r="L80" s="12">
        <f t="shared" si="14"/>
        <v>0</v>
      </c>
      <c r="M80" s="313">
        <f t="shared" si="15"/>
        <v>0</v>
      </c>
      <c r="O80" s="42">
        <f t="shared" si="16"/>
        <v>0</v>
      </c>
      <c r="P80" s="270"/>
      <c r="Q80" s="226"/>
      <c r="R80" s="226"/>
      <c r="S80" s="226"/>
      <c r="T80" s="226"/>
      <c r="U80" s="226"/>
      <c r="AF80" s="11"/>
      <c r="AG80" s="11"/>
      <c r="AH80" s="11"/>
      <c r="AI80" s="11"/>
      <c r="AJ80" s="11"/>
      <c r="AK80" s="11"/>
      <c r="AL80" s="11"/>
    </row>
    <row r="81" spans="1:38" x14ac:dyDescent="0.25">
      <c r="A81" s="38">
        <f>+Données!A81</f>
        <v>5531</v>
      </c>
      <c r="B81" s="247" t="str">
        <f>+Données!B81</f>
        <v>Penthéréaz</v>
      </c>
      <c r="C81" s="235">
        <f>+Ecrêtage!C81</f>
        <v>17299.306216216217</v>
      </c>
      <c r="D81" s="233"/>
      <c r="E81" s="235">
        <f>Données!AF81+Données!AG81+Données!AH81</f>
        <v>0</v>
      </c>
      <c r="F81" s="233">
        <f t="shared" si="10"/>
        <v>138394.44972972973</v>
      </c>
      <c r="G81" s="8">
        <f t="shared" si="11"/>
        <v>0</v>
      </c>
      <c r="H81" s="313">
        <f t="shared" si="12"/>
        <v>0</v>
      </c>
      <c r="J81" s="8">
        <f>Données!AN81</f>
        <v>0</v>
      </c>
      <c r="K81" s="213">
        <f t="shared" si="13"/>
        <v>17299.306216216217</v>
      </c>
      <c r="L81" s="12">
        <f t="shared" si="14"/>
        <v>0</v>
      </c>
      <c r="M81" s="313">
        <f t="shared" si="15"/>
        <v>0</v>
      </c>
      <c r="O81" s="42">
        <f t="shared" si="16"/>
        <v>0</v>
      </c>
      <c r="P81" s="270"/>
      <c r="Q81" s="226"/>
      <c r="R81" s="226"/>
      <c r="S81" s="226"/>
      <c r="T81" s="226"/>
      <c r="U81" s="226"/>
      <c r="AF81" s="11"/>
      <c r="AG81" s="11"/>
      <c r="AH81" s="11"/>
      <c r="AI81" s="11"/>
      <c r="AJ81" s="11"/>
      <c r="AK81" s="11"/>
      <c r="AL81" s="11"/>
    </row>
    <row r="82" spans="1:38" x14ac:dyDescent="0.25">
      <c r="A82" s="38">
        <f>+Données!A82</f>
        <v>5533</v>
      </c>
      <c r="B82" s="247" t="str">
        <f>+Données!B82</f>
        <v>Poliez-Pittet</v>
      </c>
      <c r="C82" s="235">
        <f>+Ecrêtage!C82</f>
        <v>28012.381095890411</v>
      </c>
      <c r="D82" s="233"/>
      <c r="E82" s="235">
        <f>Données!AF82+Données!AG82+Données!AH82</f>
        <v>0</v>
      </c>
      <c r="F82" s="233">
        <f t="shared" si="10"/>
        <v>224099.04876712328</v>
      </c>
      <c r="G82" s="8">
        <f t="shared" si="11"/>
        <v>0</v>
      </c>
      <c r="H82" s="313">
        <f t="shared" si="12"/>
        <v>0</v>
      </c>
      <c r="J82" s="8">
        <f>Données!AN82</f>
        <v>0</v>
      </c>
      <c r="K82" s="213">
        <f t="shared" si="13"/>
        <v>28012.381095890411</v>
      </c>
      <c r="L82" s="12">
        <f t="shared" si="14"/>
        <v>0</v>
      </c>
      <c r="M82" s="313">
        <f t="shared" si="15"/>
        <v>0</v>
      </c>
      <c r="O82" s="42">
        <f t="shared" si="16"/>
        <v>0</v>
      </c>
      <c r="P82" s="270"/>
      <c r="Q82" s="226"/>
      <c r="R82" s="226"/>
      <c r="S82" s="226"/>
      <c r="T82" s="226"/>
      <c r="U82" s="226"/>
      <c r="AF82" s="11"/>
      <c r="AG82" s="11"/>
      <c r="AH82" s="11"/>
      <c r="AI82" s="11"/>
      <c r="AJ82" s="11"/>
      <c r="AK82" s="11"/>
      <c r="AL82" s="11"/>
    </row>
    <row r="83" spans="1:38" x14ac:dyDescent="0.25">
      <c r="A83" s="38">
        <f>+Données!A83</f>
        <v>5534</v>
      </c>
      <c r="B83" s="247" t="str">
        <f>+Données!B83</f>
        <v>Rueyres</v>
      </c>
      <c r="C83" s="235">
        <f>+Ecrêtage!C83</f>
        <v>15042.055228310503</v>
      </c>
      <c r="D83" s="233"/>
      <c r="E83" s="235">
        <f>Données!AF83+Données!AG83+Données!AH83</f>
        <v>0</v>
      </c>
      <c r="F83" s="233">
        <f t="shared" si="10"/>
        <v>120336.44182648402</v>
      </c>
      <c r="G83" s="8">
        <f t="shared" si="11"/>
        <v>0</v>
      </c>
      <c r="H83" s="313">
        <f t="shared" si="12"/>
        <v>0</v>
      </c>
      <c r="J83" s="8">
        <f>Données!AN83</f>
        <v>0</v>
      </c>
      <c r="K83" s="213">
        <f t="shared" si="13"/>
        <v>15042.055228310503</v>
      </c>
      <c r="L83" s="12">
        <f t="shared" si="14"/>
        <v>0</v>
      </c>
      <c r="M83" s="313">
        <f t="shared" si="15"/>
        <v>0</v>
      </c>
      <c r="O83" s="42">
        <f t="shared" si="16"/>
        <v>0</v>
      </c>
      <c r="P83" s="270"/>
      <c r="Q83" s="226"/>
      <c r="R83" s="226"/>
      <c r="S83" s="226"/>
      <c r="T83" s="226"/>
      <c r="U83" s="226"/>
      <c r="AF83" s="11"/>
      <c r="AG83" s="11"/>
      <c r="AH83" s="11"/>
      <c r="AI83" s="11"/>
      <c r="AJ83" s="11"/>
      <c r="AK83" s="11"/>
      <c r="AL83" s="11"/>
    </row>
    <row r="84" spans="1:38" x14ac:dyDescent="0.25">
      <c r="A84" s="38">
        <f>+Données!A84</f>
        <v>5535</v>
      </c>
      <c r="B84" s="247" t="str">
        <f>+Données!B84</f>
        <v>Saint-Barthélemy</v>
      </c>
      <c r="C84" s="235">
        <f>+Ecrêtage!C84</f>
        <v>25488.94373333333</v>
      </c>
      <c r="D84" s="233"/>
      <c r="E84" s="235">
        <f>Données!AF84+Données!AG84+Données!AH84</f>
        <v>0</v>
      </c>
      <c r="F84" s="233">
        <f t="shared" si="10"/>
        <v>203911.54986666664</v>
      </c>
      <c r="G84" s="8">
        <f t="shared" si="11"/>
        <v>0</v>
      </c>
      <c r="H84" s="313">
        <f t="shared" si="12"/>
        <v>0</v>
      </c>
      <c r="J84" s="8">
        <f>Données!AN84</f>
        <v>0</v>
      </c>
      <c r="K84" s="213">
        <f t="shared" si="13"/>
        <v>25488.94373333333</v>
      </c>
      <c r="L84" s="12">
        <f t="shared" si="14"/>
        <v>0</v>
      </c>
      <c r="M84" s="313">
        <f t="shared" si="15"/>
        <v>0</v>
      </c>
      <c r="O84" s="42">
        <f t="shared" si="16"/>
        <v>0</v>
      </c>
      <c r="P84" s="270"/>
      <c r="Q84" s="226"/>
      <c r="R84" s="226"/>
      <c r="S84" s="226"/>
      <c r="T84" s="226"/>
      <c r="U84" s="226"/>
      <c r="AF84" s="11"/>
      <c r="AG84" s="11"/>
      <c r="AH84" s="11"/>
      <c r="AI84" s="11"/>
      <c r="AJ84" s="11"/>
      <c r="AK84" s="11"/>
      <c r="AL84" s="11"/>
    </row>
    <row r="85" spans="1:38" x14ac:dyDescent="0.25">
      <c r="A85" s="38">
        <f>+Données!A85</f>
        <v>5537</v>
      </c>
      <c r="B85" s="247" t="str">
        <f>+Données!B85</f>
        <v>Villars-le-Terroir</v>
      </c>
      <c r="C85" s="235">
        <f>+Ecrêtage!C85</f>
        <v>39164.122763157902</v>
      </c>
      <c r="D85" s="233"/>
      <c r="E85" s="235">
        <f>Données!AF85+Données!AG85+Données!AH85</f>
        <v>0</v>
      </c>
      <c r="F85" s="233">
        <f t="shared" si="10"/>
        <v>313312.98210526322</v>
      </c>
      <c r="G85" s="8">
        <f t="shared" si="11"/>
        <v>0</v>
      </c>
      <c r="H85" s="313">
        <f t="shared" si="12"/>
        <v>0</v>
      </c>
      <c r="J85" s="8">
        <f>Données!AN85</f>
        <v>0</v>
      </c>
      <c r="K85" s="213">
        <f t="shared" si="13"/>
        <v>39164.122763157902</v>
      </c>
      <c r="L85" s="12">
        <f t="shared" si="14"/>
        <v>0</v>
      </c>
      <c r="M85" s="313">
        <f t="shared" si="15"/>
        <v>0</v>
      </c>
      <c r="O85" s="42">
        <f t="shared" si="16"/>
        <v>0</v>
      </c>
      <c r="P85" s="270"/>
      <c r="Q85" s="226"/>
      <c r="R85" s="226"/>
      <c r="S85" s="226"/>
      <c r="T85" s="226"/>
      <c r="U85" s="226"/>
      <c r="AF85" s="11"/>
      <c r="AG85" s="11"/>
      <c r="AH85" s="11"/>
      <c r="AI85" s="11"/>
      <c r="AJ85" s="11"/>
      <c r="AK85" s="11"/>
      <c r="AL85" s="11"/>
    </row>
    <row r="86" spans="1:38" x14ac:dyDescent="0.25">
      <c r="A86" s="38">
        <f>+Données!A86</f>
        <v>5539</v>
      </c>
      <c r="B86" s="247" t="str">
        <f>+Données!B86</f>
        <v>Vuarrens</v>
      </c>
      <c r="C86" s="235">
        <f>+Ecrêtage!C86</f>
        <v>34442.458945578233</v>
      </c>
      <c r="D86" s="233"/>
      <c r="E86" s="235">
        <f>Données!AF86+Données!AG86+Données!AH86</f>
        <v>0</v>
      </c>
      <c r="F86" s="233">
        <f t="shared" si="10"/>
        <v>275539.67156462587</v>
      </c>
      <c r="G86" s="8">
        <f t="shared" si="11"/>
        <v>0</v>
      </c>
      <c r="H86" s="313">
        <f t="shared" si="12"/>
        <v>0</v>
      </c>
      <c r="J86" s="8">
        <f>Données!AN86</f>
        <v>0</v>
      </c>
      <c r="K86" s="213">
        <f t="shared" si="13"/>
        <v>34442.458945578233</v>
      </c>
      <c r="L86" s="12">
        <f t="shared" si="14"/>
        <v>0</v>
      </c>
      <c r="M86" s="313">
        <f t="shared" si="15"/>
        <v>0</v>
      </c>
      <c r="O86" s="42">
        <f t="shared" si="16"/>
        <v>0</v>
      </c>
      <c r="P86" s="270"/>
      <c r="Q86" s="226"/>
      <c r="R86" s="226"/>
      <c r="S86" s="226"/>
      <c r="T86" s="226"/>
      <c r="U86" s="226"/>
      <c r="AF86" s="11"/>
      <c r="AG86" s="11"/>
      <c r="AH86" s="11"/>
      <c r="AI86" s="11"/>
      <c r="AJ86" s="11"/>
      <c r="AK86" s="11"/>
      <c r="AL86" s="11"/>
    </row>
    <row r="87" spans="1:38" x14ac:dyDescent="0.25">
      <c r="A87" s="38">
        <f>+Données!A87</f>
        <v>5540</v>
      </c>
      <c r="B87" s="247" t="str">
        <f>+Données!B87</f>
        <v>Montilliez</v>
      </c>
      <c r="C87" s="235">
        <f>+Ecrêtage!C87</f>
        <v>67464.467689655183</v>
      </c>
      <c r="D87" s="233"/>
      <c r="E87" s="235">
        <f>Données!AF87+Données!AG87+Données!AH87</f>
        <v>0</v>
      </c>
      <c r="F87" s="233">
        <f t="shared" si="10"/>
        <v>539715.74151724146</v>
      </c>
      <c r="G87" s="8">
        <f t="shared" si="11"/>
        <v>0</v>
      </c>
      <c r="H87" s="313">
        <f t="shared" si="12"/>
        <v>0</v>
      </c>
      <c r="J87" s="8">
        <f>Données!AN87</f>
        <v>0</v>
      </c>
      <c r="K87" s="213">
        <f t="shared" si="13"/>
        <v>67464.467689655183</v>
      </c>
      <c r="L87" s="12">
        <f t="shared" si="14"/>
        <v>0</v>
      </c>
      <c r="M87" s="313">
        <f t="shared" si="15"/>
        <v>0</v>
      </c>
      <c r="O87" s="42">
        <f t="shared" si="16"/>
        <v>0</v>
      </c>
      <c r="P87" s="270"/>
      <c r="Q87" s="226"/>
      <c r="R87" s="226"/>
      <c r="S87" s="226"/>
      <c r="T87" s="226"/>
      <c r="U87" s="226"/>
      <c r="AF87" s="11"/>
      <c r="AG87" s="11"/>
      <c r="AH87" s="11"/>
      <c r="AI87" s="11"/>
      <c r="AJ87" s="11"/>
      <c r="AK87" s="11"/>
      <c r="AL87" s="11"/>
    </row>
    <row r="88" spans="1:38" x14ac:dyDescent="0.25">
      <c r="A88" s="38">
        <f>+Données!A88</f>
        <v>5541</v>
      </c>
      <c r="B88" s="247" t="str">
        <f>+Données!B88</f>
        <v>Goumoëns</v>
      </c>
      <c r="C88" s="235">
        <f>+Ecrêtage!C88</f>
        <v>41726.211258278148</v>
      </c>
      <c r="D88" s="233"/>
      <c r="E88" s="235">
        <f>Données!AF88+Données!AG88+Données!AH88</f>
        <v>0</v>
      </c>
      <c r="F88" s="233">
        <f t="shared" si="10"/>
        <v>333809.69006622519</v>
      </c>
      <c r="G88" s="8">
        <f t="shared" si="11"/>
        <v>0</v>
      </c>
      <c r="H88" s="313">
        <f t="shared" si="12"/>
        <v>0</v>
      </c>
      <c r="J88" s="8">
        <f>Données!AN88</f>
        <v>0</v>
      </c>
      <c r="K88" s="213">
        <f t="shared" si="13"/>
        <v>41726.211258278148</v>
      </c>
      <c r="L88" s="12">
        <f t="shared" si="14"/>
        <v>0</v>
      </c>
      <c r="M88" s="313">
        <f t="shared" si="15"/>
        <v>0</v>
      </c>
      <c r="O88" s="42">
        <f t="shared" si="16"/>
        <v>0</v>
      </c>
      <c r="P88" s="270"/>
      <c r="Q88" s="226"/>
      <c r="R88" s="226"/>
      <c r="S88" s="226"/>
      <c r="T88" s="226"/>
      <c r="U88" s="226"/>
      <c r="AF88" s="11"/>
      <c r="AG88" s="11"/>
      <c r="AH88" s="11"/>
      <c r="AI88" s="11"/>
      <c r="AJ88" s="11"/>
      <c r="AK88" s="11"/>
      <c r="AL88" s="11"/>
    </row>
    <row r="89" spans="1:38" x14ac:dyDescent="0.25">
      <c r="A89" s="38">
        <f>+Données!A89</f>
        <v>5551</v>
      </c>
      <c r="B89" s="247" t="str">
        <f>+Données!B89</f>
        <v>Bonvillars</v>
      </c>
      <c r="C89" s="235">
        <f>+Ecrêtage!C89</f>
        <v>18575.023035714283</v>
      </c>
      <c r="D89" s="233"/>
      <c r="E89" s="235">
        <f>Données!AF89+Données!AG89+Données!AH89</f>
        <v>0</v>
      </c>
      <c r="F89" s="233">
        <f t="shared" si="10"/>
        <v>148600.18428571426</v>
      </c>
      <c r="G89" s="8">
        <f t="shared" si="11"/>
        <v>0</v>
      </c>
      <c r="H89" s="313">
        <f t="shared" si="12"/>
        <v>0</v>
      </c>
      <c r="J89" s="8">
        <f>Données!AN89</f>
        <v>0</v>
      </c>
      <c r="K89" s="213">
        <f t="shared" si="13"/>
        <v>18575.023035714283</v>
      </c>
      <c r="L89" s="12">
        <f t="shared" si="14"/>
        <v>0</v>
      </c>
      <c r="M89" s="313">
        <f t="shared" si="15"/>
        <v>0</v>
      </c>
      <c r="O89" s="42">
        <f t="shared" si="16"/>
        <v>0</v>
      </c>
      <c r="P89" s="270"/>
      <c r="Q89" s="226"/>
      <c r="R89" s="226"/>
      <c r="S89" s="226"/>
      <c r="T89" s="226"/>
      <c r="U89" s="226"/>
      <c r="AF89" s="11"/>
      <c r="AG89" s="11"/>
      <c r="AH89" s="11"/>
      <c r="AI89" s="11"/>
      <c r="AJ89" s="11"/>
      <c r="AK89" s="11"/>
      <c r="AL89" s="11"/>
    </row>
    <row r="90" spans="1:38" x14ac:dyDescent="0.25">
      <c r="A90" s="38">
        <f>+Données!A90</f>
        <v>5552</v>
      </c>
      <c r="B90" s="247" t="str">
        <f>+Données!B90</f>
        <v>Bullet</v>
      </c>
      <c r="C90" s="235">
        <f>+Ecrêtage!C90</f>
        <v>19038.952167832165</v>
      </c>
      <c r="D90" s="233"/>
      <c r="E90" s="235">
        <f>Données!AF90+Données!AG90+Données!AH90</f>
        <v>0</v>
      </c>
      <c r="F90" s="233">
        <f t="shared" si="10"/>
        <v>152311.61734265732</v>
      </c>
      <c r="G90" s="8">
        <f t="shared" si="11"/>
        <v>0</v>
      </c>
      <c r="H90" s="313">
        <f t="shared" si="12"/>
        <v>0</v>
      </c>
      <c r="J90" s="8">
        <f>Données!AN90</f>
        <v>0</v>
      </c>
      <c r="K90" s="213">
        <f t="shared" si="13"/>
        <v>19038.952167832165</v>
      </c>
      <c r="L90" s="12">
        <f t="shared" si="14"/>
        <v>0</v>
      </c>
      <c r="M90" s="313">
        <f t="shared" si="15"/>
        <v>0</v>
      </c>
      <c r="O90" s="42">
        <f t="shared" si="16"/>
        <v>0</v>
      </c>
      <c r="P90" s="270"/>
      <c r="Q90" s="226"/>
      <c r="R90" s="226"/>
      <c r="S90" s="226"/>
      <c r="T90" s="226"/>
      <c r="U90" s="226"/>
      <c r="AF90" s="11"/>
      <c r="AG90" s="11"/>
      <c r="AH90" s="11"/>
      <c r="AI90" s="11"/>
      <c r="AJ90" s="11"/>
      <c r="AK90" s="11"/>
      <c r="AL90" s="11"/>
    </row>
    <row r="91" spans="1:38" x14ac:dyDescent="0.25">
      <c r="A91" s="38">
        <f>+Données!A91</f>
        <v>5553</v>
      </c>
      <c r="B91" s="247" t="str">
        <f>+Données!B91</f>
        <v>Champagne</v>
      </c>
      <c r="C91" s="235">
        <f>+Ecrêtage!C91</f>
        <v>38263.796923076923</v>
      </c>
      <c r="D91" s="233"/>
      <c r="E91" s="235">
        <f>Données!AF91+Données!AG91+Données!AH91</f>
        <v>0</v>
      </c>
      <c r="F91" s="233">
        <f t="shared" si="10"/>
        <v>306110.37538461538</v>
      </c>
      <c r="G91" s="8">
        <f t="shared" si="11"/>
        <v>0</v>
      </c>
      <c r="H91" s="313">
        <f t="shared" si="12"/>
        <v>0</v>
      </c>
      <c r="J91" s="8">
        <f>Données!AN91</f>
        <v>0</v>
      </c>
      <c r="K91" s="213">
        <f t="shared" si="13"/>
        <v>38263.796923076923</v>
      </c>
      <c r="L91" s="12">
        <f t="shared" si="14"/>
        <v>0</v>
      </c>
      <c r="M91" s="313">
        <f t="shared" si="15"/>
        <v>0</v>
      </c>
      <c r="O91" s="42">
        <f t="shared" si="16"/>
        <v>0</v>
      </c>
      <c r="P91" s="270"/>
      <c r="Q91" s="226"/>
      <c r="R91" s="226"/>
      <c r="S91" s="226"/>
      <c r="T91" s="226"/>
      <c r="U91" s="226"/>
      <c r="AF91" s="11"/>
      <c r="AG91" s="11"/>
      <c r="AH91" s="11"/>
      <c r="AI91" s="11"/>
      <c r="AJ91" s="11"/>
      <c r="AK91" s="11"/>
      <c r="AL91" s="11"/>
    </row>
    <row r="92" spans="1:38" x14ac:dyDescent="0.25">
      <c r="A92" s="38">
        <f>+Données!A92</f>
        <v>5554</v>
      </c>
      <c r="B92" s="247" t="str">
        <f>+Données!B92</f>
        <v>Concise</v>
      </c>
      <c r="C92" s="235">
        <f>+Ecrêtage!C92</f>
        <v>33907.166000000005</v>
      </c>
      <c r="D92" s="233"/>
      <c r="E92" s="235">
        <f>Données!AF92+Données!AG92+Données!AH92</f>
        <v>0</v>
      </c>
      <c r="F92" s="233">
        <f t="shared" si="10"/>
        <v>271257.32800000004</v>
      </c>
      <c r="G92" s="8">
        <f t="shared" si="11"/>
        <v>0</v>
      </c>
      <c r="H92" s="313">
        <f t="shared" si="12"/>
        <v>0</v>
      </c>
      <c r="J92" s="8">
        <f>Données!AN92</f>
        <v>0</v>
      </c>
      <c r="K92" s="213">
        <f t="shared" si="13"/>
        <v>33907.166000000005</v>
      </c>
      <c r="L92" s="12">
        <f t="shared" si="14"/>
        <v>0</v>
      </c>
      <c r="M92" s="313">
        <f t="shared" si="15"/>
        <v>0</v>
      </c>
      <c r="O92" s="42">
        <f t="shared" si="16"/>
        <v>0</v>
      </c>
      <c r="P92" s="270"/>
      <c r="Q92" s="226"/>
      <c r="R92" s="226"/>
      <c r="S92" s="226"/>
      <c r="T92" s="226"/>
      <c r="U92" s="226"/>
      <c r="AF92" s="11"/>
      <c r="AG92" s="11"/>
      <c r="AH92" s="11"/>
      <c r="AI92" s="11"/>
      <c r="AJ92" s="11"/>
      <c r="AK92" s="11"/>
      <c r="AL92" s="11"/>
    </row>
    <row r="93" spans="1:38" x14ac:dyDescent="0.25">
      <c r="A93" s="38">
        <f>+Données!A93</f>
        <v>5555</v>
      </c>
      <c r="B93" s="247" t="str">
        <f>+Données!B93</f>
        <v>Corcelles-près-Concise</v>
      </c>
      <c r="C93" s="235">
        <f>+Ecrêtage!C93</f>
        <v>13425.201594202899</v>
      </c>
      <c r="D93" s="233"/>
      <c r="E93" s="235">
        <f>Données!AF93+Données!AG93+Données!AH93</f>
        <v>0</v>
      </c>
      <c r="F93" s="233">
        <f t="shared" si="10"/>
        <v>107401.61275362319</v>
      </c>
      <c r="G93" s="8">
        <f t="shared" si="11"/>
        <v>0</v>
      </c>
      <c r="H93" s="313">
        <f t="shared" si="12"/>
        <v>0</v>
      </c>
      <c r="J93" s="8">
        <f>Données!AN93</f>
        <v>0</v>
      </c>
      <c r="K93" s="213">
        <f t="shared" si="13"/>
        <v>13425.201594202899</v>
      </c>
      <c r="L93" s="12">
        <f t="shared" si="14"/>
        <v>0</v>
      </c>
      <c r="M93" s="313">
        <f t="shared" si="15"/>
        <v>0</v>
      </c>
      <c r="O93" s="42">
        <f t="shared" si="16"/>
        <v>0</v>
      </c>
      <c r="P93" s="270"/>
      <c r="Q93" s="226"/>
      <c r="R93" s="226"/>
      <c r="S93" s="226"/>
      <c r="T93" s="226"/>
      <c r="U93" s="226"/>
      <c r="AF93" s="11"/>
      <c r="AG93" s="11"/>
      <c r="AH93" s="11"/>
      <c r="AI93" s="11"/>
      <c r="AJ93" s="11"/>
      <c r="AK93" s="11"/>
      <c r="AL93" s="11"/>
    </row>
    <row r="94" spans="1:38" x14ac:dyDescent="0.25">
      <c r="A94" s="38">
        <f>+Données!A94</f>
        <v>5556</v>
      </c>
      <c r="B94" s="247" t="str">
        <f>+Données!B94</f>
        <v>Fiez</v>
      </c>
      <c r="C94" s="235">
        <f>+Ecrêtage!C94</f>
        <v>13304.241787439612</v>
      </c>
      <c r="D94" s="233"/>
      <c r="E94" s="235">
        <f>Données!AF94+Données!AG94+Données!AH94</f>
        <v>0</v>
      </c>
      <c r="F94" s="233">
        <f t="shared" si="10"/>
        <v>106433.9342995169</v>
      </c>
      <c r="G94" s="8">
        <f t="shared" si="11"/>
        <v>0</v>
      </c>
      <c r="H94" s="313">
        <f t="shared" si="12"/>
        <v>0</v>
      </c>
      <c r="J94" s="8">
        <f>Données!AN94</f>
        <v>0</v>
      </c>
      <c r="K94" s="213">
        <f t="shared" si="13"/>
        <v>13304.241787439612</v>
      </c>
      <c r="L94" s="12">
        <f t="shared" si="14"/>
        <v>0</v>
      </c>
      <c r="M94" s="313">
        <f t="shared" si="15"/>
        <v>0</v>
      </c>
      <c r="O94" s="42">
        <f t="shared" si="16"/>
        <v>0</v>
      </c>
      <c r="P94" s="270"/>
      <c r="Q94" s="226"/>
      <c r="R94" s="226"/>
      <c r="S94" s="226"/>
      <c r="T94" s="226"/>
      <c r="U94" s="226"/>
      <c r="AF94" s="11"/>
      <c r="AG94" s="11"/>
      <c r="AH94" s="11"/>
      <c r="AI94" s="11"/>
      <c r="AJ94" s="11"/>
      <c r="AK94" s="11"/>
      <c r="AL94" s="11"/>
    </row>
    <row r="95" spans="1:38" x14ac:dyDescent="0.25">
      <c r="A95" s="38">
        <f>+Données!A95</f>
        <v>5557</v>
      </c>
      <c r="B95" s="247" t="str">
        <f>+Données!B95</f>
        <v>Fontaines-sur-Grandson</v>
      </c>
      <c r="C95" s="235">
        <f>+Ecrêtage!C95</f>
        <v>5098.7534782608691</v>
      </c>
      <c r="D95" s="233"/>
      <c r="E95" s="235">
        <f>Données!AF95+Données!AG95+Données!AH95</f>
        <v>0</v>
      </c>
      <c r="F95" s="233">
        <f t="shared" si="10"/>
        <v>40790.027826086953</v>
      </c>
      <c r="G95" s="8">
        <f t="shared" si="11"/>
        <v>0</v>
      </c>
      <c r="H95" s="313">
        <f t="shared" si="12"/>
        <v>0</v>
      </c>
      <c r="J95" s="8">
        <f>Données!AN95</f>
        <v>0</v>
      </c>
      <c r="K95" s="213">
        <f t="shared" si="13"/>
        <v>5098.7534782608691</v>
      </c>
      <c r="L95" s="12">
        <f t="shared" si="14"/>
        <v>0</v>
      </c>
      <c r="M95" s="313">
        <f t="shared" si="15"/>
        <v>0</v>
      </c>
      <c r="O95" s="42">
        <f t="shared" si="16"/>
        <v>0</v>
      </c>
      <c r="P95" s="270"/>
      <c r="Q95" s="226"/>
      <c r="R95" s="226"/>
      <c r="S95" s="226"/>
      <c r="T95" s="226"/>
      <c r="U95" s="226"/>
      <c r="AF95" s="11"/>
      <c r="AG95" s="11"/>
      <c r="AH95" s="11"/>
      <c r="AI95" s="11"/>
      <c r="AJ95" s="11"/>
      <c r="AK95" s="11"/>
      <c r="AL95" s="11"/>
    </row>
    <row r="96" spans="1:38" x14ac:dyDescent="0.25">
      <c r="A96" s="38">
        <f>+Données!A96</f>
        <v>5559</v>
      </c>
      <c r="B96" s="247" t="str">
        <f>+Données!B96</f>
        <v>Giez</v>
      </c>
      <c r="C96" s="235">
        <f>+Ecrêtage!C96</f>
        <v>21011.030606060605</v>
      </c>
      <c r="D96" s="233"/>
      <c r="E96" s="235">
        <f>Données!AF96+Données!AG96+Données!AH96</f>
        <v>0</v>
      </c>
      <c r="F96" s="233">
        <f t="shared" si="10"/>
        <v>168088.24484848484</v>
      </c>
      <c r="G96" s="8">
        <f t="shared" si="11"/>
        <v>0</v>
      </c>
      <c r="H96" s="313">
        <f t="shared" si="12"/>
        <v>0</v>
      </c>
      <c r="J96" s="8">
        <f>Données!AN96</f>
        <v>0</v>
      </c>
      <c r="K96" s="213">
        <f t="shared" si="13"/>
        <v>21011.030606060605</v>
      </c>
      <c r="L96" s="12">
        <f t="shared" si="14"/>
        <v>0</v>
      </c>
      <c r="M96" s="313">
        <f t="shared" si="15"/>
        <v>0</v>
      </c>
      <c r="O96" s="42">
        <f t="shared" si="16"/>
        <v>0</v>
      </c>
      <c r="P96" s="270"/>
      <c r="Q96" s="226"/>
      <c r="R96" s="226"/>
      <c r="S96" s="226"/>
      <c r="T96" s="226"/>
      <c r="U96" s="226"/>
      <c r="AF96" s="11"/>
      <c r="AG96" s="11"/>
      <c r="AH96" s="11"/>
      <c r="AI96" s="11"/>
      <c r="AJ96" s="11"/>
      <c r="AK96" s="11"/>
      <c r="AL96" s="11"/>
    </row>
    <row r="97" spans="1:38" x14ac:dyDescent="0.25">
      <c r="A97" s="38">
        <f>+Données!A97</f>
        <v>5560</v>
      </c>
      <c r="B97" s="247" t="str">
        <f>+Données!B97</f>
        <v>Grandevent</v>
      </c>
      <c r="C97" s="235">
        <f>+Ecrêtage!C97</f>
        <v>8996.1449295774655</v>
      </c>
      <c r="D97" s="233"/>
      <c r="E97" s="235">
        <f>Données!AF97+Données!AG97+Données!AH97</f>
        <v>0</v>
      </c>
      <c r="F97" s="233">
        <f t="shared" si="10"/>
        <v>71969.159436619724</v>
      </c>
      <c r="G97" s="8">
        <f t="shared" si="11"/>
        <v>0</v>
      </c>
      <c r="H97" s="313">
        <f t="shared" si="12"/>
        <v>0</v>
      </c>
      <c r="J97" s="8">
        <f>Données!AN97</f>
        <v>0</v>
      </c>
      <c r="K97" s="213">
        <f t="shared" si="13"/>
        <v>8996.1449295774655</v>
      </c>
      <c r="L97" s="12">
        <f t="shared" si="14"/>
        <v>0</v>
      </c>
      <c r="M97" s="313">
        <f t="shared" si="15"/>
        <v>0</v>
      </c>
      <c r="O97" s="42">
        <f t="shared" si="16"/>
        <v>0</v>
      </c>
      <c r="P97" s="270"/>
      <c r="Q97" s="226"/>
      <c r="R97" s="226"/>
      <c r="S97" s="226"/>
      <c r="T97" s="226"/>
      <c r="U97" s="226"/>
      <c r="AF97" s="11"/>
      <c r="AG97" s="11"/>
      <c r="AH97" s="11"/>
      <c r="AI97" s="11"/>
      <c r="AJ97" s="11"/>
      <c r="AK97" s="11"/>
      <c r="AL97" s="11"/>
    </row>
    <row r="98" spans="1:38" x14ac:dyDescent="0.25">
      <c r="A98" s="38">
        <f>+Données!A98</f>
        <v>5561</v>
      </c>
      <c r="B98" s="247" t="str">
        <f>+Données!B98</f>
        <v>Grandson</v>
      </c>
      <c r="C98" s="235">
        <f>+Ecrêtage!C98</f>
        <v>132376.08594202899</v>
      </c>
      <c r="D98" s="233"/>
      <c r="E98" s="235">
        <f>Données!AF98+Données!AG98+Données!AH98</f>
        <v>0</v>
      </c>
      <c r="F98" s="233">
        <f t="shared" si="10"/>
        <v>1059008.6875362319</v>
      </c>
      <c r="G98" s="8">
        <f t="shared" si="11"/>
        <v>0</v>
      </c>
      <c r="H98" s="313">
        <f t="shared" si="12"/>
        <v>0</v>
      </c>
      <c r="J98" s="8">
        <f>Données!AN98</f>
        <v>0</v>
      </c>
      <c r="K98" s="213">
        <f t="shared" si="13"/>
        <v>132376.08594202899</v>
      </c>
      <c r="L98" s="12">
        <f t="shared" si="14"/>
        <v>0</v>
      </c>
      <c r="M98" s="313">
        <f t="shared" si="15"/>
        <v>0</v>
      </c>
      <c r="O98" s="42">
        <f t="shared" si="16"/>
        <v>0</v>
      </c>
      <c r="P98" s="270"/>
      <c r="Q98" s="226"/>
      <c r="R98" s="226"/>
      <c r="S98" s="226"/>
      <c r="T98" s="226"/>
      <c r="U98" s="226"/>
      <c r="AF98" s="11"/>
      <c r="AG98" s="11"/>
      <c r="AH98" s="11"/>
      <c r="AI98" s="11"/>
      <c r="AJ98" s="11"/>
      <c r="AK98" s="11"/>
      <c r="AL98" s="11"/>
    </row>
    <row r="99" spans="1:38" x14ac:dyDescent="0.25">
      <c r="A99" s="38">
        <f>+Données!A99</f>
        <v>5562</v>
      </c>
      <c r="B99" s="247" t="str">
        <f>+Données!B99</f>
        <v>Mauborget</v>
      </c>
      <c r="C99" s="235">
        <f>+Ecrêtage!C99</f>
        <v>4559.8505476190467</v>
      </c>
      <c r="D99" s="233"/>
      <c r="E99" s="235">
        <f>Données!AF99+Données!AG99+Données!AH99</f>
        <v>0</v>
      </c>
      <c r="F99" s="233">
        <f t="shared" si="10"/>
        <v>36478.804380952373</v>
      </c>
      <c r="G99" s="8">
        <f t="shared" si="11"/>
        <v>0</v>
      </c>
      <c r="H99" s="313">
        <f t="shared" si="12"/>
        <v>0</v>
      </c>
      <c r="J99" s="8">
        <f>Données!AN99</f>
        <v>0</v>
      </c>
      <c r="K99" s="213">
        <f t="shared" si="13"/>
        <v>4559.8505476190467</v>
      </c>
      <c r="L99" s="12">
        <f t="shared" si="14"/>
        <v>0</v>
      </c>
      <c r="M99" s="313">
        <f t="shared" si="15"/>
        <v>0</v>
      </c>
      <c r="O99" s="42">
        <f t="shared" si="16"/>
        <v>0</v>
      </c>
      <c r="P99" s="270"/>
      <c r="Q99" s="226"/>
      <c r="R99" s="226"/>
      <c r="S99" s="226"/>
      <c r="T99" s="226"/>
      <c r="U99" s="226"/>
      <c r="AF99" s="11"/>
      <c r="AG99" s="11"/>
      <c r="AH99" s="11"/>
      <c r="AI99" s="11"/>
      <c r="AJ99" s="11"/>
      <c r="AK99" s="11"/>
      <c r="AL99" s="11"/>
    </row>
    <row r="100" spans="1:38" x14ac:dyDescent="0.25">
      <c r="A100" s="38">
        <f>+Données!A100</f>
        <v>5563</v>
      </c>
      <c r="B100" s="247" t="str">
        <f>+Données!B100</f>
        <v>Mutrux</v>
      </c>
      <c r="C100" s="235">
        <f>+Ecrêtage!C100</f>
        <v>2282.3142499999999</v>
      </c>
      <c r="D100" s="233"/>
      <c r="E100" s="235">
        <f>Données!AF100+Données!AG100+Données!AH100</f>
        <v>0</v>
      </c>
      <c r="F100" s="233">
        <f t="shared" si="10"/>
        <v>18258.513999999999</v>
      </c>
      <c r="G100" s="8">
        <f t="shared" si="11"/>
        <v>0</v>
      </c>
      <c r="H100" s="313">
        <f t="shared" si="12"/>
        <v>0</v>
      </c>
      <c r="J100" s="8">
        <f>Données!AN100</f>
        <v>0</v>
      </c>
      <c r="K100" s="213">
        <f t="shared" si="13"/>
        <v>2282.3142499999999</v>
      </c>
      <c r="L100" s="12">
        <f t="shared" si="14"/>
        <v>0</v>
      </c>
      <c r="M100" s="313">
        <f t="shared" si="15"/>
        <v>0</v>
      </c>
      <c r="O100" s="42">
        <f t="shared" si="16"/>
        <v>0</v>
      </c>
      <c r="P100" s="270"/>
      <c r="Q100" s="226"/>
      <c r="R100" s="226"/>
      <c r="S100" s="226"/>
      <c r="T100" s="226"/>
      <c r="U100" s="226"/>
      <c r="AF100" s="11"/>
      <c r="AG100" s="11"/>
      <c r="AH100" s="11"/>
      <c r="AI100" s="11"/>
      <c r="AJ100" s="11"/>
      <c r="AK100" s="11"/>
      <c r="AL100" s="11"/>
    </row>
    <row r="101" spans="1:38" x14ac:dyDescent="0.25">
      <c r="A101" s="38">
        <f>+Données!A101</f>
        <v>5564</v>
      </c>
      <c r="B101" s="247" t="str">
        <f>+Données!B101</f>
        <v>Novalles</v>
      </c>
      <c r="C101" s="235">
        <f>+Ecrêtage!C101</f>
        <v>2548.8725328947371</v>
      </c>
      <c r="D101" s="233"/>
      <c r="E101" s="235">
        <f>Données!AF101+Données!AG101+Données!AH101</f>
        <v>0</v>
      </c>
      <c r="F101" s="233">
        <f t="shared" si="10"/>
        <v>20390.980263157897</v>
      </c>
      <c r="G101" s="8">
        <f t="shared" si="11"/>
        <v>0</v>
      </c>
      <c r="H101" s="313">
        <f t="shared" si="12"/>
        <v>0</v>
      </c>
      <c r="J101" s="8">
        <f>Données!AN101</f>
        <v>0</v>
      </c>
      <c r="K101" s="213">
        <f t="shared" si="13"/>
        <v>2548.8725328947371</v>
      </c>
      <c r="L101" s="12">
        <f t="shared" si="14"/>
        <v>0</v>
      </c>
      <c r="M101" s="313">
        <f t="shared" si="15"/>
        <v>0</v>
      </c>
      <c r="O101" s="42">
        <f t="shared" si="16"/>
        <v>0</v>
      </c>
      <c r="P101" s="270"/>
      <c r="Q101" s="226"/>
      <c r="R101" s="226"/>
      <c r="S101" s="226"/>
      <c r="T101" s="226"/>
      <c r="U101" s="226"/>
      <c r="AF101" s="11"/>
      <c r="AG101" s="11"/>
      <c r="AH101" s="11"/>
      <c r="AI101" s="11"/>
      <c r="AJ101" s="11"/>
      <c r="AK101" s="11"/>
      <c r="AL101" s="11"/>
    </row>
    <row r="102" spans="1:38" x14ac:dyDescent="0.25">
      <c r="A102" s="38">
        <f>+Données!A102</f>
        <v>5565</v>
      </c>
      <c r="B102" s="247" t="str">
        <f>+Données!B102</f>
        <v>Onnens</v>
      </c>
      <c r="C102" s="235">
        <f>+Ecrêtage!C102</f>
        <v>11658.700944881888</v>
      </c>
      <c r="D102" s="233"/>
      <c r="E102" s="235">
        <f>Données!AF102+Données!AG102+Données!AH102</f>
        <v>0</v>
      </c>
      <c r="F102" s="233">
        <f t="shared" si="10"/>
        <v>93269.607559055105</v>
      </c>
      <c r="G102" s="8">
        <f t="shared" si="11"/>
        <v>0</v>
      </c>
      <c r="H102" s="313">
        <f t="shared" si="12"/>
        <v>0</v>
      </c>
      <c r="J102" s="8">
        <f>Données!AN102</f>
        <v>0</v>
      </c>
      <c r="K102" s="213">
        <f t="shared" si="13"/>
        <v>11658.700944881888</v>
      </c>
      <c r="L102" s="12">
        <f t="shared" si="14"/>
        <v>0</v>
      </c>
      <c r="M102" s="313">
        <f t="shared" si="15"/>
        <v>0</v>
      </c>
      <c r="O102" s="42">
        <f t="shared" si="16"/>
        <v>0</v>
      </c>
      <c r="P102" s="270"/>
      <c r="Q102" s="226"/>
      <c r="R102" s="226"/>
      <c r="S102" s="226"/>
      <c r="T102" s="226"/>
      <c r="U102" s="226"/>
      <c r="AF102" s="11"/>
      <c r="AG102" s="11"/>
      <c r="AH102" s="11"/>
      <c r="AI102" s="11"/>
      <c r="AJ102" s="11"/>
      <c r="AK102" s="11"/>
      <c r="AL102" s="11"/>
    </row>
    <row r="103" spans="1:38" x14ac:dyDescent="0.25">
      <c r="A103" s="38">
        <f>+Données!A103</f>
        <v>5566</v>
      </c>
      <c r="B103" s="247" t="str">
        <f>+Données!B103</f>
        <v>Provence</v>
      </c>
      <c r="C103" s="235">
        <f>+Ecrêtage!C103</f>
        <v>8528.9197942386818</v>
      </c>
      <c r="D103" s="233"/>
      <c r="E103" s="235">
        <f>Données!AF103+Données!AG103+Données!AH103</f>
        <v>0</v>
      </c>
      <c r="F103" s="233">
        <f t="shared" si="10"/>
        <v>68231.358353909454</v>
      </c>
      <c r="G103" s="8">
        <f t="shared" si="11"/>
        <v>0</v>
      </c>
      <c r="H103" s="313">
        <f t="shared" si="12"/>
        <v>0</v>
      </c>
      <c r="J103" s="8">
        <f>Données!AN103</f>
        <v>0</v>
      </c>
      <c r="K103" s="213">
        <f t="shared" si="13"/>
        <v>8528.9197942386818</v>
      </c>
      <c r="L103" s="12">
        <f t="shared" si="14"/>
        <v>0</v>
      </c>
      <c r="M103" s="313">
        <f t="shared" si="15"/>
        <v>0</v>
      </c>
      <c r="O103" s="42">
        <f t="shared" si="16"/>
        <v>0</v>
      </c>
      <c r="P103" s="270"/>
      <c r="Q103" s="226"/>
      <c r="R103" s="226"/>
      <c r="S103" s="226"/>
      <c r="T103" s="226"/>
      <c r="U103" s="226"/>
      <c r="AF103" s="11"/>
      <c r="AG103" s="11"/>
      <c r="AH103" s="11"/>
      <c r="AI103" s="11"/>
      <c r="AJ103" s="11"/>
      <c r="AK103" s="11"/>
      <c r="AL103" s="11"/>
    </row>
    <row r="104" spans="1:38" x14ac:dyDescent="0.25">
      <c r="A104" s="38">
        <f>+Données!A104</f>
        <v>5568</v>
      </c>
      <c r="B104" s="247" t="str">
        <f>+Données!B104</f>
        <v>Sainte-Croix</v>
      </c>
      <c r="C104" s="235">
        <f>+Ecrêtage!C104</f>
        <v>106004.96942857141</v>
      </c>
      <c r="D104" s="233"/>
      <c r="E104" s="235">
        <f>Données!AF104+Données!AG104+Données!AH104</f>
        <v>0</v>
      </c>
      <c r="F104" s="233">
        <f t="shared" si="10"/>
        <v>848039.75542857125</v>
      </c>
      <c r="G104" s="8">
        <f t="shared" si="11"/>
        <v>0</v>
      </c>
      <c r="H104" s="313">
        <f t="shared" si="12"/>
        <v>0</v>
      </c>
      <c r="J104" s="8">
        <f>Données!AN104</f>
        <v>0</v>
      </c>
      <c r="K104" s="213">
        <f t="shared" si="13"/>
        <v>106004.96942857141</v>
      </c>
      <c r="L104" s="12">
        <f t="shared" si="14"/>
        <v>0</v>
      </c>
      <c r="M104" s="313">
        <f t="shared" si="15"/>
        <v>0</v>
      </c>
      <c r="O104" s="42">
        <f t="shared" si="16"/>
        <v>0</v>
      </c>
      <c r="P104" s="270"/>
      <c r="Q104" s="226"/>
      <c r="R104" s="226"/>
      <c r="S104" s="226"/>
      <c r="T104" s="226"/>
      <c r="U104" s="226"/>
      <c r="AF104" s="11"/>
      <c r="AG104" s="11"/>
      <c r="AH104" s="11"/>
      <c r="AI104" s="11"/>
      <c r="AJ104" s="11"/>
      <c r="AK104" s="11"/>
      <c r="AL104" s="11"/>
    </row>
    <row r="105" spans="1:38" x14ac:dyDescent="0.25">
      <c r="A105" s="38">
        <f>+Données!A105</f>
        <v>5571</v>
      </c>
      <c r="B105" s="247" t="str">
        <f>+Données!B105</f>
        <v>Tévenon</v>
      </c>
      <c r="C105" s="235">
        <f>+Ecrêtage!C105</f>
        <v>25907.008578088578</v>
      </c>
      <c r="D105" s="233"/>
      <c r="E105" s="235">
        <f>Données!AF105+Données!AG105+Données!AH105</f>
        <v>0</v>
      </c>
      <c r="F105" s="233">
        <f t="shared" si="10"/>
        <v>207256.06862470863</v>
      </c>
      <c r="G105" s="8">
        <f t="shared" si="11"/>
        <v>0</v>
      </c>
      <c r="H105" s="313">
        <f t="shared" si="12"/>
        <v>0</v>
      </c>
      <c r="J105" s="8">
        <f>Données!AN105</f>
        <v>0</v>
      </c>
      <c r="K105" s="213">
        <f t="shared" si="13"/>
        <v>25907.008578088578</v>
      </c>
      <c r="L105" s="12">
        <f t="shared" si="14"/>
        <v>0</v>
      </c>
      <c r="M105" s="313">
        <f t="shared" si="15"/>
        <v>0</v>
      </c>
      <c r="O105" s="42">
        <f t="shared" si="16"/>
        <v>0</v>
      </c>
      <c r="P105" s="270"/>
      <c r="Q105" s="226"/>
      <c r="R105" s="226"/>
      <c r="S105" s="226"/>
      <c r="T105" s="226"/>
      <c r="U105" s="226"/>
      <c r="AF105" s="11"/>
      <c r="AG105" s="11"/>
      <c r="AH105" s="11"/>
      <c r="AI105" s="11"/>
      <c r="AJ105" s="11"/>
      <c r="AK105" s="11"/>
      <c r="AL105" s="11"/>
    </row>
    <row r="106" spans="1:38" x14ac:dyDescent="0.25">
      <c r="A106" s="38">
        <f>+Données!A106</f>
        <v>5581</v>
      </c>
      <c r="B106" s="247" t="str">
        <f>+Données!B106</f>
        <v>Belmont-sur-Lausanne</v>
      </c>
      <c r="C106" s="235">
        <f>+Ecrêtage!C106</f>
        <v>233711.86319444442</v>
      </c>
      <c r="D106" s="233"/>
      <c r="E106" s="235">
        <f>Données!AF106+Données!AG106+Données!AH106</f>
        <v>0</v>
      </c>
      <c r="F106" s="233">
        <f t="shared" si="10"/>
        <v>1869694.9055555554</v>
      </c>
      <c r="G106" s="8">
        <f t="shared" si="11"/>
        <v>0</v>
      </c>
      <c r="H106" s="313">
        <f t="shared" si="12"/>
        <v>0</v>
      </c>
      <c r="J106" s="8">
        <f>Données!AN106</f>
        <v>0</v>
      </c>
      <c r="K106" s="213">
        <f t="shared" si="13"/>
        <v>233711.86319444442</v>
      </c>
      <c r="L106" s="12">
        <f t="shared" si="14"/>
        <v>0</v>
      </c>
      <c r="M106" s="313">
        <f t="shared" si="15"/>
        <v>0</v>
      </c>
      <c r="O106" s="42">
        <f t="shared" si="16"/>
        <v>0</v>
      </c>
      <c r="P106" s="270"/>
      <c r="Q106" s="226"/>
      <c r="R106" s="226"/>
      <c r="S106" s="226"/>
      <c r="T106" s="226"/>
      <c r="U106" s="226"/>
      <c r="AF106" s="11"/>
      <c r="AG106" s="11"/>
      <c r="AH106" s="11"/>
      <c r="AI106" s="11"/>
      <c r="AJ106" s="11"/>
      <c r="AK106" s="11"/>
      <c r="AL106" s="11"/>
    </row>
    <row r="107" spans="1:38" x14ac:dyDescent="0.25">
      <c r="A107" s="38">
        <f>+Données!A107</f>
        <v>5582</v>
      </c>
      <c r="B107" s="247" t="str">
        <f>+Données!B107</f>
        <v>Cheseaux-sur-Lausanne</v>
      </c>
      <c r="C107" s="235">
        <f>+Ecrêtage!C107</f>
        <v>170428.79082191776</v>
      </c>
      <c r="D107" s="233"/>
      <c r="E107" s="235">
        <f>Données!AF107+Données!AG107+Données!AH107</f>
        <v>0</v>
      </c>
      <c r="F107" s="233">
        <f t="shared" si="10"/>
        <v>1363430.3265753421</v>
      </c>
      <c r="G107" s="8">
        <f t="shared" si="11"/>
        <v>0</v>
      </c>
      <c r="H107" s="313">
        <f t="shared" si="12"/>
        <v>0</v>
      </c>
      <c r="J107" s="8">
        <f>Données!AN107</f>
        <v>0</v>
      </c>
      <c r="K107" s="213">
        <f t="shared" si="13"/>
        <v>170428.79082191776</v>
      </c>
      <c r="L107" s="12">
        <f t="shared" si="14"/>
        <v>0</v>
      </c>
      <c r="M107" s="313">
        <f t="shared" si="15"/>
        <v>0</v>
      </c>
      <c r="O107" s="42">
        <f t="shared" si="16"/>
        <v>0</v>
      </c>
      <c r="P107" s="270"/>
      <c r="Q107" s="226"/>
      <c r="R107" s="226"/>
      <c r="S107" s="226"/>
      <c r="T107" s="226"/>
      <c r="U107" s="226"/>
      <c r="AF107" s="11"/>
      <c r="AG107" s="11"/>
      <c r="AH107" s="11"/>
      <c r="AI107" s="11"/>
      <c r="AJ107" s="11"/>
      <c r="AK107" s="11"/>
      <c r="AL107" s="11"/>
    </row>
    <row r="108" spans="1:38" x14ac:dyDescent="0.25">
      <c r="A108" s="38">
        <f>+Données!A108</f>
        <v>5583</v>
      </c>
      <c r="B108" s="247" t="str">
        <f>+Données!B108</f>
        <v>Crissier</v>
      </c>
      <c r="C108" s="235">
        <f>+Ecrêtage!C108</f>
        <v>340496.54456692917</v>
      </c>
      <c r="D108" s="233"/>
      <c r="E108" s="235">
        <f>Données!AF108+Données!AG108+Données!AH108</f>
        <v>0</v>
      </c>
      <c r="F108" s="233">
        <f t="shared" si="10"/>
        <v>2723972.3565354333</v>
      </c>
      <c r="G108" s="8">
        <f t="shared" si="11"/>
        <v>0</v>
      </c>
      <c r="H108" s="313">
        <f t="shared" si="12"/>
        <v>0</v>
      </c>
      <c r="J108" s="8">
        <f>Données!AN108</f>
        <v>0</v>
      </c>
      <c r="K108" s="213">
        <f t="shared" si="13"/>
        <v>340496.54456692917</v>
      </c>
      <c r="L108" s="12">
        <f t="shared" si="14"/>
        <v>0</v>
      </c>
      <c r="M108" s="313">
        <f t="shared" si="15"/>
        <v>0</v>
      </c>
      <c r="O108" s="42">
        <f t="shared" si="16"/>
        <v>0</v>
      </c>
      <c r="P108" s="270"/>
      <c r="Q108" s="226"/>
      <c r="R108" s="226"/>
      <c r="S108" s="226"/>
      <c r="T108" s="226"/>
      <c r="U108" s="226"/>
      <c r="AF108" s="11"/>
      <c r="AG108" s="11"/>
      <c r="AH108" s="11"/>
      <c r="AI108" s="11"/>
      <c r="AJ108" s="11"/>
      <c r="AK108" s="11"/>
      <c r="AL108" s="11"/>
    </row>
    <row r="109" spans="1:38" x14ac:dyDescent="0.25">
      <c r="A109" s="38">
        <f>+Données!A109</f>
        <v>5584</v>
      </c>
      <c r="B109" s="247" t="str">
        <f>+Données!B109</f>
        <v>Epalinges</v>
      </c>
      <c r="C109" s="235">
        <f>+Ecrêtage!C109</f>
        <v>489766.22341085278</v>
      </c>
      <c r="D109" s="233"/>
      <c r="E109" s="235">
        <f>Données!AF109+Données!AG109+Données!AH109</f>
        <v>0</v>
      </c>
      <c r="F109" s="233">
        <f t="shared" si="10"/>
        <v>3918129.7872868222</v>
      </c>
      <c r="G109" s="8">
        <f t="shared" si="11"/>
        <v>0</v>
      </c>
      <c r="H109" s="313">
        <f t="shared" si="12"/>
        <v>0</v>
      </c>
      <c r="J109" s="8">
        <f>Données!AN109</f>
        <v>0</v>
      </c>
      <c r="K109" s="213">
        <f t="shared" si="13"/>
        <v>489766.22341085278</v>
      </c>
      <c r="L109" s="12">
        <f t="shared" si="14"/>
        <v>0</v>
      </c>
      <c r="M109" s="313">
        <f t="shared" si="15"/>
        <v>0</v>
      </c>
      <c r="O109" s="42">
        <f t="shared" si="16"/>
        <v>0</v>
      </c>
      <c r="P109" s="270"/>
      <c r="Q109" s="226"/>
      <c r="R109" s="226"/>
      <c r="S109" s="226"/>
      <c r="T109" s="226"/>
      <c r="U109" s="226"/>
      <c r="AF109" s="11"/>
      <c r="AG109" s="11"/>
      <c r="AH109" s="11"/>
      <c r="AI109" s="11"/>
      <c r="AJ109" s="11"/>
      <c r="AK109" s="11"/>
      <c r="AL109" s="11"/>
    </row>
    <row r="110" spans="1:38" x14ac:dyDescent="0.25">
      <c r="A110" s="38">
        <f>+Données!A110</f>
        <v>5585</v>
      </c>
      <c r="B110" s="247" t="str">
        <f>+Données!B110</f>
        <v>Jouxtens-Mézery</v>
      </c>
      <c r="C110" s="235">
        <f>+Ecrêtage!C110</f>
        <v>252946.52254237281</v>
      </c>
      <c r="D110" s="233"/>
      <c r="E110" s="235">
        <f>Données!AF110+Données!AG110+Données!AH110</f>
        <v>0</v>
      </c>
      <c r="F110" s="233">
        <f t="shared" si="10"/>
        <v>2023572.1803389825</v>
      </c>
      <c r="G110" s="8">
        <f t="shared" si="11"/>
        <v>0</v>
      </c>
      <c r="H110" s="313">
        <f t="shared" si="12"/>
        <v>0</v>
      </c>
      <c r="J110" s="8">
        <f>Données!AN110</f>
        <v>0</v>
      </c>
      <c r="K110" s="213">
        <f t="shared" si="13"/>
        <v>252946.52254237281</v>
      </c>
      <c r="L110" s="12">
        <f t="shared" si="14"/>
        <v>0</v>
      </c>
      <c r="M110" s="313">
        <f t="shared" si="15"/>
        <v>0</v>
      </c>
      <c r="O110" s="42">
        <f t="shared" si="16"/>
        <v>0</v>
      </c>
      <c r="P110" s="270"/>
      <c r="Q110" s="226"/>
      <c r="R110" s="226"/>
      <c r="S110" s="226"/>
      <c r="T110" s="226"/>
      <c r="U110" s="226"/>
      <c r="AF110" s="11"/>
      <c r="AG110" s="11"/>
      <c r="AH110" s="11"/>
      <c r="AI110" s="11"/>
      <c r="AJ110" s="11"/>
      <c r="AK110" s="11"/>
      <c r="AL110" s="11"/>
    </row>
    <row r="111" spans="1:38" x14ac:dyDescent="0.25">
      <c r="A111" s="38">
        <f>+Données!A111</f>
        <v>5586</v>
      </c>
      <c r="B111" s="247" t="str">
        <f>+Données!B111</f>
        <v>Lausanne</v>
      </c>
      <c r="C111" s="235">
        <f>+Ecrêtage!C111</f>
        <v>6671451.3923142245</v>
      </c>
      <c r="D111" s="233"/>
      <c r="E111" s="235">
        <f>Données!AF111+Données!AG111+Données!AH111</f>
        <v>0</v>
      </c>
      <c r="F111" s="233">
        <f t="shared" si="10"/>
        <v>53371611.138513796</v>
      </c>
      <c r="G111" s="8">
        <f t="shared" si="11"/>
        <v>0</v>
      </c>
      <c r="H111" s="313">
        <f t="shared" si="12"/>
        <v>0</v>
      </c>
      <c r="J111" s="8">
        <f>Données!AN111</f>
        <v>0</v>
      </c>
      <c r="K111" s="213">
        <f t="shared" si="13"/>
        <v>6671451.3923142245</v>
      </c>
      <c r="L111" s="12">
        <f t="shared" si="14"/>
        <v>0</v>
      </c>
      <c r="M111" s="313">
        <f t="shared" si="15"/>
        <v>0</v>
      </c>
      <c r="O111" s="42">
        <f t="shared" si="16"/>
        <v>0</v>
      </c>
      <c r="P111" s="270"/>
      <c r="Q111" s="226"/>
      <c r="R111" s="226"/>
      <c r="S111" s="226"/>
      <c r="T111" s="226"/>
      <c r="U111" s="226"/>
      <c r="AF111" s="11"/>
      <c r="AG111" s="11"/>
      <c r="AH111" s="11"/>
      <c r="AI111" s="11"/>
      <c r="AJ111" s="11"/>
      <c r="AK111" s="11"/>
      <c r="AL111" s="11"/>
    </row>
    <row r="112" spans="1:38" x14ac:dyDescent="0.25">
      <c r="A112" s="38">
        <f>+Données!A112</f>
        <v>5587</v>
      </c>
      <c r="B112" s="247" t="str">
        <f>+Données!B112</f>
        <v>Le Mont-sur-Lausanne</v>
      </c>
      <c r="C112" s="235">
        <f>+Ecrêtage!C112</f>
        <v>484050.33068027202</v>
      </c>
      <c r="D112" s="233"/>
      <c r="E112" s="235">
        <f>Données!AF112+Données!AG112+Données!AH112</f>
        <v>0</v>
      </c>
      <c r="F112" s="233">
        <f t="shared" si="10"/>
        <v>3872402.6454421761</v>
      </c>
      <c r="G112" s="8">
        <f t="shared" si="11"/>
        <v>0</v>
      </c>
      <c r="H112" s="313">
        <f t="shared" si="12"/>
        <v>0</v>
      </c>
      <c r="J112" s="8">
        <f>Données!AN112</f>
        <v>0</v>
      </c>
      <c r="K112" s="213">
        <f t="shared" si="13"/>
        <v>484050.33068027202</v>
      </c>
      <c r="L112" s="12">
        <f t="shared" si="14"/>
        <v>0</v>
      </c>
      <c r="M112" s="313">
        <f t="shared" si="15"/>
        <v>0</v>
      </c>
      <c r="O112" s="42">
        <f t="shared" si="16"/>
        <v>0</v>
      </c>
      <c r="P112" s="270"/>
      <c r="Q112" s="226"/>
      <c r="R112" s="226"/>
      <c r="S112" s="226"/>
      <c r="T112" s="226"/>
      <c r="U112" s="226"/>
      <c r="AF112" s="11"/>
      <c r="AG112" s="11"/>
      <c r="AH112" s="11"/>
      <c r="AI112" s="11"/>
      <c r="AJ112" s="11"/>
      <c r="AK112" s="11"/>
      <c r="AL112" s="11"/>
    </row>
    <row r="113" spans="1:38" x14ac:dyDescent="0.25">
      <c r="A113" s="38">
        <f>+Données!A113</f>
        <v>5588</v>
      </c>
      <c r="B113" s="247" t="str">
        <f>+Données!B113</f>
        <v>Paudex</v>
      </c>
      <c r="C113" s="235">
        <f>+Ecrêtage!C113</f>
        <v>137556.51114930178</v>
      </c>
      <c r="D113" s="233"/>
      <c r="E113" s="235">
        <f>Données!AF113+Données!AG113+Données!AH113</f>
        <v>0</v>
      </c>
      <c r="F113" s="233">
        <f t="shared" si="10"/>
        <v>1100452.0891944142</v>
      </c>
      <c r="G113" s="8">
        <f t="shared" si="11"/>
        <v>0</v>
      </c>
      <c r="H113" s="313">
        <f t="shared" si="12"/>
        <v>0</v>
      </c>
      <c r="J113" s="8">
        <f>Données!AN113</f>
        <v>0</v>
      </c>
      <c r="K113" s="213">
        <f t="shared" si="13"/>
        <v>137556.51114930178</v>
      </c>
      <c r="L113" s="12">
        <f t="shared" si="14"/>
        <v>0</v>
      </c>
      <c r="M113" s="313">
        <f t="shared" si="15"/>
        <v>0</v>
      </c>
      <c r="O113" s="42">
        <f t="shared" si="16"/>
        <v>0</v>
      </c>
      <c r="P113" s="270"/>
      <c r="Q113" s="226"/>
      <c r="R113" s="226"/>
      <c r="S113" s="226"/>
      <c r="T113" s="226"/>
      <c r="U113" s="226"/>
      <c r="AF113" s="11"/>
      <c r="AG113" s="11"/>
      <c r="AH113" s="11"/>
      <c r="AI113" s="11"/>
      <c r="AJ113" s="11"/>
      <c r="AK113" s="11"/>
      <c r="AL113" s="11"/>
    </row>
    <row r="114" spans="1:38" x14ac:dyDescent="0.25">
      <c r="A114" s="38">
        <f>+Données!A114</f>
        <v>5589</v>
      </c>
      <c r="B114" s="247" t="str">
        <f>+Données!B114</f>
        <v>Prilly</v>
      </c>
      <c r="C114" s="235">
        <f>+Ecrêtage!C114</f>
        <v>404219.10002122016</v>
      </c>
      <c r="D114" s="233"/>
      <c r="E114" s="235">
        <f>Données!AF114+Données!AG114+Données!AH114</f>
        <v>0</v>
      </c>
      <c r="F114" s="233">
        <f t="shared" si="10"/>
        <v>3233752.8001697613</v>
      </c>
      <c r="G114" s="8">
        <f t="shared" si="11"/>
        <v>0</v>
      </c>
      <c r="H114" s="313">
        <f t="shared" si="12"/>
        <v>0</v>
      </c>
      <c r="J114" s="8">
        <f>Données!AN114</f>
        <v>0</v>
      </c>
      <c r="K114" s="213">
        <f t="shared" si="13"/>
        <v>404219.10002122016</v>
      </c>
      <c r="L114" s="12">
        <f t="shared" si="14"/>
        <v>0</v>
      </c>
      <c r="M114" s="313">
        <f t="shared" si="15"/>
        <v>0</v>
      </c>
      <c r="O114" s="42">
        <f t="shared" si="16"/>
        <v>0</v>
      </c>
      <c r="P114" s="270"/>
      <c r="Q114" s="226"/>
      <c r="R114" s="226"/>
      <c r="S114" s="226"/>
      <c r="T114" s="226"/>
      <c r="U114" s="226"/>
      <c r="AF114" s="11"/>
      <c r="AG114" s="11"/>
      <c r="AH114" s="11"/>
      <c r="AI114" s="11"/>
      <c r="AJ114" s="11"/>
      <c r="AK114" s="11"/>
      <c r="AL114" s="11"/>
    </row>
    <row r="115" spans="1:38" x14ac:dyDescent="0.25">
      <c r="A115" s="38">
        <f>+Données!A115</f>
        <v>5590</v>
      </c>
      <c r="B115" s="247" t="str">
        <f>+Données!B115</f>
        <v>Pully</v>
      </c>
      <c r="C115" s="235">
        <f>+Ecrêtage!C115</f>
        <v>1396472.1616393442</v>
      </c>
      <c r="D115" s="233"/>
      <c r="E115" s="235">
        <f>Données!AF115+Données!AG115+Données!AH115</f>
        <v>0</v>
      </c>
      <c r="F115" s="233">
        <f t="shared" si="10"/>
        <v>11171777.293114753</v>
      </c>
      <c r="G115" s="8">
        <f t="shared" si="11"/>
        <v>0</v>
      </c>
      <c r="H115" s="313">
        <f t="shared" si="12"/>
        <v>0</v>
      </c>
      <c r="J115" s="8">
        <f>Données!AN115</f>
        <v>0</v>
      </c>
      <c r="K115" s="213">
        <f t="shared" si="13"/>
        <v>1396472.1616393442</v>
      </c>
      <c r="L115" s="12">
        <f t="shared" si="14"/>
        <v>0</v>
      </c>
      <c r="M115" s="313">
        <f t="shared" si="15"/>
        <v>0</v>
      </c>
      <c r="O115" s="42">
        <f t="shared" si="16"/>
        <v>0</v>
      </c>
      <c r="P115" s="270"/>
      <c r="Q115" s="226"/>
      <c r="R115" s="226"/>
      <c r="S115" s="226"/>
      <c r="T115" s="226"/>
      <c r="U115" s="226"/>
      <c r="AF115" s="11"/>
      <c r="AG115" s="11"/>
      <c r="AH115" s="11"/>
      <c r="AI115" s="11"/>
      <c r="AJ115" s="11"/>
      <c r="AK115" s="11"/>
      <c r="AL115" s="11"/>
    </row>
    <row r="116" spans="1:38" x14ac:dyDescent="0.25">
      <c r="A116" s="38">
        <f>+Données!A116</f>
        <v>5591</v>
      </c>
      <c r="B116" s="247" t="str">
        <f>+Données!B116</f>
        <v>Renens</v>
      </c>
      <c r="C116" s="235">
        <f>+Ecrêtage!C116</f>
        <v>592907.73419294995</v>
      </c>
      <c r="D116" s="233"/>
      <c r="E116" s="235">
        <f>Données!AF116+Données!AG116+Données!AH116</f>
        <v>0</v>
      </c>
      <c r="F116" s="233">
        <f t="shared" si="10"/>
        <v>4743261.8735435996</v>
      </c>
      <c r="G116" s="8">
        <f t="shared" si="11"/>
        <v>0</v>
      </c>
      <c r="H116" s="313">
        <f t="shared" si="12"/>
        <v>0</v>
      </c>
      <c r="J116" s="8">
        <f>Données!AN116</f>
        <v>0</v>
      </c>
      <c r="K116" s="213">
        <f t="shared" si="13"/>
        <v>592907.73419294995</v>
      </c>
      <c r="L116" s="12">
        <f t="shared" si="14"/>
        <v>0</v>
      </c>
      <c r="M116" s="313">
        <f t="shared" si="15"/>
        <v>0</v>
      </c>
      <c r="O116" s="42">
        <f t="shared" si="16"/>
        <v>0</v>
      </c>
      <c r="P116" s="270"/>
      <c r="Q116" s="226"/>
      <c r="R116" s="226"/>
      <c r="S116" s="226"/>
      <c r="T116" s="226"/>
      <c r="U116" s="226"/>
      <c r="AF116" s="11"/>
      <c r="AG116" s="11"/>
      <c r="AH116" s="11"/>
      <c r="AI116" s="11"/>
      <c r="AJ116" s="11"/>
      <c r="AK116" s="11"/>
      <c r="AL116" s="11"/>
    </row>
    <row r="117" spans="1:38" x14ac:dyDescent="0.25">
      <c r="A117" s="38">
        <f>+Données!A117</f>
        <v>5592</v>
      </c>
      <c r="B117" s="247" t="str">
        <f>+Données!B117</f>
        <v>Romanel-sur-Lausanne</v>
      </c>
      <c r="C117" s="235">
        <f>+Ecrêtage!C117</f>
        <v>113604.64354609928</v>
      </c>
      <c r="D117" s="233"/>
      <c r="E117" s="235">
        <f>Données!AF117+Données!AG117+Données!AH117</f>
        <v>0</v>
      </c>
      <c r="F117" s="233">
        <f t="shared" si="10"/>
        <v>908837.14836879424</v>
      </c>
      <c r="G117" s="8">
        <f t="shared" si="11"/>
        <v>0</v>
      </c>
      <c r="H117" s="313">
        <f t="shared" si="12"/>
        <v>0</v>
      </c>
      <c r="J117" s="8">
        <f>Données!AN117</f>
        <v>0</v>
      </c>
      <c r="K117" s="213">
        <f t="shared" si="13"/>
        <v>113604.64354609928</v>
      </c>
      <c r="L117" s="12">
        <f t="shared" si="14"/>
        <v>0</v>
      </c>
      <c r="M117" s="313">
        <f t="shared" si="15"/>
        <v>0</v>
      </c>
      <c r="O117" s="42">
        <f t="shared" si="16"/>
        <v>0</v>
      </c>
      <c r="P117" s="270"/>
      <c r="Q117" s="226"/>
      <c r="R117" s="226"/>
      <c r="S117" s="226"/>
      <c r="T117" s="226"/>
      <c r="U117" s="226"/>
      <c r="AF117" s="11"/>
      <c r="AG117" s="11"/>
      <c r="AH117" s="11"/>
      <c r="AI117" s="11"/>
      <c r="AJ117" s="11"/>
      <c r="AK117" s="11"/>
      <c r="AL117" s="11"/>
    </row>
    <row r="118" spans="1:38" x14ac:dyDescent="0.25">
      <c r="A118" s="38">
        <f>+Données!A118</f>
        <v>5601</v>
      </c>
      <c r="B118" s="247" t="str">
        <f>+Données!B118</f>
        <v>Chexbres</v>
      </c>
      <c r="C118" s="235">
        <f>+Ecrêtage!C118</f>
        <v>106015.29511111112</v>
      </c>
      <c r="D118" s="233"/>
      <c r="E118" s="235">
        <f>Données!AF118+Données!AG118+Données!AH118</f>
        <v>0</v>
      </c>
      <c r="F118" s="233">
        <f t="shared" si="10"/>
        <v>848122.36088888894</v>
      </c>
      <c r="G118" s="8">
        <f t="shared" si="11"/>
        <v>0</v>
      </c>
      <c r="H118" s="313">
        <f t="shared" si="12"/>
        <v>0</v>
      </c>
      <c r="J118" s="8">
        <f>Données!AN118</f>
        <v>0</v>
      </c>
      <c r="K118" s="213">
        <f t="shared" si="13"/>
        <v>106015.29511111112</v>
      </c>
      <c r="L118" s="12">
        <f t="shared" si="14"/>
        <v>0</v>
      </c>
      <c r="M118" s="313">
        <f t="shared" si="15"/>
        <v>0</v>
      </c>
      <c r="O118" s="42">
        <f t="shared" si="16"/>
        <v>0</v>
      </c>
      <c r="P118" s="270"/>
      <c r="Q118" s="226"/>
      <c r="R118" s="226"/>
      <c r="S118" s="226"/>
      <c r="T118" s="226"/>
      <c r="U118" s="226"/>
      <c r="AF118" s="11"/>
      <c r="AG118" s="11"/>
      <c r="AH118" s="11"/>
      <c r="AI118" s="11"/>
      <c r="AJ118" s="11"/>
      <c r="AK118" s="11"/>
      <c r="AL118" s="11"/>
    </row>
    <row r="119" spans="1:38" x14ac:dyDescent="0.25">
      <c r="A119" s="38">
        <f>+Données!A119</f>
        <v>5604</v>
      </c>
      <c r="B119" s="247" t="str">
        <f>+Données!B119</f>
        <v>Forel (Lavaux)</v>
      </c>
      <c r="C119" s="235">
        <f>+Ecrêtage!C119</f>
        <v>70961.315942029003</v>
      </c>
      <c r="D119" s="233"/>
      <c r="E119" s="235">
        <f>Données!AF119+Données!AG119+Données!AH119</f>
        <v>0</v>
      </c>
      <c r="F119" s="233">
        <f t="shared" si="10"/>
        <v>567690.52753623202</v>
      </c>
      <c r="G119" s="8">
        <f t="shared" si="11"/>
        <v>0</v>
      </c>
      <c r="H119" s="313">
        <f t="shared" si="12"/>
        <v>0</v>
      </c>
      <c r="J119" s="8">
        <f>Données!AN119</f>
        <v>0</v>
      </c>
      <c r="K119" s="213">
        <f t="shared" si="13"/>
        <v>70961.315942029003</v>
      </c>
      <c r="L119" s="12">
        <f t="shared" si="14"/>
        <v>0</v>
      </c>
      <c r="M119" s="313">
        <f t="shared" si="15"/>
        <v>0</v>
      </c>
      <c r="O119" s="42">
        <f t="shared" si="16"/>
        <v>0</v>
      </c>
      <c r="P119" s="270"/>
      <c r="Q119" s="226"/>
      <c r="R119" s="226"/>
      <c r="S119" s="226"/>
      <c r="T119" s="226"/>
      <c r="U119" s="226"/>
      <c r="AF119" s="11"/>
      <c r="AG119" s="11"/>
      <c r="AH119" s="11"/>
      <c r="AI119" s="11"/>
      <c r="AJ119" s="11"/>
      <c r="AK119" s="11"/>
      <c r="AL119" s="11"/>
    </row>
    <row r="120" spans="1:38" x14ac:dyDescent="0.25">
      <c r="A120" s="38">
        <f>+Données!A120</f>
        <v>5606</v>
      </c>
      <c r="B120" s="247" t="str">
        <f>+Données!B120</f>
        <v>Lutry</v>
      </c>
      <c r="C120" s="235">
        <f>+Ecrêtage!C120</f>
        <v>1212171.2253174603</v>
      </c>
      <c r="D120" s="233"/>
      <c r="E120" s="235">
        <f>Données!AF120+Données!AG120+Données!AH120</f>
        <v>0</v>
      </c>
      <c r="F120" s="233">
        <f t="shared" si="10"/>
        <v>9697369.802539682</v>
      </c>
      <c r="G120" s="8">
        <f t="shared" si="11"/>
        <v>0</v>
      </c>
      <c r="H120" s="313">
        <f t="shared" si="12"/>
        <v>0</v>
      </c>
      <c r="J120" s="8">
        <f>Données!AN120</f>
        <v>0</v>
      </c>
      <c r="K120" s="213">
        <f t="shared" si="13"/>
        <v>1212171.2253174603</v>
      </c>
      <c r="L120" s="12">
        <f t="shared" si="14"/>
        <v>0</v>
      </c>
      <c r="M120" s="313">
        <f t="shared" si="15"/>
        <v>0</v>
      </c>
      <c r="O120" s="42">
        <f t="shared" si="16"/>
        <v>0</v>
      </c>
      <c r="P120" s="270"/>
      <c r="Q120" s="226"/>
      <c r="R120" s="226"/>
      <c r="S120" s="226"/>
      <c r="T120" s="226"/>
      <c r="U120" s="226"/>
      <c r="AF120" s="11"/>
      <c r="AG120" s="11"/>
      <c r="AH120" s="11"/>
      <c r="AI120" s="11"/>
      <c r="AJ120" s="11"/>
      <c r="AK120" s="11"/>
      <c r="AL120" s="11"/>
    </row>
    <row r="121" spans="1:38" x14ac:dyDescent="0.25">
      <c r="A121" s="38">
        <f>+Données!A121</f>
        <v>5607</v>
      </c>
      <c r="B121" s="247" t="str">
        <f>+Données!B121</f>
        <v>Puidoux</v>
      </c>
      <c r="C121" s="235">
        <f>+Ecrêtage!C121</f>
        <v>117496.04099650904</v>
      </c>
      <c r="D121" s="233"/>
      <c r="E121" s="235">
        <f>Données!AF121+Données!AG121+Données!AH121</f>
        <v>0</v>
      </c>
      <c r="F121" s="233">
        <f t="shared" si="10"/>
        <v>939968.32797207229</v>
      </c>
      <c r="G121" s="8">
        <f t="shared" si="11"/>
        <v>0</v>
      </c>
      <c r="H121" s="313">
        <f t="shared" si="12"/>
        <v>0</v>
      </c>
      <c r="J121" s="8">
        <f>Données!AN121</f>
        <v>0</v>
      </c>
      <c r="K121" s="213">
        <f t="shared" si="13"/>
        <v>117496.04099650904</v>
      </c>
      <c r="L121" s="12">
        <f t="shared" si="14"/>
        <v>0</v>
      </c>
      <c r="M121" s="313">
        <f t="shared" si="15"/>
        <v>0</v>
      </c>
      <c r="O121" s="42">
        <f t="shared" si="16"/>
        <v>0</v>
      </c>
      <c r="P121" s="270"/>
      <c r="Q121" s="226"/>
      <c r="R121" s="226"/>
      <c r="S121" s="226"/>
      <c r="T121" s="226"/>
      <c r="U121" s="226"/>
      <c r="AF121" s="11"/>
      <c r="AG121" s="11"/>
      <c r="AH121" s="11"/>
      <c r="AI121" s="11"/>
      <c r="AJ121" s="11"/>
      <c r="AK121" s="11"/>
      <c r="AL121" s="11"/>
    </row>
    <row r="122" spans="1:38" x14ac:dyDescent="0.25">
      <c r="A122" s="38">
        <f>+Données!A122</f>
        <v>5609</v>
      </c>
      <c r="B122" s="247" t="str">
        <f>+Données!B122</f>
        <v>Rivaz</v>
      </c>
      <c r="C122" s="235">
        <f>+Ecrêtage!C122</f>
        <v>14930.201612903227</v>
      </c>
      <c r="D122" s="233"/>
      <c r="E122" s="235">
        <f>Données!AF122+Données!AG122+Données!AH122</f>
        <v>0</v>
      </c>
      <c r="F122" s="233">
        <f t="shared" si="10"/>
        <v>119441.61290322582</v>
      </c>
      <c r="G122" s="8">
        <f t="shared" si="11"/>
        <v>0</v>
      </c>
      <c r="H122" s="313">
        <f t="shared" si="12"/>
        <v>0</v>
      </c>
      <c r="J122" s="8">
        <f>Données!AN122</f>
        <v>0</v>
      </c>
      <c r="K122" s="213">
        <f t="shared" si="13"/>
        <v>14930.201612903227</v>
      </c>
      <c r="L122" s="12">
        <f t="shared" si="14"/>
        <v>0</v>
      </c>
      <c r="M122" s="313">
        <f t="shared" si="15"/>
        <v>0</v>
      </c>
      <c r="O122" s="42">
        <f t="shared" si="16"/>
        <v>0</v>
      </c>
      <c r="P122" s="270"/>
      <c r="Q122" s="226"/>
      <c r="R122" s="226"/>
      <c r="S122" s="226"/>
      <c r="T122" s="226"/>
      <c r="U122" s="226"/>
      <c r="AF122" s="11"/>
      <c r="AG122" s="11"/>
      <c r="AH122" s="11"/>
      <c r="AI122" s="11"/>
      <c r="AJ122" s="11"/>
      <c r="AK122" s="11"/>
      <c r="AL122" s="11"/>
    </row>
    <row r="123" spans="1:38" x14ac:dyDescent="0.25">
      <c r="A123" s="38">
        <f>+Données!A123</f>
        <v>5610</v>
      </c>
      <c r="B123" s="247" t="str">
        <f>+Données!B123</f>
        <v>St-Saphorin (Lavaux)</v>
      </c>
      <c r="C123" s="235">
        <f>+Ecrêtage!C123</f>
        <v>21326.679629629627</v>
      </c>
      <c r="D123" s="233"/>
      <c r="E123" s="235">
        <f>Données!AF123+Données!AG123+Données!AH123</f>
        <v>0</v>
      </c>
      <c r="F123" s="233">
        <f t="shared" si="10"/>
        <v>170613.43703703702</v>
      </c>
      <c r="G123" s="8">
        <f t="shared" si="11"/>
        <v>0</v>
      </c>
      <c r="H123" s="313">
        <f t="shared" si="12"/>
        <v>0</v>
      </c>
      <c r="J123" s="8">
        <f>Données!AN123</f>
        <v>0</v>
      </c>
      <c r="K123" s="213">
        <f t="shared" si="13"/>
        <v>21326.679629629627</v>
      </c>
      <c r="L123" s="12">
        <f t="shared" si="14"/>
        <v>0</v>
      </c>
      <c r="M123" s="313">
        <f t="shared" si="15"/>
        <v>0</v>
      </c>
      <c r="O123" s="42">
        <f t="shared" si="16"/>
        <v>0</v>
      </c>
      <c r="P123" s="270"/>
      <c r="Q123" s="226"/>
      <c r="R123" s="226"/>
      <c r="S123" s="226"/>
      <c r="T123" s="226"/>
      <c r="U123" s="226"/>
      <c r="AF123" s="11"/>
      <c r="AG123" s="11"/>
      <c r="AH123" s="11"/>
      <c r="AI123" s="11"/>
      <c r="AJ123" s="11"/>
      <c r="AK123" s="11"/>
      <c r="AL123" s="11"/>
    </row>
    <row r="124" spans="1:38" x14ac:dyDescent="0.25">
      <c r="A124" s="38">
        <f>+Données!A124</f>
        <v>5611</v>
      </c>
      <c r="B124" s="247" t="str">
        <f>+Données!B124</f>
        <v>Savigny</v>
      </c>
      <c r="C124" s="235">
        <f>+Ecrêtage!C124</f>
        <v>139629.67036231884</v>
      </c>
      <c r="D124" s="233"/>
      <c r="E124" s="235">
        <f>Données!AF124+Données!AG124+Données!AH124</f>
        <v>0</v>
      </c>
      <c r="F124" s="233">
        <f t="shared" si="10"/>
        <v>1117037.3628985507</v>
      </c>
      <c r="G124" s="8">
        <f t="shared" si="11"/>
        <v>0</v>
      </c>
      <c r="H124" s="313">
        <f t="shared" si="12"/>
        <v>0</v>
      </c>
      <c r="J124" s="8">
        <f>Données!AN124</f>
        <v>0</v>
      </c>
      <c r="K124" s="213">
        <f t="shared" si="13"/>
        <v>139629.67036231884</v>
      </c>
      <c r="L124" s="12">
        <f t="shared" si="14"/>
        <v>0</v>
      </c>
      <c r="M124" s="313">
        <f t="shared" si="15"/>
        <v>0</v>
      </c>
      <c r="O124" s="42">
        <f t="shared" si="16"/>
        <v>0</v>
      </c>
      <c r="P124" s="270"/>
      <c r="Q124" s="226"/>
      <c r="R124" s="226"/>
      <c r="S124" s="226"/>
      <c r="T124" s="226"/>
      <c r="U124" s="226"/>
      <c r="AF124" s="11"/>
      <c r="AG124" s="11"/>
      <c r="AH124" s="11"/>
      <c r="AI124" s="11"/>
      <c r="AJ124" s="11"/>
      <c r="AK124" s="11"/>
      <c r="AL124" s="11"/>
    </row>
    <row r="125" spans="1:38" x14ac:dyDescent="0.25">
      <c r="A125" s="38">
        <f>+Données!A125</f>
        <v>5613</v>
      </c>
      <c r="B125" s="247" t="str">
        <f>+Données!B125</f>
        <v>Bourg-en-Lavaux</v>
      </c>
      <c r="C125" s="235">
        <f>+Ecrêtage!C125</f>
        <v>367206.35685333336</v>
      </c>
      <c r="D125" s="233"/>
      <c r="E125" s="235">
        <f>Données!AF125+Données!AG125+Données!AH125</f>
        <v>0</v>
      </c>
      <c r="F125" s="233">
        <f t="shared" si="10"/>
        <v>2937650.8548266669</v>
      </c>
      <c r="G125" s="8">
        <f t="shared" si="11"/>
        <v>0</v>
      </c>
      <c r="H125" s="313">
        <f t="shared" si="12"/>
        <v>0</v>
      </c>
      <c r="J125" s="8">
        <f>Données!AN125</f>
        <v>0</v>
      </c>
      <c r="K125" s="213">
        <f t="shared" si="13"/>
        <v>367206.35685333336</v>
      </c>
      <c r="L125" s="12">
        <f t="shared" si="14"/>
        <v>0</v>
      </c>
      <c r="M125" s="313">
        <f t="shared" si="15"/>
        <v>0</v>
      </c>
      <c r="O125" s="42">
        <f t="shared" si="16"/>
        <v>0</v>
      </c>
      <c r="P125" s="270"/>
      <c r="Q125" s="226"/>
      <c r="R125" s="226"/>
      <c r="S125" s="226"/>
      <c r="T125" s="226"/>
      <c r="U125" s="226"/>
      <c r="AF125" s="11"/>
      <c r="AG125" s="11"/>
      <c r="AH125" s="11"/>
      <c r="AI125" s="11"/>
      <c r="AJ125" s="11"/>
      <c r="AK125" s="11"/>
      <c r="AL125" s="11"/>
    </row>
    <row r="126" spans="1:38" x14ac:dyDescent="0.25">
      <c r="A126" s="38">
        <f>+Données!A126</f>
        <v>5621</v>
      </c>
      <c r="B126" s="247" t="str">
        <f>+Données!B126</f>
        <v>Aclens</v>
      </c>
      <c r="C126" s="235">
        <f>+Ecrêtage!C126</f>
        <v>39203.094076246336</v>
      </c>
      <c r="D126" s="233"/>
      <c r="E126" s="235">
        <f>Données!AF126+Données!AG126+Données!AH126</f>
        <v>0</v>
      </c>
      <c r="F126" s="233">
        <f t="shared" si="10"/>
        <v>313624.75260997069</v>
      </c>
      <c r="G126" s="8">
        <f t="shared" si="11"/>
        <v>0</v>
      </c>
      <c r="H126" s="313">
        <f t="shared" si="12"/>
        <v>0</v>
      </c>
      <c r="J126" s="8">
        <f>Données!AN126</f>
        <v>0</v>
      </c>
      <c r="K126" s="213">
        <f t="shared" si="13"/>
        <v>39203.094076246336</v>
      </c>
      <c r="L126" s="12">
        <f t="shared" si="14"/>
        <v>0</v>
      </c>
      <c r="M126" s="313">
        <f t="shared" si="15"/>
        <v>0</v>
      </c>
      <c r="O126" s="42">
        <f t="shared" si="16"/>
        <v>0</v>
      </c>
      <c r="P126" s="270"/>
      <c r="Q126" s="226"/>
      <c r="R126" s="226"/>
      <c r="S126" s="226"/>
      <c r="T126" s="226"/>
      <c r="U126" s="226"/>
      <c r="AF126" s="11"/>
      <c r="AG126" s="11"/>
      <c r="AH126" s="11"/>
      <c r="AI126" s="11"/>
      <c r="AJ126" s="11"/>
      <c r="AK126" s="11"/>
      <c r="AL126" s="11"/>
    </row>
    <row r="127" spans="1:38" x14ac:dyDescent="0.25">
      <c r="A127" s="38">
        <f>+Données!A127</f>
        <v>5622</v>
      </c>
      <c r="B127" s="247" t="str">
        <f>+Données!B127</f>
        <v>Bremblens</v>
      </c>
      <c r="C127" s="235">
        <f>+Ecrêtage!C127</f>
        <v>30852.761617647058</v>
      </c>
      <c r="D127" s="233"/>
      <c r="E127" s="235">
        <f>Données!AF127+Données!AG127+Données!AH127</f>
        <v>0</v>
      </c>
      <c r="F127" s="233">
        <f t="shared" si="10"/>
        <v>246822.09294117647</v>
      </c>
      <c r="G127" s="8">
        <f t="shared" si="11"/>
        <v>0</v>
      </c>
      <c r="H127" s="313">
        <f t="shared" si="12"/>
        <v>0</v>
      </c>
      <c r="J127" s="8">
        <f>Données!AN127</f>
        <v>0</v>
      </c>
      <c r="K127" s="213">
        <f t="shared" si="13"/>
        <v>30852.761617647058</v>
      </c>
      <c r="L127" s="12">
        <f t="shared" si="14"/>
        <v>0</v>
      </c>
      <c r="M127" s="313">
        <f t="shared" si="15"/>
        <v>0</v>
      </c>
      <c r="O127" s="42">
        <f t="shared" si="16"/>
        <v>0</v>
      </c>
      <c r="P127" s="270"/>
      <c r="Q127" s="226"/>
      <c r="R127" s="226"/>
      <c r="S127" s="226"/>
      <c r="T127" s="226"/>
      <c r="U127" s="226"/>
      <c r="AF127" s="11"/>
      <c r="AG127" s="11"/>
      <c r="AH127" s="11"/>
      <c r="AI127" s="11"/>
      <c r="AJ127" s="11"/>
      <c r="AK127" s="11"/>
      <c r="AL127" s="11"/>
    </row>
    <row r="128" spans="1:38" x14ac:dyDescent="0.25">
      <c r="A128" s="38">
        <f>+Données!A128</f>
        <v>5623</v>
      </c>
      <c r="B128" s="247" t="str">
        <f>+Données!B128</f>
        <v>Buchillon</v>
      </c>
      <c r="C128" s="235">
        <f>+Ecrêtage!C128</f>
        <v>88403.083461538452</v>
      </c>
      <c r="D128" s="233"/>
      <c r="E128" s="235">
        <f>Données!AF128+Données!AG128+Données!AH128</f>
        <v>0</v>
      </c>
      <c r="F128" s="233">
        <f t="shared" si="10"/>
        <v>707224.66769230762</v>
      </c>
      <c r="G128" s="8">
        <f t="shared" si="11"/>
        <v>0</v>
      </c>
      <c r="H128" s="313">
        <f t="shared" si="12"/>
        <v>0</v>
      </c>
      <c r="J128" s="8">
        <f>Données!AN128</f>
        <v>0</v>
      </c>
      <c r="K128" s="213">
        <f t="shared" si="13"/>
        <v>88403.083461538452</v>
      </c>
      <c r="L128" s="12">
        <f t="shared" si="14"/>
        <v>0</v>
      </c>
      <c r="M128" s="313">
        <f t="shared" si="15"/>
        <v>0</v>
      </c>
      <c r="O128" s="42">
        <f t="shared" si="16"/>
        <v>0</v>
      </c>
      <c r="P128" s="270"/>
      <c r="Q128" s="226"/>
      <c r="R128" s="226"/>
      <c r="S128" s="226"/>
      <c r="T128" s="226"/>
      <c r="U128" s="226"/>
      <c r="AF128" s="11"/>
      <c r="AG128" s="11"/>
      <c r="AH128" s="11"/>
      <c r="AI128" s="11"/>
      <c r="AJ128" s="11"/>
      <c r="AK128" s="11"/>
      <c r="AL128" s="11"/>
    </row>
    <row r="129" spans="1:38" x14ac:dyDescent="0.25">
      <c r="A129" s="38">
        <f>+Données!A129</f>
        <v>5624</v>
      </c>
      <c r="B129" s="247" t="str">
        <f>+Données!B129</f>
        <v>Bussigny</v>
      </c>
      <c r="C129" s="235">
        <f>+Ecrêtage!C129</f>
        <v>522747.79375999991</v>
      </c>
      <c r="D129" s="233"/>
      <c r="E129" s="235">
        <f>Données!AF129+Données!AG129+Données!AH129</f>
        <v>0</v>
      </c>
      <c r="F129" s="233">
        <f t="shared" si="10"/>
        <v>4181982.3500799993</v>
      </c>
      <c r="G129" s="8">
        <f t="shared" si="11"/>
        <v>0</v>
      </c>
      <c r="H129" s="313">
        <f t="shared" si="12"/>
        <v>0</v>
      </c>
      <c r="J129" s="8">
        <f>Données!AN129</f>
        <v>0</v>
      </c>
      <c r="K129" s="213">
        <f t="shared" si="13"/>
        <v>522747.79375999991</v>
      </c>
      <c r="L129" s="12">
        <f t="shared" si="14"/>
        <v>0</v>
      </c>
      <c r="M129" s="313">
        <f t="shared" si="15"/>
        <v>0</v>
      </c>
      <c r="O129" s="42">
        <f t="shared" si="16"/>
        <v>0</v>
      </c>
      <c r="P129" s="270"/>
      <c r="Q129" s="226"/>
      <c r="R129" s="226"/>
      <c r="S129" s="226"/>
      <c r="T129" s="226"/>
      <c r="U129" s="226"/>
      <c r="AF129" s="11"/>
      <c r="AG129" s="11"/>
      <c r="AH129" s="11"/>
      <c r="AI129" s="11"/>
      <c r="AJ129" s="11"/>
      <c r="AK129" s="11"/>
      <c r="AL129" s="11"/>
    </row>
    <row r="130" spans="1:38" x14ac:dyDescent="0.25">
      <c r="A130" s="38">
        <f>+Données!A130</f>
        <v>5627</v>
      </c>
      <c r="B130" s="247" t="str">
        <f>+Données!B130</f>
        <v>Chavannes-près-Renens</v>
      </c>
      <c r="C130" s="235">
        <f>+Ecrêtage!C130</f>
        <v>188690.75535483871</v>
      </c>
      <c r="D130" s="233"/>
      <c r="E130" s="235">
        <f>Données!AF130+Données!AG130+Données!AH130</f>
        <v>0</v>
      </c>
      <c r="F130" s="233">
        <f t="shared" si="10"/>
        <v>1509526.0428387097</v>
      </c>
      <c r="G130" s="8">
        <f t="shared" si="11"/>
        <v>0</v>
      </c>
      <c r="H130" s="313">
        <f t="shared" si="12"/>
        <v>0</v>
      </c>
      <c r="J130" s="8">
        <f>Données!AN130</f>
        <v>0</v>
      </c>
      <c r="K130" s="213">
        <f t="shared" si="13"/>
        <v>188690.75535483871</v>
      </c>
      <c r="L130" s="12">
        <f t="shared" si="14"/>
        <v>0</v>
      </c>
      <c r="M130" s="313">
        <f t="shared" si="15"/>
        <v>0</v>
      </c>
      <c r="O130" s="42">
        <f t="shared" si="16"/>
        <v>0</v>
      </c>
      <c r="P130" s="270"/>
      <c r="Q130" s="226"/>
      <c r="R130" s="226"/>
      <c r="S130" s="226"/>
      <c r="T130" s="226"/>
      <c r="U130" s="226"/>
      <c r="AF130" s="11"/>
      <c r="AG130" s="11"/>
      <c r="AH130" s="11"/>
      <c r="AI130" s="11"/>
      <c r="AJ130" s="11"/>
      <c r="AK130" s="11"/>
      <c r="AL130" s="11"/>
    </row>
    <row r="131" spans="1:38" x14ac:dyDescent="0.25">
      <c r="A131" s="38">
        <f>+Données!A131</f>
        <v>5628</v>
      </c>
      <c r="B131" s="247" t="str">
        <f>+Données!B131</f>
        <v>Chigny</v>
      </c>
      <c r="C131" s="235">
        <f>+Ecrêtage!C131</f>
        <v>27627.379193548386</v>
      </c>
      <c r="D131" s="233"/>
      <c r="E131" s="235">
        <f>Données!AF131+Données!AG131+Données!AH131</f>
        <v>0</v>
      </c>
      <c r="F131" s="233">
        <f t="shared" si="10"/>
        <v>221019.03354838709</v>
      </c>
      <c r="G131" s="8">
        <f t="shared" si="11"/>
        <v>0</v>
      </c>
      <c r="H131" s="313">
        <f t="shared" si="12"/>
        <v>0</v>
      </c>
      <c r="J131" s="8">
        <f>Données!AN131</f>
        <v>0</v>
      </c>
      <c r="K131" s="213">
        <f t="shared" si="13"/>
        <v>27627.379193548386</v>
      </c>
      <c r="L131" s="12">
        <f t="shared" si="14"/>
        <v>0</v>
      </c>
      <c r="M131" s="313">
        <f t="shared" si="15"/>
        <v>0</v>
      </c>
      <c r="O131" s="42">
        <f t="shared" si="16"/>
        <v>0</v>
      </c>
      <c r="P131" s="270"/>
      <c r="Q131" s="226"/>
      <c r="R131" s="226"/>
      <c r="S131" s="226"/>
      <c r="T131" s="226"/>
      <c r="U131" s="226"/>
      <c r="AF131" s="11"/>
      <c r="AG131" s="11"/>
      <c r="AH131" s="11"/>
      <c r="AI131" s="11"/>
      <c r="AJ131" s="11"/>
      <c r="AK131" s="11"/>
      <c r="AL131" s="11"/>
    </row>
    <row r="132" spans="1:38" x14ac:dyDescent="0.25">
      <c r="A132" s="38">
        <f>+Données!A132</f>
        <v>5629</v>
      </c>
      <c r="B132" s="247" t="str">
        <f>+Données!B132</f>
        <v>Clarmont</v>
      </c>
      <c r="C132" s="235">
        <f>+Ecrêtage!C132</f>
        <v>9964.7430555555547</v>
      </c>
      <c r="D132" s="233"/>
      <c r="E132" s="235">
        <f>Données!AF132+Données!AG132+Données!AH132</f>
        <v>0</v>
      </c>
      <c r="F132" s="233">
        <f t="shared" si="10"/>
        <v>79717.944444444438</v>
      </c>
      <c r="G132" s="8">
        <f t="shared" si="11"/>
        <v>0</v>
      </c>
      <c r="H132" s="313">
        <f t="shared" si="12"/>
        <v>0</v>
      </c>
      <c r="J132" s="8">
        <f>Données!AN132</f>
        <v>0</v>
      </c>
      <c r="K132" s="213">
        <f t="shared" si="13"/>
        <v>9964.7430555555547</v>
      </c>
      <c r="L132" s="12">
        <f t="shared" si="14"/>
        <v>0</v>
      </c>
      <c r="M132" s="313">
        <f t="shared" si="15"/>
        <v>0</v>
      </c>
      <c r="O132" s="42">
        <f t="shared" si="16"/>
        <v>0</v>
      </c>
      <c r="P132" s="270"/>
      <c r="Q132" s="226"/>
      <c r="R132" s="226"/>
      <c r="S132" s="226"/>
      <c r="T132" s="226"/>
      <c r="U132" s="226"/>
      <c r="AF132" s="11"/>
      <c r="AG132" s="11"/>
      <c r="AH132" s="11"/>
      <c r="AI132" s="11"/>
      <c r="AJ132" s="11"/>
      <c r="AK132" s="11"/>
      <c r="AL132" s="11"/>
    </row>
    <row r="133" spans="1:38" x14ac:dyDescent="0.25">
      <c r="A133" s="38">
        <f>+Données!A133</f>
        <v>5631</v>
      </c>
      <c r="B133" s="247" t="str">
        <f>+Données!B133</f>
        <v>Denens</v>
      </c>
      <c r="C133" s="235">
        <f>+Ecrêtage!C133</f>
        <v>41694.310588235297</v>
      </c>
      <c r="D133" s="233"/>
      <c r="E133" s="235">
        <f>Données!AF133+Données!AG133+Données!AH133</f>
        <v>0</v>
      </c>
      <c r="F133" s="233">
        <f t="shared" si="10"/>
        <v>333554.48470588238</v>
      </c>
      <c r="G133" s="8">
        <f t="shared" si="11"/>
        <v>0</v>
      </c>
      <c r="H133" s="313">
        <f t="shared" si="12"/>
        <v>0</v>
      </c>
      <c r="J133" s="8">
        <f>Données!AN133</f>
        <v>0</v>
      </c>
      <c r="K133" s="213">
        <f t="shared" si="13"/>
        <v>41694.310588235297</v>
      </c>
      <c r="L133" s="12">
        <f t="shared" si="14"/>
        <v>0</v>
      </c>
      <c r="M133" s="313">
        <f t="shared" si="15"/>
        <v>0</v>
      </c>
      <c r="O133" s="42">
        <f t="shared" si="16"/>
        <v>0</v>
      </c>
      <c r="P133" s="270"/>
      <c r="Q133" s="226"/>
      <c r="R133" s="226"/>
      <c r="S133" s="226"/>
      <c r="T133" s="226"/>
      <c r="U133" s="226"/>
      <c r="AF133" s="11"/>
      <c r="AG133" s="11"/>
      <c r="AH133" s="11"/>
      <c r="AI133" s="11"/>
      <c r="AJ133" s="11"/>
      <c r="AK133" s="11"/>
      <c r="AL133" s="11"/>
    </row>
    <row r="134" spans="1:38" x14ac:dyDescent="0.25">
      <c r="A134" s="38">
        <f>+Données!A134</f>
        <v>5632</v>
      </c>
      <c r="B134" s="247" t="str">
        <f>+Données!B134</f>
        <v>Denges</v>
      </c>
      <c r="C134" s="235">
        <f>+Ecrêtage!C134</f>
        <v>81642.531612903229</v>
      </c>
      <c r="D134" s="233"/>
      <c r="E134" s="235">
        <f>Données!AF134+Données!AG134+Données!AH134</f>
        <v>0</v>
      </c>
      <c r="F134" s="233">
        <f t="shared" si="10"/>
        <v>653140.25290322583</v>
      </c>
      <c r="G134" s="8">
        <f t="shared" si="11"/>
        <v>0</v>
      </c>
      <c r="H134" s="313">
        <f t="shared" si="12"/>
        <v>0</v>
      </c>
      <c r="J134" s="8">
        <f>Données!AN134</f>
        <v>0</v>
      </c>
      <c r="K134" s="213">
        <f t="shared" si="13"/>
        <v>81642.531612903229</v>
      </c>
      <c r="L134" s="12">
        <f t="shared" si="14"/>
        <v>0</v>
      </c>
      <c r="M134" s="313">
        <f t="shared" si="15"/>
        <v>0</v>
      </c>
      <c r="O134" s="42">
        <f t="shared" si="16"/>
        <v>0</v>
      </c>
      <c r="P134" s="270"/>
      <c r="Q134" s="226"/>
      <c r="R134" s="226"/>
      <c r="S134" s="226"/>
      <c r="T134" s="226"/>
      <c r="U134" s="226"/>
      <c r="AF134" s="11"/>
      <c r="AG134" s="11"/>
      <c r="AH134" s="11"/>
      <c r="AI134" s="11"/>
      <c r="AJ134" s="11"/>
      <c r="AK134" s="11"/>
      <c r="AL134" s="11"/>
    </row>
    <row r="135" spans="1:38" x14ac:dyDescent="0.25">
      <c r="A135" s="38">
        <f>+Données!A135</f>
        <v>5633</v>
      </c>
      <c r="B135" s="247" t="str">
        <f>+Données!B135</f>
        <v>Echandens</v>
      </c>
      <c r="C135" s="235">
        <f>+Ecrêtage!C135</f>
        <v>149835.3479338843</v>
      </c>
      <c r="D135" s="233"/>
      <c r="E135" s="235">
        <f>Données!AF135+Données!AG135+Données!AH135</f>
        <v>0</v>
      </c>
      <c r="F135" s="233">
        <f t="shared" ref="F135:F198" si="17">+C135*$G$5</f>
        <v>1198682.7834710744</v>
      </c>
      <c r="G135" s="8">
        <f t="shared" ref="G135:G198" si="18">IF(E135&gt;F135,E135-F135,0)</f>
        <v>0</v>
      </c>
      <c r="H135" s="313">
        <f t="shared" ref="H135:H198" si="19">-G135*H$5</f>
        <v>0</v>
      </c>
      <c r="J135" s="8">
        <f>Données!AN135</f>
        <v>0</v>
      </c>
      <c r="K135" s="213">
        <f t="shared" ref="K135:K198" si="20">C135*L$5</f>
        <v>149835.3479338843</v>
      </c>
      <c r="L135" s="12">
        <f t="shared" ref="L135:L198" si="21">IF(J135&gt;K135,J135-K135,0)</f>
        <v>0</v>
      </c>
      <c r="M135" s="313">
        <f t="shared" ref="M135:M198" si="22">-L135*M$5</f>
        <v>0</v>
      </c>
      <c r="O135" s="42">
        <f t="shared" ref="O135:O198" si="23">M135+H135</f>
        <v>0</v>
      </c>
      <c r="P135" s="270"/>
      <c r="Q135" s="226"/>
      <c r="R135" s="226"/>
      <c r="S135" s="226"/>
      <c r="T135" s="226"/>
      <c r="U135" s="226"/>
      <c r="AF135" s="11"/>
      <c r="AG135" s="11"/>
      <c r="AH135" s="11"/>
      <c r="AI135" s="11"/>
      <c r="AJ135" s="11"/>
      <c r="AK135" s="11"/>
      <c r="AL135" s="11"/>
    </row>
    <row r="136" spans="1:38" x14ac:dyDescent="0.25">
      <c r="A136" s="38">
        <f>+Données!A136</f>
        <v>5634</v>
      </c>
      <c r="B136" s="247" t="str">
        <f>+Données!B136</f>
        <v>Echichens</v>
      </c>
      <c r="C136" s="235">
        <f>+Ecrêtage!C136</f>
        <v>183137.63424242428</v>
      </c>
      <c r="D136" s="233"/>
      <c r="E136" s="235">
        <f>Données!AF136+Données!AG136+Données!AH136</f>
        <v>0</v>
      </c>
      <c r="F136" s="233">
        <f t="shared" si="17"/>
        <v>1465101.0739393942</v>
      </c>
      <c r="G136" s="8">
        <f t="shared" si="18"/>
        <v>0</v>
      </c>
      <c r="H136" s="313">
        <f t="shared" si="19"/>
        <v>0</v>
      </c>
      <c r="J136" s="8">
        <f>Données!AN136</f>
        <v>0</v>
      </c>
      <c r="K136" s="213">
        <f t="shared" si="20"/>
        <v>183137.63424242428</v>
      </c>
      <c r="L136" s="12">
        <f t="shared" si="21"/>
        <v>0</v>
      </c>
      <c r="M136" s="313">
        <f t="shared" si="22"/>
        <v>0</v>
      </c>
      <c r="O136" s="42">
        <f t="shared" si="23"/>
        <v>0</v>
      </c>
      <c r="P136" s="270"/>
      <c r="Q136" s="226"/>
      <c r="R136" s="226"/>
      <c r="S136" s="226"/>
      <c r="T136" s="226"/>
      <c r="U136" s="226"/>
      <c r="AF136" s="11"/>
      <c r="AG136" s="11"/>
      <c r="AH136" s="11"/>
      <c r="AI136" s="11"/>
      <c r="AJ136" s="11"/>
      <c r="AK136" s="11"/>
      <c r="AL136" s="11"/>
    </row>
    <row r="137" spans="1:38" x14ac:dyDescent="0.25">
      <c r="A137" s="38">
        <f>+Données!A137</f>
        <v>5635</v>
      </c>
      <c r="B137" s="247" t="str">
        <f>+Données!B137</f>
        <v>Ecublens</v>
      </c>
      <c r="C137" s="235">
        <f>+Ecrêtage!C137</f>
        <v>516165.47293333331</v>
      </c>
      <c r="D137" s="233"/>
      <c r="E137" s="235">
        <f>Données!AF137+Données!AG137+Données!AH137</f>
        <v>0</v>
      </c>
      <c r="F137" s="233">
        <f t="shared" si="17"/>
        <v>4129323.7834666665</v>
      </c>
      <c r="G137" s="8">
        <f t="shared" si="18"/>
        <v>0</v>
      </c>
      <c r="H137" s="313">
        <f t="shared" si="19"/>
        <v>0</v>
      </c>
      <c r="J137" s="8">
        <f>Données!AN137</f>
        <v>0</v>
      </c>
      <c r="K137" s="213">
        <f t="shared" si="20"/>
        <v>516165.47293333331</v>
      </c>
      <c r="L137" s="12">
        <f t="shared" si="21"/>
        <v>0</v>
      </c>
      <c r="M137" s="313">
        <f t="shared" si="22"/>
        <v>0</v>
      </c>
      <c r="O137" s="42">
        <f t="shared" si="23"/>
        <v>0</v>
      </c>
      <c r="P137" s="270"/>
      <c r="Q137" s="226"/>
      <c r="R137" s="226"/>
      <c r="S137" s="226"/>
      <c r="T137" s="226"/>
      <c r="U137" s="226"/>
      <c r="AF137" s="11"/>
      <c r="AG137" s="11"/>
      <c r="AH137" s="11"/>
      <c r="AI137" s="11"/>
      <c r="AJ137" s="11"/>
      <c r="AK137" s="11"/>
      <c r="AL137" s="11"/>
    </row>
    <row r="138" spans="1:38" x14ac:dyDescent="0.25">
      <c r="A138" s="38">
        <f>+Données!A138</f>
        <v>5636</v>
      </c>
      <c r="B138" s="247" t="str">
        <f>+Données!B138</f>
        <v>Etoy</v>
      </c>
      <c r="C138" s="235">
        <f>+Ecrêtage!C138</f>
        <v>189458.35050000003</v>
      </c>
      <c r="D138" s="233"/>
      <c r="E138" s="235">
        <f>Données!AF138+Données!AG138+Données!AH138</f>
        <v>0</v>
      </c>
      <c r="F138" s="233">
        <f t="shared" si="17"/>
        <v>1515666.8040000002</v>
      </c>
      <c r="G138" s="8">
        <f t="shared" si="18"/>
        <v>0</v>
      </c>
      <c r="H138" s="313">
        <f t="shared" si="19"/>
        <v>0</v>
      </c>
      <c r="J138" s="8">
        <f>Données!AN138</f>
        <v>0</v>
      </c>
      <c r="K138" s="213">
        <f t="shared" si="20"/>
        <v>189458.35050000003</v>
      </c>
      <c r="L138" s="12">
        <f t="shared" si="21"/>
        <v>0</v>
      </c>
      <c r="M138" s="313">
        <f t="shared" si="22"/>
        <v>0</v>
      </c>
      <c r="O138" s="42">
        <f t="shared" si="23"/>
        <v>0</v>
      </c>
      <c r="P138" s="270"/>
      <c r="Q138" s="226"/>
      <c r="R138" s="226"/>
      <c r="S138" s="226"/>
      <c r="T138" s="226"/>
      <c r="U138" s="226"/>
      <c r="AF138" s="11"/>
      <c r="AG138" s="11"/>
      <c r="AH138" s="11"/>
      <c r="AI138" s="11"/>
      <c r="AJ138" s="11"/>
      <c r="AK138" s="11"/>
      <c r="AL138" s="11"/>
    </row>
    <row r="139" spans="1:38" x14ac:dyDescent="0.25">
      <c r="A139" s="38">
        <f>+Données!A139</f>
        <v>5637</v>
      </c>
      <c r="B139" s="247" t="str">
        <f>+Données!B139</f>
        <v>Lavigny</v>
      </c>
      <c r="C139" s="235">
        <f>+Ecrêtage!C139</f>
        <v>36293.809863013703</v>
      </c>
      <c r="D139" s="233"/>
      <c r="E139" s="235">
        <f>Données!AF139+Données!AG139+Données!AH139</f>
        <v>0</v>
      </c>
      <c r="F139" s="233">
        <f t="shared" si="17"/>
        <v>290350.47890410962</v>
      </c>
      <c r="G139" s="8">
        <f t="shared" si="18"/>
        <v>0</v>
      </c>
      <c r="H139" s="313">
        <f t="shared" si="19"/>
        <v>0</v>
      </c>
      <c r="J139" s="8">
        <f>Données!AN139</f>
        <v>0</v>
      </c>
      <c r="K139" s="213">
        <f t="shared" si="20"/>
        <v>36293.809863013703</v>
      </c>
      <c r="L139" s="12">
        <f t="shared" si="21"/>
        <v>0</v>
      </c>
      <c r="M139" s="313">
        <f t="shared" si="22"/>
        <v>0</v>
      </c>
      <c r="O139" s="42">
        <f t="shared" si="23"/>
        <v>0</v>
      </c>
      <c r="P139" s="270"/>
      <c r="Q139" s="226"/>
      <c r="R139" s="226"/>
      <c r="S139" s="226"/>
      <c r="T139" s="226"/>
      <c r="U139" s="226"/>
      <c r="AF139" s="11"/>
      <c r="AG139" s="11"/>
      <c r="AH139" s="11"/>
      <c r="AI139" s="11"/>
      <c r="AJ139" s="11"/>
      <c r="AK139" s="11"/>
      <c r="AL139" s="11"/>
    </row>
    <row r="140" spans="1:38" x14ac:dyDescent="0.25">
      <c r="A140" s="38">
        <f>+Données!A140</f>
        <v>5638</v>
      </c>
      <c r="B140" s="247" t="str">
        <f>+Données!B140</f>
        <v>Lonay</v>
      </c>
      <c r="C140" s="235">
        <f>+Ecrêtage!C140</f>
        <v>153893.84090909091</v>
      </c>
      <c r="D140" s="233"/>
      <c r="E140" s="235">
        <f>Données!AF140+Données!AG140+Données!AH140</f>
        <v>0</v>
      </c>
      <c r="F140" s="233">
        <f t="shared" si="17"/>
        <v>1231150.7272727273</v>
      </c>
      <c r="G140" s="8">
        <f t="shared" si="18"/>
        <v>0</v>
      </c>
      <c r="H140" s="313">
        <f t="shared" si="19"/>
        <v>0</v>
      </c>
      <c r="J140" s="8">
        <f>Données!AN140</f>
        <v>0</v>
      </c>
      <c r="K140" s="213">
        <f t="shared" si="20"/>
        <v>153893.84090909091</v>
      </c>
      <c r="L140" s="12">
        <f t="shared" si="21"/>
        <v>0</v>
      </c>
      <c r="M140" s="313">
        <f t="shared" si="22"/>
        <v>0</v>
      </c>
      <c r="O140" s="42">
        <f t="shared" si="23"/>
        <v>0</v>
      </c>
      <c r="P140" s="270"/>
      <c r="Q140" s="226"/>
      <c r="R140" s="226"/>
      <c r="S140" s="226"/>
      <c r="T140" s="226"/>
      <c r="U140" s="226"/>
      <c r="AF140" s="11"/>
      <c r="AG140" s="11"/>
      <c r="AH140" s="11"/>
      <c r="AI140" s="11"/>
      <c r="AJ140" s="11"/>
      <c r="AK140" s="11"/>
      <c r="AL140" s="11"/>
    </row>
    <row r="141" spans="1:38" x14ac:dyDescent="0.25">
      <c r="A141" s="38">
        <f>+Données!A141</f>
        <v>5639</v>
      </c>
      <c r="B141" s="247" t="str">
        <f>+Données!B141</f>
        <v>Lully</v>
      </c>
      <c r="C141" s="235">
        <f>+Ecrêtage!C141</f>
        <v>52242.173114754092</v>
      </c>
      <c r="D141" s="233"/>
      <c r="E141" s="235">
        <f>Données!AF141+Données!AG141+Données!AH141</f>
        <v>0</v>
      </c>
      <c r="F141" s="233">
        <f t="shared" si="17"/>
        <v>417937.38491803274</v>
      </c>
      <c r="G141" s="8">
        <f t="shared" si="18"/>
        <v>0</v>
      </c>
      <c r="H141" s="313">
        <f t="shared" si="19"/>
        <v>0</v>
      </c>
      <c r="J141" s="8">
        <f>Données!AN141</f>
        <v>0</v>
      </c>
      <c r="K141" s="213">
        <f t="shared" si="20"/>
        <v>52242.173114754092</v>
      </c>
      <c r="L141" s="12">
        <f t="shared" si="21"/>
        <v>0</v>
      </c>
      <c r="M141" s="313">
        <f t="shared" si="22"/>
        <v>0</v>
      </c>
      <c r="O141" s="42">
        <f t="shared" si="23"/>
        <v>0</v>
      </c>
      <c r="P141" s="270"/>
      <c r="Q141" s="226"/>
      <c r="R141" s="226"/>
      <c r="S141" s="226"/>
      <c r="T141" s="226"/>
      <c r="U141" s="226"/>
      <c r="AF141" s="11"/>
      <c r="AG141" s="11"/>
      <c r="AH141" s="11"/>
      <c r="AI141" s="11"/>
      <c r="AJ141" s="11"/>
      <c r="AK141" s="11"/>
      <c r="AL141" s="11"/>
    </row>
    <row r="142" spans="1:38" x14ac:dyDescent="0.25">
      <c r="A142" s="38">
        <f>+Données!A142</f>
        <v>5640</v>
      </c>
      <c r="B142" s="247" t="str">
        <f>+Données!B142</f>
        <v>Lussy-sur-Morges</v>
      </c>
      <c r="C142" s="235">
        <f>+Ecrêtage!C142</f>
        <v>57771.49271317829</v>
      </c>
      <c r="D142" s="233"/>
      <c r="E142" s="235">
        <f>Données!AF142+Données!AG142+Données!AH142</f>
        <v>0</v>
      </c>
      <c r="F142" s="233">
        <f t="shared" si="17"/>
        <v>462171.94170542632</v>
      </c>
      <c r="G142" s="8">
        <f t="shared" si="18"/>
        <v>0</v>
      </c>
      <c r="H142" s="313">
        <f t="shared" si="19"/>
        <v>0</v>
      </c>
      <c r="J142" s="8">
        <f>Données!AN142</f>
        <v>0</v>
      </c>
      <c r="K142" s="213">
        <f t="shared" si="20"/>
        <v>57771.49271317829</v>
      </c>
      <c r="L142" s="12">
        <f t="shared" si="21"/>
        <v>0</v>
      </c>
      <c r="M142" s="313">
        <f t="shared" si="22"/>
        <v>0</v>
      </c>
      <c r="O142" s="42">
        <f t="shared" si="23"/>
        <v>0</v>
      </c>
      <c r="P142" s="270"/>
      <c r="Q142" s="226"/>
      <c r="R142" s="226"/>
      <c r="S142" s="226"/>
      <c r="T142" s="226"/>
      <c r="U142" s="226"/>
      <c r="AF142" s="11"/>
      <c r="AG142" s="11"/>
      <c r="AH142" s="11"/>
      <c r="AI142" s="11"/>
      <c r="AJ142" s="11"/>
      <c r="AK142" s="11"/>
      <c r="AL142" s="11"/>
    </row>
    <row r="143" spans="1:38" x14ac:dyDescent="0.25">
      <c r="A143" s="38">
        <f>+Données!A143</f>
        <v>5642</v>
      </c>
      <c r="B143" s="247" t="str">
        <f>+Données!B143</f>
        <v>Morges</v>
      </c>
      <c r="C143" s="235">
        <f>+Ecrêtage!C143</f>
        <v>980547.23447761196</v>
      </c>
      <c r="D143" s="233"/>
      <c r="E143" s="235">
        <f>Données!AF143+Données!AG143+Données!AH143</f>
        <v>0</v>
      </c>
      <c r="F143" s="233">
        <f t="shared" si="17"/>
        <v>7844377.8758208957</v>
      </c>
      <c r="G143" s="8">
        <f t="shared" si="18"/>
        <v>0</v>
      </c>
      <c r="H143" s="313">
        <f t="shared" si="19"/>
        <v>0</v>
      </c>
      <c r="J143" s="8">
        <f>Données!AN143</f>
        <v>0</v>
      </c>
      <c r="K143" s="213">
        <f t="shared" si="20"/>
        <v>980547.23447761196</v>
      </c>
      <c r="L143" s="12">
        <f t="shared" si="21"/>
        <v>0</v>
      </c>
      <c r="M143" s="313">
        <f t="shared" si="22"/>
        <v>0</v>
      </c>
      <c r="O143" s="42">
        <f t="shared" si="23"/>
        <v>0</v>
      </c>
      <c r="P143" s="270"/>
      <c r="Q143" s="226"/>
      <c r="R143" s="226"/>
      <c r="S143" s="226"/>
      <c r="T143" s="226"/>
      <c r="U143" s="226"/>
      <c r="AF143" s="11"/>
      <c r="AG143" s="11"/>
      <c r="AH143" s="11"/>
      <c r="AI143" s="11"/>
      <c r="AJ143" s="11"/>
      <c r="AK143" s="11"/>
      <c r="AL143" s="11"/>
    </row>
    <row r="144" spans="1:38" x14ac:dyDescent="0.25">
      <c r="A144" s="38">
        <f>+Données!A144</f>
        <v>5643</v>
      </c>
      <c r="B144" s="247" t="str">
        <f>+Données!B144</f>
        <v>Préverenges</v>
      </c>
      <c r="C144" s="235">
        <f>+Ecrêtage!C144</f>
        <v>252724.38943999997</v>
      </c>
      <c r="D144" s="233"/>
      <c r="E144" s="235">
        <f>Données!AF144+Données!AG144+Données!AH144</f>
        <v>0</v>
      </c>
      <c r="F144" s="233">
        <f t="shared" si="17"/>
        <v>2021795.1155199998</v>
      </c>
      <c r="G144" s="8">
        <f t="shared" si="18"/>
        <v>0</v>
      </c>
      <c r="H144" s="313">
        <f t="shared" si="19"/>
        <v>0</v>
      </c>
      <c r="J144" s="8">
        <f>Données!AN144</f>
        <v>0</v>
      </c>
      <c r="K144" s="213">
        <f t="shared" si="20"/>
        <v>252724.38943999997</v>
      </c>
      <c r="L144" s="12">
        <f t="shared" si="21"/>
        <v>0</v>
      </c>
      <c r="M144" s="313">
        <f t="shared" si="22"/>
        <v>0</v>
      </c>
      <c r="O144" s="42">
        <f t="shared" si="23"/>
        <v>0</v>
      </c>
      <c r="P144" s="270"/>
      <c r="Q144" s="226"/>
      <c r="R144" s="226"/>
      <c r="S144" s="226"/>
      <c r="T144" s="226"/>
      <c r="U144" s="226"/>
      <c r="AF144" s="11"/>
      <c r="AG144" s="11"/>
      <c r="AH144" s="11"/>
      <c r="AI144" s="11"/>
      <c r="AJ144" s="11"/>
      <c r="AK144" s="11"/>
      <c r="AL144" s="11"/>
    </row>
    <row r="145" spans="1:38" x14ac:dyDescent="0.25">
      <c r="A145" s="38">
        <f>+Données!A145</f>
        <v>5645</v>
      </c>
      <c r="B145" s="247" t="str">
        <f>+Données!B145</f>
        <v>Romanel-sur-Morges</v>
      </c>
      <c r="C145" s="235">
        <f>+Ecrêtage!C145</f>
        <v>23768.997321428575</v>
      </c>
      <c r="D145" s="233"/>
      <c r="E145" s="235">
        <f>Données!AF145+Données!AG145+Données!AH145</f>
        <v>0</v>
      </c>
      <c r="F145" s="233">
        <f t="shared" si="17"/>
        <v>190151.9785714286</v>
      </c>
      <c r="G145" s="8">
        <f t="shared" si="18"/>
        <v>0</v>
      </c>
      <c r="H145" s="313">
        <f t="shared" si="19"/>
        <v>0</v>
      </c>
      <c r="J145" s="8">
        <f>Données!AN145</f>
        <v>0</v>
      </c>
      <c r="K145" s="213">
        <f t="shared" si="20"/>
        <v>23768.997321428575</v>
      </c>
      <c r="L145" s="12">
        <f t="shared" si="21"/>
        <v>0</v>
      </c>
      <c r="M145" s="313">
        <f t="shared" si="22"/>
        <v>0</v>
      </c>
      <c r="O145" s="42">
        <f t="shared" si="23"/>
        <v>0</v>
      </c>
      <c r="P145" s="270"/>
      <c r="Q145" s="226"/>
      <c r="R145" s="226"/>
      <c r="S145" s="226"/>
      <c r="T145" s="226"/>
      <c r="U145" s="226"/>
      <c r="AF145" s="11"/>
      <c r="AG145" s="11"/>
      <c r="AH145" s="11"/>
      <c r="AI145" s="11"/>
      <c r="AJ145" s="11"/>
      <c r="AK145" s="11"/>
      <c r="AL145" s="11"/>
    </row>
    <row r="146" spans="1:38" x14ac:dyDescent="0.25">
      <c r="A146" s="38">
        <f>+Données!A146</f>
        <v>5646</v>
      </c>
      <c r="B146" s="247" t="str">
        <f>+Données!B146</f>
        <v>Saint-Prex</v>
      </c>
      <c r="C146" s="235">
        <f>+Ecrêtage!C146</f>
        <v>515578.26330508466</v>
      </c>
      <c r="D146" s="233"/>
      <c r="E146" s="235">
        <f>Données!AF146+Données!AG146+Données!AH146</f>
        <v>0</v>
      </c>
      <c r="F146" s="233">
        <f t="shared" si="17"/>
        <v>4124626.1064406773</v>
      </c>
      <c r="G146" s="8">
        <f t="shared" si="18"/>
        <v>0</v>
      </c>
      <c r="H146" s="313">
        <f t="shared" si="19"/>
        <v>0</v>
      </c>
      <c r="J146" s="8">
        <f>Données!AN146</f>
        <v>0</v>
      </c>
      <c r="K146" s="213">
        <f t="shared" si="20"/>
        <v>515578.26330508466</v>
      </c>
      <c r="L146" s="12">
        <f t="shared" si="21"/>
        <v>0</v>
      </c>
      <c r="M146" s="313">
        <f t="shared" si="22"/>
        <v>0</v>
      </c>
      <c r="O146" s="42">
        <f t="shared" si="23"/>
        <v>0</v>
      </c>
      <c r="P146" s="270"/>
      <c r="Q146" s="226"/>
      <c r="R146" s="226"/>
      <c r="S146" s="226"/>
      <c r="T146" s="226"/>
      <c r="U146" s="226"/>
      <c r="AF146" s="11"/>
      <c r="AG146" s="11"/>
      <c r="AH146" s="11"/>
      <c r="AI146" s="11"/>
      <c r="AJ146" s="11"/>
      <c r="AK146" s="11"/>
      <c r="AL146" s="11"/>
    </row>
    <row r="147" spans="1:38" x14ac:dyDescent="0.25">
      <c r="A147" s="38">
        <f>+Données!A147</f>
        <v>5648</v>
      </c>
      <c r="B147" s="247" t="str">
        <f>+Données!B147</f>
        <v>Saint-Sulpice</v>
      </c>
      <c r="C147" s="235">
        <f>+Ecrêtage!C147</f>
        <v>417040.44568181824</v>
      </c>
      <c r="D147" s="233"/>
      <c r="E147" s="235">
        <f>Données!AF147+Données!AG147+Données!AH147</f>
        <v>0</v>
      </c>
      <c r="F147" s="233">
        <f t="shared" si="17"/>
        <v>3336323.5654545459</v>
      </c>
      <c r="G147" s="8">
        <f t="shared" si="18"/>
        <v>0</v>
      </c>
      <c r="H147" s="313">
        <f t="shared" si="19"/>
        <v>0</v>
      </c>
      <c r="J147" s="8">
        <f>Données!AN147</f>
        <v>0</v>
      </c>
      <c r="K147" s="213">
        <f t="shared" si="20"/>
        <v>417040.44568181824</v>
      </c>
      <c r="L147" s="12">
        <f t="shared" si="21"/>
        <v>0</v>
      </c>
      <c r="M147" s="313">
        <f t="shared" si="22"/>
        <v>0</v>
      </c>
      <c r="O147" s="42">
        <f t="shared" si="23"/>
        <v>0</v>
      </c>
      <c r="P147" s="270"/>
      <c r="Q147" s="226"/>
      <c r="R147" s="226"/>
      <c r="S147" s="226"/>
      <c r="T147" s="226"/>
      <c r="U147" s="226"/>
      <c r="AF147" s="11"/>
      <c r="AG147" s="11"/>
      <c r="AH147" s="11"/>
      <c r="AI147" s="11"/>
      <c r="AJ147" s="11"/>
      <c r="AK147" s="11"/>
      <c r="AL147" s="11"/>
    </row>
    <row r="148" spans="1:38" x14ac:dyDescent="0.25">
      <c r="A148" s="38">
        <f>+Données!A148</f>
        <v>5649</v>
      </c>
      <c r="B148" s="247" t="str">
        <f>+Données!B148</f>
        <v>Tolochenaz</v>
      </c>
      <c r="C148" s="235">
        <f>+Ecrêtage!C148</f>
        <v>173464.05234375002</v>
      </c>
      <c r="D148" s="233"/>
      <c r="E148" s="235">
        <f>Données!AF148+Données!AG148+Données!AH148</f>
        <v>0</v>
      </c>
      <c r="F148" s="233">
        <f t="shared" si="17"/>
        <v>1387712.4187500002</v>
      </c>
      <c r="G148" s="8">
        <f t="shared" si="18"/>
        <v>0</v>
      </c>
      <c r="H148" s="313">
        <f t="shared" si="19"/>
        <v>0</v>
      </c>
      <c r="J148" s="8">
        <f>Données!AN148</f>
        <v>0</v>
      </c>
      <c r="K148" s="213">
        <f t="shared" si="20"/>
        <v>173464.05234375002</v>
      </c>
      <c r="L148" s="12">
        <f t="shared" si="21"/>
        <v>0</v>
      </c>
      <c r="M148" s="313">
        <f t="shared" si="22"/>
        <v>0</v>
      </c>
      <c r="O148" s="42">
        <f t="shared" si="23"/>
        <v>0</v>
      </c>
      <c r="P148" s="270"/>
      <c r="Q148" s="226"/>
      <c r="R148" s="226"/>
      <c r="S148" s="226"/>
      <c r="T148" s="226"/>
      <c r="U148" s="226"/>
      <c r="AF148" s="11"/>
      <c r="AG148" s="11"/>
      <c r="AH148" s="11"/>
      <c r="AI148" s="11"/>
      <c r="AJ148" s="11"/>
      <c r="AK148" s="11"/>
      <c r="AL148" s="11"/>
    </row>
    <row r="149" spans="1:38" x14ac:dyDescent="0.25">
      <c r="A149" s="38">
        <f>+Données!A149</f>
        <v>5650</v>
      </c>
      <c r="B149" s="247" t="str">
        <f>+Données!B149</f>
        <v>Vaux-sur-Morges</v>
      </c>
      <c r="C149" s="235">
        <f>+Ecrêtage!C149</f>
        <v>90407.863928571445</v>
      </c>
      <c r="D149" s="233"/>
      <c r="E149" s="235">
        <f>Données!AF149+Données!AG149+Données!AH149</f>
        <v>0</v>
      </c>
      <c r="F149" s="233">
        <f t="shared" si="17"/>
        <v>723262.91142857156</v>
      </c>
      <c r="G149" s="8">
        <f t="shared" si="18"/>
        <v>0</v>
      </c>
      <c r="H149" s="313">
        <f t="shared" si="19"/>
        <v>0</v>
      </c>
      <c r="J149" s="8">
        <f>Données!AN149</f>
        <v>0</v>
      </c>
      <c r="K149" s="213">
        <f t="shared" si="20"/>
        <v>90407.863928571445</v>
      </c>
      <c r="L149" s="12">
        <f t="shared" si="21"/>
        <v>0</v>
      </c>
      <c r="M149" s="313">
        <f t="shared" si="22"/>
        <v>0</v>
      </c>
      <c r="O149" s="42">
        <f t="shared" si="23"/>
        <v>0</v>
      </c>
      <c r="P149" s="270"/>
      <c r="Q149" s="226"/>
      <c r="R149" s="226"/>
      <c r="S149" s="226"/>
      <c r="T149" s="226"/>
      <c r="U149" s="226"/>
      <c r="AF149" s="11"/>
      <c r="AG149" s="11"/>
      <c r="AH149" s="11"/>
      <c r="AI149" s="11"/>
      <c r="AJ149" s="11"/>
      <c r="AK149" s="11"/>
      <c r="AL149" s="11"/>
    </row>
    <row r="150" spans="1:38" x14ac:dyDescent="0.25">
      <c r="A150" s="38">
        <f>+Données!A150</f>
        <v>5651</v>
      </c>
      <c r="B150" s="247" t="str">
        <f>+Données!B150</f>
        <v>Villars-Sainte-Croix</v>
      </c>
      <c r="C150" s="235">
        <f>+Ecrêtage!C150</f>
        <v>56008.147272727285</v>
      </c>
      <c r="D150" s="233"/>
      <c r="E150" s="235">
        <f>Données!AF150+Données!AG150+Données!AH150</f>
        <v>0</v>
      </c>
      <c r="F150" s="233">
        <f t="shared" si="17"/>
        <v>448065.17818181828</v>
      </c>
      <c r="G150" s="8">
        <f t="shared" si="18"/>
        <v>0</v>
      </c>
      <c r="H150" s="313">
        <f t="shared" si="19"/>
        <v>0</v>
      </c>
      <c r="J150" s="8">
        <f>Données!AN150</f>
        <v>0</v>
      </c>
      <c r="K150" s="213">
        <f t="shared" si="20"/>
        <v>56008.147272727285</v>
      </c>
      <c r="L150" s="12">
        <f t="shared" si="21"/>
        <v>0</v>
      </c>
      <c r="M150" s="313">
        <f t="shared" si="22"/>
        <v>0</v>
      </c>
      <c r="O150" s="42">
        <f t="shared" si="23"/>
        <v>0</v>
      </c>
      <c r="P150" s="270"/>
      <c r="Q150" s="226"/>
      <c r="R150" s="226"/>
      <c r="S150" s="226"/>
      <c r="T150" s="226"/>
      <c r="U150" s="226"/>
      <c r="AF150" s="11"/>
      <c r="AG150" s="11"/>
      <c r="AH150" s="11"/>
      <c r="AI150" s="11"/>
      <c r="AJ150" s="11"/>
      <c r="AK150" s="11"/>
      <c r="AL150" s="11"/>
    </row>
    <row r="151" spans="1:38" x14ac:dyDescent="0.25">
      <c r="A151" s="38">
        <f>+Données!A151</f>
        <v>5652</v>
      </c>
      <c r="B151" s="247" t="str">
        <f>+Données!B151</f>
        <v>Villars-sous-Yens</v>
      </c>
      <c r="C151" s="235">
        <f>+Ecrêtage!C151</f>
        <v>25957.212521929825</v>
      </c>
      <c r="D151" s="233"/>
      <c r="E151" s="235">
        <f>Données!AF151+Données!AG151+Données!AH151</f>
        <v>0</v>
      </c>
      <c r="F151" s="233">
        <f t="shared" si="17"/>
        <v>207657.7001754386</v>
      </c>
      <c r="G151" s="8">
        <f t="shared" si="18"/>
        <v>0</v>
      </c>
      <c r="H151" s="313">
        <f t="shared" si="19"/>
        <v>0</v>
      </c>
      <c r="J151" s="8">
        <f>Données!AN151</f>
        <v>0</v>
      </c>
      <c r="K151" s="213">
        <f t="shared" si="20"/>
        <v>25957.212521929825</v>
      </c>
      <c r="L151" s="12">
        <f t="shared" si="21"/>
        <v>0</v>
      </c>
      <c r="M151" s="313">
        <f t="shared" si="22"/>
        <v>0</v>
      </c>
      <c r="O151" s="42">
        <f t="shared" si="23"/>
        <v>0</v>
      </c>
      <c r="P151" s="270"/>
      <c r="Q151" s="226"/>
      <c r="R151" s="226"/>
      <c r="S151" s="226"/>
      <c r="T151" s="226"/>
      <c r="U151" s="226"/>
      <c r="AF151" s="11"/>
      <c r="AG151" s="11"/>
      <c r="AH151" s="11"/>
      <c r="AI151" s="11"/>
      <c r="AJ151" s="11"/>
      <c r="AK151" s="11"/>
      <c r="AL151" s="11"/>
    </row>
    <row r="152" spans="1:38" x14ac:dyDescent="0.25">
      <c r="A152" s="38">
        <f>+Données!A152</f>
        <v>5653</v>
      </c>
      <c r="B152" s="247" t="str">
        <f>+Données!B152</f>
        <v>Vufflens-le-Château</v>
      </c>
      <c r="C152" s="235">
        <f>+Ecrêtage!C152</f>
        <v>71315.778290598289</v>
      </c>
      <c r="D152" s="233"/>
      <c r="E152" s="235">
        <f>Données!AF152+Données!AG152+Données!AH152</f>
        <v>0</v>
      </c>
      <c r="F152" s="233">
        <f t="shared" si="17"/>
        <v>570526.22632478632</v>
      </c>
      <c r="G152" s="8">
        <f t="shared" si="18"/>
        <v>0</v>
      </c>
      <c r="H152" s="313">
        <f t="shared" si="19"/>
        <v>0</v>
      </c>
      <c r="J152" s="8">
        <f>Données!AN152</f>
        <v>0</v>
      </c>
      <c r="K152" s="213">
        <f t="shared" si="20"/>
        <v>71315.778290598289</v>
      </c>
      <c r="L152" s="12">
        <f t="shared" si="21"/>
        <v>0</v>
      </c>
      <c r="M152" s="313">
        <f t="shared" si="22"/>
        <v>0</v>
      </c>
      <c r="O152" s="42">
        <f t="shared" si="23"/>
        <v>0</v>
      </c>
      <c r="P152" s="270"/>
      <c r="Q152" s="226"/>
      <c r="R152" s="226"/>
      <c r="S152" s="226"/>
      <c r="T152" s="226"/>
      <c r="U152" s="226"/>
      <c r="AF152" s="11"/>
      <c r="AG152" s="11"/>
      <c r="AH152" s="11"/>
      <c r="AI152" s="11"/>
      <c r="AJ152" s="11"/>
      <c r="AK152" s="11"/>
      <c r="AL152" s="11"/>
    </row>
    <row r="153" spans="1:38" x14ac:dyDescent="0.25">
      <c r="A153" s="38">
        <f>+Données!A153</f>
        <v>5654</v>
      </c>
      <c r="B153" s="247" t="str">
        <f>+Données!B153</f>
        <v>Vullierens</v>
      </c>
      <c r="C153" s="235">
        <f>+Ecrêtage!C153</f>
        <v>20741.31131578947</v>
      </c>
      <c r="D153" s="233"/>
      <c r="E153" s="235">
        <f>Données!AF153+Données!AG153+Données!AH153</f>
        <v>0</v>
      </c>
      <c r="F153" s="233">
        <f t="shared" si="17"/>
        <v>165930.49052631576</v>
      </c>
      <c r="G153" s="8">
        <f t="shared" si="18"/>
        <v>0</v>
      </c>
      <c r="H153" s="313">
        <f t="shared" si="19"/>
        <v>0</v>
      </c>
      <c r="J153" s="8">
        <f>Données!AN153</f>
        <v>0</v>
      </c>
      <c r="K153" s="213">
        <f t="shared" si="20"/>
        <v>20741.31131578947</v>
      </c>
      <c r="L153" s="12">
        <f t="shared" si="21"/>
        <v>0</v>
      </c>
      <c r="M153" s="313">
        <f t="shared" si="22"/>
        <v>0</v>
      </c>
      <c r="O153" s="42">
        <f t="shared" si="23"/>
        <v>0</v>
      </c>
      <c r="P153" s="270"/>
      <c r="Q153" s="226"/>
      <c r="R153" s="226"/>
      <c r="S153" s="226"/>
      <c r="T153" s="226"/>
      <c r="U153" s="226"/>
      <c r="AF153" s="11"/>
      <c r="AG153" s="11"/>
      <c r="AH153" s="11"/>
      <c r="AI153" s="11"/>
      <c r="AJ153" s="11"/>
      <c r="AK153" s="11"/>
      <c r="AL153" s="11"/>
    </row>
    <row r="154" spans="1:38" x14ac:dyDescent="0.25">
      <c r="A154" s="38">
        <f>+Données!A154</f>
        <v>5655</v>
      </c>
      <c r="B154" s="247" t="str">
        <f>+Données!B154</f>
        <v>Yens</v>
      </c>
      <c r="C154" s="235">
        <f>+Ecrêtage!C154</f>
        <v>81488.710349650341</v>
      </c>
      <c r="D154" s="233"/>
      <c r="E154" s="235">
        <f>Données!AF154+Données!AG154+Données!AH154</f>
        <v>0</v>
      </c>
      <c r="F154" s="233">
        <f t="shared" si="17"/>
        <v>651909.68279720272</v>
      </c>
      <c r="G154" s="8">
        <f t="shared" si="18"/>
        <v>0</v>
      </c>
      <c r="H154" s="313">
        <f t="shared" si="19"/>
        <v>0</v>
      </c>
      <c r="J154" s="8">
        <f>Données!AN154</f>
        <v>0</v>
      </c>
      <c r="K154" s="213">
        <f t="shared" si="20"/>
        <v>81488.710349650341</v>
      </c>
      <c r="L154" s="12">
        <f t="shared" si="21"/>
        <v>0</v>
      </c>
      <c r="M154" s="313">
        <f t="shared" si="22"/>
        <v>0</v>
      </c>
      <c r="O154" s="42">
        <f t="shared" si="23"/>
        <v>0</v>
      </c>
      <c r="P154" s="270"/>
      <c r="Q154" s="226"/>
      <c r="R154" s="226"/>
      <c r="S154" s="226"/>
      <c r="T154" s="226"/>
      <c r="U154" s="226"/>
      <c r="AF154" s="11"/>
      <c r="AG154" s="11"/>
      <c r="AH154" s="11"/>
      <c r="AI154" s="11"/>
      <c r="AJ154" s="11"/>
      <c r="AK154" s="11"/>
      <c r="AL154" s="11"/>
    </row>
    <row r="155" spans="1:38" s="217" customFormat="1" x14ac:dyDescent="0.25">
      <c r="A155" s="38">
        <f>+Données!A155</f>
        <v>5656</v>
      </c>
      <c r="B155" s="247" t="str">
        <f>+Données!B155</f>
        <v>Hautemorges</v>
      </c>
      <c r="C155" s="235">
        <f>+Ecrêtage!C155</f>
        <v>168934.99020689653</v>
      </c>
      <c r="D155" s="233"/>
      <c r="E155" s="235">
        <f>Données!AF155+Données!AG155+Données!AH155</f>
        <v>0</v>
      </c>
      <c r="F155" s="233">
        <f t="shared" si="17"/>
        <v>1351479.9216551722</v>
      </c>
      <c r="G155" s="8">
        <f t="shared" si="18"/>
        <v>0</v>
      </c>
      <c r="H155" s="313">
        <f t="shared" si="19"/>
        <v>0</v>
      </c>
      <c r="I155" s="236"/>
      <c r="J155" s="8">
        <f>Données!AN155</f>
        <v>0</v>
      </c>
      <c r="K155" s="213">
        <f t="shared" si="20"/>
        <v>168934.99020689653</v>
      </c>
      <c r="L155" s="236">
        <f t="shared" si="21"/>
        <v>0</v>
      </c>
      <c r="M155" s="313">
        <f t="shared" si="22"/>
        <v>0</v>
      </c>
      <c r="N155" s="236"/>
      <c r="O155" s="42">
        <f t="shared" si="23"/>
        <v>0</v>
      </c>
      <c r="P155" s="270"/>
      <c r="Q155" s="226"/>
      <c r="R155" s="226"/>
      <c r="S155" s="226"/>
      <c r="T155" s="226"/>
      <c r="U155" s="226"/>
    </row>
    <row r="156" spans="1:38" x14ac:dyDescent="0.25">
      <c r="A156" s="38">
        <f>+Données!A156</f>
        <v>5661</v>
      </c>
      <c r="B156" s="247" t="str">
        <f>+Données!B156</f>
        <v>Boulens</v>
      </c>
      <c r="C156" s="235">
        <f>+Ecrêtage!C156</f>
        <v>11008.776923076925</v>
      </c>
      <c r="D156" s="233"/>
      <c r="E156" s="235">
        <f>Données!AF156+Données!AG156+Données!AH156</f>
        <v>0</v>
      </c>
      <c r="F156" s="233">
        <f t="shared" si="17"/>
        <v>88070.215384615396</v>
      </c>
      <c r="G156" s="8">
        <f t="shared" si="18"/>
        <v>0</v>
      </c>
      <c r="H156" s="313">
        <f t="shared" si="19"/>
        <v>0</v>
      </c>
      <c r="J156" s="8">
        <f>Données!AN156</f>
        <v>0</v>
      </c>
      <c r="K156" s="213">
        <f t="shared" si="20"/>
        <v>11008.776923076925</v>
      </c>
      <c r="L156" s="12">
        <f t="shared" si="21"/>
        <v>0</v>
      </c>
      <c r="M156" s="313">
        <f t="shared" si="22"/>
        <v>0</v>
      </c>
      <c r="O156" s="42">
        <f t="shared" si="23"/>
        <v>0</v>
      </c>
      <c r="P156" s="270"/>
      <c r="Q156" s="226"/>
      <c r="R156" s="226"/>
      <c r="S156" s="226"/>
      <c r="T156" s="226"/>
      <c r="U156" s="226"/>
      <c r="AF156" s="11"/>
      <c r="AG156" s="11"/>
      <c r="AH156" s="11"/>
      <c r="AI156" s="11"/>
      <c r="AJ156" s="11"/>
      <c r="AK156" s="11"/>
      <c r="AL156" s="11"/>
    </row>
    <row r="157" spans="1:38" x14ac:dyDescent="0.25">
      <c r="A157" s="38">
        <f>+Données!A157</f>
        <v>5663</v>
      </c>
      <c r="B157" s="247" t="str">
        <f>+Données!B157</f>
        <v>Bussy-sur-Moudon</v>
      </c>
      <c r="C157" s="235">
        <f>+Ecrêtage!C157</f>
        <v>6460.7661146496821</v>
      </c>
      <c r="D157" s="233"/>
      <c r="E157" s="235">
        <f>Données!AF157+Données!AG157+Données!AH157</f>
        <v>0</v>
      </c>
      <c r="F157" s="233">
        <f t="shared" si="17"/>
        <v>51686.128917197457</v>
      </c>
      <c r="G157" s="8">
        <f t="shared" si="18"/>
        <v>0</v>
      </c>
      <c r="H157" s="313">
        <f t="shared" si="19"/>
        <v>0</v>
      </c>
      <c r="J157" s="8">
        <f>Données!AN157</f>
        <v>0</v>
      </c>
      <c r="K157" s="213">
        <f t="shared" si="20"/>
        <v>6460.7661146496821</v>
      </c>
      <c r="L157" s="12">
        <f t="shared" si="21"/>
        <v>0</v>
      </c>
      <c r="M157" s="313">
        <f t="shared" si="22"/>
        <v>0</v>
      </c>
      <c r="O157" s="42">
        <f t="shared" si="23"/>
        <v>0</v>
      </c>
      <c r="P157" s="270"/>
      <c r="Q157" s="226"/>
      <c r="R157" s="226"/>
      <c r="S157" s="226"/>
      <c r="T157" s="226"/>
      <c r="U157" s="226"/>
      <c r="AF157" s="11"/>
      <c r="AG157" s="11"/>
      <c r="AH157" s="11"/>
      <c r="AI157" s="11"/>
      <c r="AJ157" s="11"/>
      <c r="AK157" s="11"/>
      <c r="AL157" s="11"/>
    </row>
    <row r="158" spans="1:38" x14ac:dyDescent="0.25">
      <c r="A158" s="38">
        <f>+Données!A158</f>
        <v>5665</v>
      </c>
      <c r="B158" s="247" t="str">
        <f>+Données!B158</f>
        <v>Chavannes-sur-Moudon</v>
      </c>
      <c r="C158" s="235">
        <f>+Ecrêtage!C158</f>
        <v>5786.5608571428584</v>
      </c>
      <c r="D158" s="233"/>
      <c r="E158" s="235">
        <f>Données!AF158+Données!AG158+Données!AH158</f>
        <v>0</v>
      </c>
      <c r="F158" s="233">
        <f t="shared" si="17"/>
        <v>46292.486857142867</v>
      </c>
      <c r="G158" s="8">
        <f t="shared" si="18"/>
        <v>0</v>
      </c>
      <c r="H158" s="313">
        <f t="shared" si="19"/>
        <v>0</v>
      </c>
      <c r="J158" s="8">
        <f>Données!AN158</f>
        <v>0</v>
      </c>
      <c r="K158" s="213">
        <f t="shared" si="20"/>
        <v>5786.5608571428584</v>
      </c>
      <c r="L158" s="12">
        <f t="shared" si="21"/>
        <v>0</v>
      </c>
      <c r="M158" s="313">
        <f t="shared" si="22"/>
        <v>0</v>
      </c>
      <c r="O158" s="42">
        <f t="shared" si="23"/>
        <v>0</v>
      </c>
      <c r="P158" s="270"/>
      <c r="Q158" s="226"/>
      <c r="R158" s="226"/>
      <c r="S158" s="226"/>
      <c r="T158" s="226"/>
      <c r="U158" s="226"/>
      <c r="AF158" s="11"/>
      <c r="AG158" s="11"/>
      <c r="AH158" s="11"/>
      <c r="AI158" s="11"/>
      <c r="AJ158" s="11"/>
      <c r="AK158" s="11"/>
      <c r="AL158" s="11"/>
    </row>
    <row r="159" spans="1:38" x14ac:dyDescent="0.25">
      <c r="A159" s="38">
        <f>+Données!A159</f>
        <v>5669</v>
      </c>
      <c r="B159" s="247" t="str">
        <f>+Données!B159</f>
        <v>Curtilles</v>
      </c>
      <c r="C159" s="235">
        <f>+Ecrêtage!C159</f>
        <v>8428.0279452054765</v>
      </c>
      <c r="D159" s="233"/>
      <c r="E159" s="235">
        <f>Données!AF159+Données!AG159+Données!AH159</f>
        <v>0</v>
      </c>
      <c r="F159" s="233">
        <f t="shared" si="17"/>
        <v>67424.223561643812</v>
      </c>
      <c r="G159" s="8">
        <f t="shared" si="18"/>
        <v>0</v>
      </c>
      <c r="H159" s="313">
        <f t="shared" si="19"/>
        <v>0</v>
      </c>
      <c r="J159" s="8">
        <f>Données!AN159</f>
        <v>0</v>
      </c>
      <c r="K159" s="213">
        <f t="shared" si="20"/>
        <v>8428.0279452054765</v>
      </c>
      <c r="L159" s="12">
        <f t="shared" si="21"/>
        <v>0</v>
      </c>
      <c r="M159" s="313">
        <f t="shared" si="22"/>
        <v>0</v>
      </c>
      <c r="O159" s="42">
        <f t="shared" si="23"/>
        <v>0</v>
      </c>
      <c r="P159" s="270"/>
      <c r="Q159" s="226"/>
      <c r="R159" s="226"/>
      <c r="S159" s="226"/>
      <c r="T159" s="226"/>
      <c r="U159" s="226"/>
      <c r="AF159" s="11"/>
      <c r="AG159" s="11"/>
      <c r="AH159" s="11"/>
      <c r="AI159" s="11"/>
      <c r="AJ159" s="11"/>
      <c r="AK159" s="11"/>
      <c r="AL159" s="11"/>
    </row>
    <row r="160" spans="1:38" x14ac:dyDescent="0.25">
      <c r="A160" s="38">
        <f>+Données!A160</f>
        <v>5671</v>
      </c>
      <c r="B160" s="247" t="str">
        <f>+Données!B160</f>
        <v>Dompierre</v>
      </c>
      <c r="C160" s="235">
        <f>+Ecrêtage!C160</f>
        <v>6751.3758974358971</v>
      </c>
      <c r="D160" s="233"/>
      <c r="E160" s="235">
        <f>Données!AF160+Données!AG160+Données!AH160</f>
        <v>0</v>
      </c>
      <c r="F160" s="233">
        <f t="shared" si="17"/>
        <v>54011.007179487176</v>
      </c>
      <c r="G160" s="8">
        <f t="shared" si="18"/>
        <v>0</v>
      </c>
      <c r="H160" s="313">
        <f t="shared" si="19"/>
        <v>0</v>
      </c>
      <c r="J160" s="8">
        <f>Données!AN160</f>
        <v>0</v>
      </c>
      <c r="K160" s="213">
        <f t="shared" si="20"/>
        <v>6751.3758974358971</v>
      </c>
      <c r="L160" s="12">
        <f t="shared" si="21"/>
        <v>0</v>
      </c>
      <c r="M160" s="313">
        <f t="shared" si="22"/>
        <v>0</v>
      </c>
      <c r="O160" s="42">
        <f t="shared" si="23"/>
        <v>0</v>
      </c>
      <c r="P160" s="270"/>
      <c r="Q160" s="226"/>
      <c r="R160" s="226"/>
      <c r="S160" s="226"/>
      <c r="T160" s="226"/>
      <c r="U160" s="226"/>
      <c r="AF160" s="11"/>
      <c r="AG160" s="11"/>
      <c r="AH160" s="11"/>
      <c r="AI160" s="11"/>
      <c r="AJ160" s="11"/>
      <c r="AK160" s="11"/>
      <c r="AL160" s="11"/>
    </row>
    <row r="161" spans="1:38" x14ac:dyDescent="0.25">
      <c r="A161" s="38">
        <f>+Données!A161</f>
        <v>5673</v>
      </c>
      <c r="B161" s="247" t="str">
        <f>+Données!B161</f>
        <v>Hermenches</v>
      </c>
      <c r="C161" s="235">
        <f>+Ecrêtage!C161</f>
        <v>9675.0074829931946</v>
      </c>
      <c r="D161" s="233"/>
      <c r="E161" s="235">
        <f>Données!AF161+Données!AG161+Données!AH161</f>
        <v>0</v>
      </c>
      <c r="F161" s="233">
        <f t="shared" si="17"/>
        <v>77400.059863945557</v>
      </c>
      <c r="G161" s="8">
        <f t="shared" si="18"/>
        <v>0</v>
      </c>
      <c r="H161" s="313">
        <f t="shared" si="19"/>
        <v>0</v>
      </c>
      <c r="J161" s="8">
        <f>Données!AN161</f>
        <v>0</v>
      </c>
      <c r="K161" s="213">
        <f t="shared" si="20"/>
        <v>9675.0074829931946</v>
      </c>
      <c r="L161" s="12">
        <f t="shared" si="21"/>
        <v>0</v>
      </c>
      <c r="M161" s="313">
        <f t="shared" si="22"/>
        <v>0</v>
      </c>
      <c r="O161" s="42">
        <f t="shared" si="23"/>
        <v>0</v>
      </c>
      <c r="P161" s="270"/>
      <c r="Q161" s="226"/>
      <c r="R161" s="226"/>
      <c r="S161" s="226"/>
      <c r="T161" s="226"/>
      <c r="U161" s="226"/>
      <c r="AF161" s="11"/>
      <c r="AG161" s="11"/>
      <c r="AH161" s="11"/>
      <c r="AI161" s="11"/>
      <c r="AJ161" s="11"/>
      <c r="AK161" s="11"/>
      <c r="AL161" s="11"/>
    </row>
    <row r="162" spans="1:38" x14ac:dyDescent="0.25">
      <c r="A162" s="38">
        <f>+Données!A162</f>
        <v>5674</v>
      </c>
      <c r="B162" s="247" t="str">
        <f>+Données!B162</f>
        <v>Lovatens</v>
      </c>
      <c r="C162" s="235">
        <f>+Ecrêtage!C162</f>
        <v>3538.9463999999998</v>
      </c>
      <c r="D162" s="233"/>
      <c r="E162" s="235">
        <f>Données!AF162+Données!AG162+Données!AH162</f>
        <v>0</v>
      </c>
      <c r="F162" s="233">
        <f t="shared" si="17"/>
        <v>28311.571199999998</v>
      </c>
      <c r="G162" s="8">
        <f t="shared" si="18"/>
        <v>0</v>
      </c>
      <c r="H162" s="313">
        <f t="shared" si="19"/>
        <v>0</v>
      </c>
      <c r="J162" s="8">
        <f>Données!AN162</f>
        <v>0</v>
      </c>
      <c r="K162" s="213">
        <f t="shared" si="20"/>
        <v>3538.9463999999998</v>
      </c>
      <c r="L162" s="12">
        <f t="shared" si="21"/>
        <v>0</v>
      </c>
      <c r="M162" s="313">
        <f t="shared" si="22"/>
        <v>0</v>
      </c>
      <c r="O162" s="42">
        <f t="shared" si="23"/>
        <v>0</v>
      </c>
      <c r="P162" s="270"/>
      <c r="Q162" s="226"/>
      <c r="R162" s="226"/>
      <c r="S162" s="226"/>
      <c r="T162" s="226"/>
      <c r="U162" s="226"/>
      <c r="AF162" s="11"/>
      <c r="AG162" s="11"/>
      <c r="AH162" s="11"/>
      <c r="AI162" s="11"/>
      <c r="AJ162" s="11"/>
      <c r="AK162" s="11"/>
      <c r="AL162" s="11"/>
    </row>
    <row r="163" spans="1:38" x14ac:dyDescent="0.25">
      <c r="A163" s="38">
        <f>+Données!A163</f>
        <v>5675</v>
      </c>
      <c r="B163" s="247" t="str">
        <f>+Données!B163</f>
        <v>Lucens</v>
      </c>
      <c r="C163" s="235">
        <f>+Ecrêtage!C163</f>
        <v>92803.818404185746</v>
      </c>
      <c r="D163" s="233"/>
      <c r="E163" s="235">
        <f>Données!AF163+Données!AG163+Données!AH163</f>
        <v>0</v>
      </c>
      <c r="F163" s="233">
        <f t="shared" si="17"/>
        <v>742430.54723348597</v>
      </c>
      <c r="G163" s="8">
        <f t="shared" si="18"/>
        <v>0</v>
      </c>
      <c r="H163" s="313">
        <f t="shared" si="19"/>
        <v>0</v>
      </c>
      <c r="J163" s="8">
        <f>Données!AN163</f>
        <v>0</v>
      </c>
      <c r="K163" s="213">
        <f t="shared" si="20"/>
        <v>92803.818404185746</v>
      </c>
      <c r="L163" s="12">
        <f t="shared" si="21"/>
        <v>0</v>
      </c>
      <c r="M163" s="313">
        <f t="shared" si="22"/>
        <v>0</v>
      </c>
      <c r="O163" s="42">
        <f t="shared" si="23"/>
        <v>0</v>
      </c>
      <c r="P163" s="270"/>
      <c r="Q163" s="226"/>
      <c r="R163" s="226"/>
      <c r="S163" s="226"/>
      <c r="T163" s="226"/>
      <c r="U163" s="226"/>
      <c r="AF163" s="11"/>
      <c r="AG163" s="11"/>
      <c r="AH163" s="11"/>
      <c r="AI163" s="11"/>
      <c r="AJ163" s="11"/>
      <c r="AK163" s="11"/>
      <c r="AL163" s="11"/>
    </row>
    <row r="164" spans="1:38" x14ac:dyDescent="0.25">
      <c r="A164" s="38">
        <f>+Données!A164</f>
        <v>5678</v>
      </c>
      <c r="B164" s="247" t="str">
        <f>+Données!B164</f>
        <v>Moudon</v>
      </c>
      <c r="C164" s="235">
        <f>+Ecrêtage!C164</f>
        <v>130675.7416551724</v>
      </c>
      <c r="D164" s="233"/>
      <c r="E164" s="235">
        <f>Données!AF164+Données!AG164+Données!AH164</f>
        <v>0</v>
      </c>
      <c r="F164" s="233">
        <f t="shared" si="17"/>
        <v>1045405.9332413792</v>
      </c>
      <c r="G164" s="8">
        <f t="shared" si="18"/>
        <v>0</v>
      </c>
      <c r="H164" s="313">
        <f t="shared" si="19"/>
        <v>0</v>
      </c>
      <c r="J164" s="8">
        <f>Données!AN164</f>
        <v>0</v>
      </c>
      <c r="K164" s="213">
        <f t="shared" si="20"/>
        <v>130675.7416551724</v>
      </c>
      <c r="L164" s="12">
        <f t="shared" si="21"/>
        <v>0</v>
      </c>
      <c r="M164" s="313">
        <f t="shared" si="22"/>
        <v>0</v>
      </c>
      <c r="O164" s="42">
        <f t="shared" si="23"/>
        <v>0</v>
      </c>
      <c r="P164" s="270"/>
      <c r="Q164" s="226"/>
      <c r="R164" s="226"/>
      <c r="S164" s="226"/>
      <c r="T164" s="226"/>
      <c r="U164" s="226"/>
      <c r="AF164" s="11"/>
      <c r="AG164" s="11"/>
      <c r="AH164" s="11"/>
      <c r="AI164" s="11"/>
      <c r="AJ164" s="11"/>
      <c r="AK164" s="11"/>
      <c r="AL164" s="11"/>
    </row>
    <row r="165" spans="1:38" x14ac:dyDescent="0.25">
      <c r="A165" s="38">
        <f>+Données!A165</f>
        <v>5680</v>
      </c>
      <c r="B165" s="247" t="str">
        <f>+Données!B165</f>
        <v>Ogens</v>
      </c>
      <c r="C165" s="235">
        <f>+Ecrêtage!C165</f>
        <v>10088.612863247865</v>
      </c>
      <c r="D165" s="233"/>
      <c r="E165" s="235">
        <f>Données!AF165+Données!AG165+Données!AH165</f>
        <v>0</v>
      </c>
      <c r="F165" s="233">
        <f t="shared" si="17"/>
        <v>80708.902905982919</v>
      </c>
      <c r="G165" s="8">
        <f t="shared" si="18"/>
        <v>0</v>
      </c>
      <c r="H165" s="313">
        <f t="shared" si="19"/>
        <v>0</v>
      </c>
      <c r="J165" s="8">
        <f>Données!AN165</f>
        <v>0</v>
      </c>
      <c r="K165" s="213">
        <f t="shared" si="20"/>
        <v>10088.612863247865</v>
      </c>
      <c r="L165" s="12">
        <f t="shared" si="21"/>
        <v>0</v>
      </c>
      <c r="M165" s="313">
        <f t="shared" si="22"/>
        <v>0</v>
      </c>
      <c r="O165" s="42">
        <f t="shared" si="23"/>
        <v>0</v>
      </c>
      <c r="P165" s="270"/>
      <c r="Q165" s="226"/>
      <c r="R165" s="226"/>
      <c r="S165" s="226"/>
      <c r="T165" s="226"/>
      <c r="U165" s="226"/>
      <c r="AF165" s="11"/>
      <c r="AG165" s="11"/>
      <c r="AH165" s="11"/>
      <c r="AI165" s="11"/>
      <c r="AJ165" s="11"/>
      <c r="AK165" s="11"/>
      <c r="AL165" s="11"/>
    </row>
    <row r="166" spans="1:38" x14ac:dyDescent="0.25">
      <c r="A166" s="38">
        <f>+Données!A166</f>
        <v>5683</v>
      </c>
      <c r="B166" s="247" t="str">
        <f>+Données!B166</f>
        <v>Prévonloup</v>
      </c>
      <c r="C166" s="235">
        <f>+Ecrêtage!C166</f>
        <v>5181.5891034482765</v>
      </c>
      <c r="D166" s="233"/>
      <c r="E166" s="235">
        <f>Données!AF166+Données!AG166+Données!AH166</f>
        <v>0</v>
      </c>
      <c r="F166" s="233">
        <f t="shared" si="17"/>
        <v>41452.712827586212</v>
      </c>
      <c r="G166" s="8">
        <f t="shared" si="18"/>
        <v>0</v>
      </c>
      <c r="H166" s="313">
        <f t="shared" si="19"/>
        <v>0</v>
      </c>
      <c r="J166" s="8">
        <f>Données!AN166</f>
        <v>0</v>
      </c>
      <c r="K166" s="213">
        <f t="shared" si="20"/>
        <v>5181.5891034482765</v>
      </c>
      <c r="L166" s="12">
        <f t="shared" si="21"/>
        <v>0</v>
      </c>
      <c r="M166" s="313">
        <f t="shared" si="22"/>
        <v>0</v>
      </c>
      <c r="O166" s="42">
        <f t="shared" si="23"/>
        <v>0</v>
      </c>
      <c r="P166" s="270"/>
      <c r="Q166" s="226"/>
      <c r="R166" s="226"/>
      <c r="S166" s="226"/>
      <c r="T166" s="226"/>
      <c r="U166" s="226"/>
      <c r="AF166" s="11"/>
      <c r="AG166" s="11"/>
      <c r="AH166" s="11"/>
      <c r="AI166" s="11"/>
      <c r="AJ166" s="11"/>
      <c r="AK166" s="11"/>
      <c r="AL166" s="11"/>
    </row>
    <row r="167" spans="1:38" x14ac:dyDescent="0.25">
      <c r="A167" s="38">
        <f>+Données!A167</f>
        <v>5684</v>
      </c>
      <c r="B167" s="247" t="str">
        <f>+Données!B167</f>
        <v>Rossenges</v>
      </c>
      <c r="C167" s="235">
        <f>+Ecrêtage!C167</f>
        <v>7033.3142000000007</v>
      </c>
      <c r="D167" s="233"/>
      <c r="E167" s="235">
        <f>Données!AF167+Données!AG167+Données!AH167</f>
        <v>0</v>
      </c>
      <c r="F167" s="233">
        <f t="shared" si="17"/>
        <v>56266.513600000006</v>
      </c>
      <c r="G167" s="8">
        <f t="shared" si="18"/>
        <v>0</v>
      </c>
      <c r="H167" s="313">
        <f t="shared" si="19"/>
        <v>0</v>
      </c>
      <c r="J167" s="8">
        <f>Données!AN167</f>
        <v>0</v>
      </c>
      <c r="K167" s="213">
        <f t="shared" si="20"/>
        <v>7033.3142000000007</v>
      </c>
      <c r="L167" s="12">
        <f t="shared" si="21"/>
        <v>0</v>
      </c>
      <c r="M167" s="313">
        <f t="shared" si="22"/>
        <v>0</v>
      </c>
      <c r="O167" s="42">
        <f t="shared" si="23"/>
        <v>0</v>
      </c>
      <c r="P167" s="270"/>
      <c r="Q167" s="226"/>
      <c r="R167" s="226"/>
      <c r="S167" s="226"/>
      <c r="T167" s="226"/>
      <c r="U167" s="226"/>
      <c r="AF167" s="11"/>
      <c r="AG167" s="11"/>
      <c r="AH167" s="11"/>
      <c r="AI167" s="11"/>
      <c r="AJ167" s="11"/>
      <c r="AK167" s="11"/>
      <c r="AL167" s="11"/>
    </row>
    <row r="168" spans="1:38" x14ac:dyDescent="0.25">
      <c r="A168" s="38">
        <f>+Données!A168</f>
        <v>5688</v>
      </c>
      <c r="B168" s="247" t="str">
        <f>+Données!B168</f>
        <v>Syens</v>
      </c>
      <c r="C168" s="235">
        <f>+Ecrêtage!C168</f>
        <v>5277.0104615384616</v>
      </c>
      <c r="D168" s="233"/>
      <c r="E168" s="235">
        <f>Données!AF168+Données!AG168+Données!AH168</f>
        <v>0</v>
      </c>
      <c r="F168" s="233">
        <f t="shared" si="17"/>
        <v>42216.083692307693</v>
      </c>
      <c r="G168" s="8">
        <f t="shared" si="18"/>
        <v>0</v>
      </c>
      <c r="H168" s="313">
        <f t="shared" si="19"/>
        <v>0</v>
      </c>
      <c r="J168" s="8">
        <f>Données!AN168</f>
        <v>0</v>
      </c>
      <c r="K168" s="213">
        <f t="shared" si="20"/>
        <v>5277.0104615384616</v>
      </c>
      <c r="L168" s="12">
        <f t="shared" si="21"/>
        <v>0</v>
      </c>
      <c r="M168" s="313">
        <f t="shared" si="22"/>
        <v>0</v>
      </c>
      <c r="O168" s="42">
        <f t="shared" si="23"/>
        <v>0</v>
      </c>
      <c r="P168" s="270"/>
      <c r="Q168" s="226"/>
      <c r="R168" s="226"/>
      <c r="S168" s="226"/>
      <c r="T168" s="226"/>
      <c r="U168" s="226"/>
      <c r="AF168" s="11"/>
      <c r="AG168" s="11"/>
      <c r="AH168" s="11"/>
      <c r="AI168" s="11"/>
      <c r="AJ168" s="11"/>
      <c r="AK168" s="11"/>
      <c r="AL168" s="11"/>
    </row>
    <row r="169" spans="1:38" x14ac:dyDescent="0.25">
      <c r="A169" s="38">
        <f>+Données!A169</f>
        <v>5690</v>
      </c>
      <c r="B169" s="247" t="str">
        <f>+Données!B169</f>
        <v>Villars-le-Comte</v>
      </c>
      <c r="C169" s="235">
        <f>+Ecrêtage!C169</f>
        <v>4331.3836666666666</v>
      </c>
      <c r="D169" s="233"/>
      <c r="E169" s="235">
        <f>Données!AF169+Données!AG169+Données!AH169</f>
        <v>0</v>
      </c>
      <c r="F169" s="233">
        <f t="shared" si="17"/>
        <v>34651.069333333333</v>
      </c>
      <c r="G169" s="8">
        <f t="shared" si="18"/>
        <v>0</v>
      </c>
      <c r="H169" s="313">
        <f t="shared" si="19"/>
        <v>0</v>
      </c>
      <c r="J169" s="8">
        <f>Données!AN169</f>
        <v>0</v>
      </c>
      <c r="K169" s="213">
        <f t="shared" si="20"/>
        <v>4331.3836666666666</v>
      </c>
      <c r="L169" s="12">
        <f t="shared" si="21"/>
        <v>0</v>
      </c>
      <c r="M169" s="313">
        <f t="shared" si="22"/>
        <v>0</v>
      </c>
      <c r="O169" s="42">
        <f t="shared" si="23"/>
        <v>0</v>
      </c>
      <c r="P169" s="270"/>
      <c r="Q169" s="226"/>
      <c r="R169" s="226"/>
      <c r="S169" s="226"/>
      <c r="T169" s="226"/>
      <c r="U169" s="226"/>
      <c r="AF169" s="11"/>
      <c r="AG169" s="11"/>
      <c r="AH169" s="11"/>
      <c r="AI169" s="11"/>
      <c r="AJ169" s="11"/>
      <c r="AK169" s="11"/>
      <c r="AL169" s="11"/>
    </row>
    <row r="170" spans="1:38" x14ac:dyDescent="0.25">
      <c r="A170" s="38">
        <f>+Données!A170</f>
        <v>5692</v>
      </c>
      <c r="B170" s="247" t="str">
        <f>+Données!B170</f>
        <v>Vucherens</v>
      </c>
      <c r="C170" s="235">
        <f>+Ecrêtage!C170</f>
        <v>18948.300519480523</v>
      </c>
      <c r="D170" s="233"/>
      <c r="E170" s="235">
        <f>Données!AF170+Données!AG170+Données!AH170</f>
        <v>0</v>
      </c>
      <c r="F170" s="233">
        <f t="shared" si="17"/>
        <v>151586.40415584418</v>
      </c>
      <c r="G170" s="8">
        <f t="shared" si="18"/>
        <v>0</v>
      </c>
      <c r="H170" s="313">
        <f t="shared" si="19"/>
        <v>0</v>
      </c>
      <c r="J170" s="8">
        <f>Données!AN170</f>
        <v>0</v>
      </c>
      <c r="K170" s="213">
        <f t="shared" si="20"/>
        <v>18948.300519480523</v>
      </c>
      <c r="L170" s="12">
        <f t="shared" si="21"/>
        <v>0</v>
      </c>
      <c r="M170" s="313">
        <f t="shared" si="22"/>
        <v>0</v>
      </c>
      <c r="O170" s="42">
        <f t="shared" si="23"/>
        <v>0</v>
      </c>
      <c r="P170" s="270"/>
      <c r="Q170" s="226"/>
      <c r="R170" s="226"/>
      <c r="S170" s="226"/>
      <c r="T170" s="226"/>
      <c r="U170" s="226"/>
      <c r="AF170" s="11"/>
      <c r="AG170" s="11"/>
      <c r="AH170" s="11"/>
      <c r="AI170" s="11"/>
      <c r="AJ170" s="11"/>
      <c r="AK170" s="11"/>
      <c r="AL170" s="11"/>
    </row>
    <row r="171" spans="1:38" x14ac:dyDescent="0.25">
      <c r="A171" s="38">
        <f>+Données!A171</f>
        <v>5693</v>
      </c>
      <c r="B171" s="247" t="str">
        <f>+Données!B171</f>
        <v>Montanaire</v>
      </c>
      <c r="C171" s="235">
        <f>+Ecrêtage!C171</f>
        <v>80078.044999999984</v>
      </c>
      <c r="D171" s="233"/>
      <c r="E171" s="235">
        <f>Données!AF171+Données!AG171+Données!AH171</f>
        <v>0</v>
      </c>
      <c r="F171" s="233">
        <f t="shared" si="17"/>
        <v>640624.35999999987</v>
      </c>
      <c r="G171" s="8">
        <f t="shared" si="18"/>
        <v>0</v>
      </c>
      <c r="H171" s="313">
        <f t="shared" si="19"/>
        <v>0</v>
      </c>
      <c r="J171" s="8">
        <f>Données!AN171</f>
        <v>0</v>
      </c>
      <c r="K171" s="213">
        <f t="shared" si="20"/>
        <v>80078.044999999984</v>
      </c>
      <c r="L171" s="12">
        <f t="shared" si="21"/>
        <v>0</v>
      </c>
      <c r="M171" s="313">
        <f t="shared" si="22"/>
        <v>0</v>
      </c>
      <c r="O171" s="42">
        <f t="shared" si="23"/>
        <v>0</v>
      </c>
      <c r="P171" s="270"/>
      <c r="Q171" s="226"/>
      <c r="R171" s="226"/>
      <c r="S171" s="226"/>
      <c r="T171" s="226"/>
      <c r="U171" s="226"/>
      <c r="AF171" s="11"/>
      <c r="AG171" s="11"/>
      <c r="AH171" s="11"/>
      <c r="AI171" s="11"/>
      <c r="AJ171" s="11"/>
      <c r="AK171" s="11"/>
      <c r="AL171" s="11"/>
    </row>
    <row r="172" spans="1:38" x14ac:dyDescent="0.25">
      <c r="A172" s="38">
        <f>+Données!A172</f>
        <v>5701</v>
      </c>
      <c r="B172" s="247" t="str">
        <f>+Données!B172</f>
        <v>Arnex-sur-Nyon</v>
      </c>
      <c r="C172" s="235">
        <f>+Ecrêtage!C172</f>
        <v>12996.826285714285</v>
      </c>
      <c r="D172" s="233"/>
      <c r="E172" s="235">
        <f>Données!AF172+Données!AG172+Données!AH172</f>
        <v>0</v>
      </c>
      <c r="F172" s="233">
        <f t="shared" si="17"/>
        <v>103974.61028571428</v>
      </c>
      <c r="G172" s="8">
        <f t="shared" si="18"/>
        <v>0</v>
      </c>
      <c r="H172" s="313">
        <f t="shared" si="19"/>
        <v>0</v>
      </c>
      <c r="J172" s="8">
        <f>Données!AN172</f>
        <v>0</v>
      </c>
      <c r="K172" s="213">
        <f t="shared" si="20"/>
        <v>12996.826285714285</v>
      </c>
      <c r="L172" s="12">
        <f t="shared" si="21"/>
        <v>0</v>
      </c>
      <c r="M172" s="313">
        <f t="shared" si="22"/>
        <v>0</v>
      </c>
      <c r="O172" s="42">
        <f t="shared" si="23"/>
        <v>0</v>
      </c>
      <c r="P172" s="270"/>
      <c r="Q172" s="226"/>
      <c r="R172" s="226"/>
      <c r="S172" s="226"/>
      <c r="T172" s="226"/>
      <c r="U172" s="226"/>
      <c r="AF172" s="11"/>
      <c r="AG172" s="11"/>
      <c r="AH172" s="11"/>
      <c r="AI172" s="11"/>
      <c r="AJ172" s="11"/>
      <c r="AK172" s="11"/>
      <c r="AL172" s="11"/>
    </row>
    <row r="173" spans="1:38" x14ac:dyDescent="0.25">
      <c r="A173" s="38">
        <f>+Données!A173</f>
        <v>5702</v>
      </c>
      <c r="B173" s="247" t="str">
        <f>+Données!B173</f>
        <v>Arzier-Le Muids</v>
      </c>
      <c r="C173" s="235">
        <f>+Ecrêtage!C173</f>
        <v>187984.45531250001</v>
      </c>
      <c r="D173" s="233"/>
      <c r="E173" s="235">
        <f>Données!AF173+Données!AG173+Données!AH173</f>
        <v>0</v>
      </c>
      <c r="F173" s="233">
        <f t="shared" si="17"/>
        <v>1503875.6425000001</v>
      </c>
      <c r="G173" s="8">
        <f t="shared" si="18"/>
        <v>0</v>
      </c>
      <c r="H173" s="313">
        <f t="shared" si="19"/>
        <v>0</v>
      </c>
      <c r="J173" s="8">
        <f>Données!AN173</f>
        <v>0</v>
      </c>
      <c r="K173" s="213">
        <f t="shared" si="20"/>
        <v>187984.45531250001</v>
      </c>
      <c r="L173" s="12">
        <f t="shared" si="21"/>
        <v>0</v>
      </c>
      <c r="M173" s="313">
        <f t="shared" si="22"/>
        <v>0</v>
      </c>
      <c r="O173" s="42">
        <f t="shared" si="23"/>
        <v>0</v>
      </c>
      <c r="P173" s="270"/>
      <c r="Q173" s="226"/>
      <c r="R173" s="226"/>
      <c r="S173" s="226"/>
      <c r="T173" s="226"/>
      <c r="U173" s="226"/>
      <c r="AF173" s="11"/>
      <c r="AG173" s="11"/>
      <c r="AH173" s="11"/>
      <c r="AI173" s="11"/>
      <c r="AJ173" s="11"/>
      <c r="AK173" s="11"/>
      <c r="AL173" s="11"/>
    </row>
    <row r="174" spans="1:38" x14ac:dyDescent="0.25">
      <c r="A174" s="38">
        <f>+Données!A174</f>
        <v>5703</v>
      </c>
      <c r="B174" s="247" t="str">
        <f>+Données!B174</f>
        <v>Bassins</v>
      </c>
      <c r="C174" s="235">
        <f>+Ecrêtage!C174</f>
        <v>65441.246975369453</v>
      </c>
      <c r="D174" s="233"/>
      <c r="E174" s="235">
        <f>Données!AF174+Données!AG174+Données!AH174</f>
        <v>0</v>
      </c>
      <c r="F174" s="233">
        <f t="shared" si="17"/>
        <v>523529.97580295563</v>
      </c>
      <c r="G174" s="8">
        <f t="shared" si="18"/>
        <v>0</v>
      </c>
      <c r="H174" s="313">
        <f t="shared" si="19"/>
        <v>0</v>
      </c>
      <c r="J174" s="8">
        <f>Données!AN174</f>
        <v>0</v>
      </c>
      <c r="K174" s="213">
        <f t="shared" si="20"/>
        <v>65441.246975369453</v>
      </c>
      <c r="L174" s="12">
        <f t="shared" si="21"/>
        <v>0</v>
      </c>
      <c r="M174" s="313">
        <f t="shared" si="22"/>
        <v>0</v>
      </c>
      <c r="O174" s="42">
        <f t="shared" si="23"/>
        <v>0</v>
      </c>
      <c r="P174" s="270"/>
      <c r="Q174" s="226"/>
      <c r="R174" s="226"/>
      <c r="S174" s="226"/>
      <c r="T174" s="226"/>
      <c r="U174" s="226"/>
      <c r="AF174" s="11"/>
      <c r="AG174" s="11"/>
      <c r="AH174" s="11"/>
      <c r="AI174" s="11"/>
      <c r="AJ174" s="11"/>
      <c r="AK174" s="11"/>
      <c r="AL174" s="11"/>
    </row>
    <row r="175" spans="1:38" x14ac:dyDescent="0.25">
      <c r="A175" s="38">
        <f>+Données!A175</f>
        <v>5704</v>
      </c>
      <c r="B175" s="247" t="str">
        <f>+Données!B175</f>
        <v>Begnins</v>
      </c>
      <c r="C175" s="235">
        <f>+Ecrêtage!C175</f>
        <v>129730.03685333332</v>
      </c>
      <c r="D175" s="233"/>
      <c r="E175" s="235">
        <f>Données!AF175+Données!AG175+Données!AH175</f>
        <v>0</v>
      </c>
      <c r="F175" s="233">
        <f t="shared" si="17"/>
        <v>1037840.2948266666</v>
      </c>
      <c r="G175" s="8">
        <f t="shared" si="18"/>
        <v>0</v>
      </c>
      <c r="H175" s="313">
        <f t="shared" si="19"/>
        <v>0</v>
      </c>
      <c r="J175" s="8">
        <f>Données!AN175</f>
        <v>0</v>
      </c>
      <c r="K175" s="213">
        <f t="shared" si="20"/>
        <v>129730.03685333332</v>
      </c>
      <c r="L175" s="12">
        <f t="shared" si="21"/>
        <v>0</v>
      </c>
      <c r="M175" s="313">
        <f t="shared" si="22"/>
        <v>0</v>
      </c>
      <c r="O175" s="42">
        <f t="shared" si="23"/>
        <v>0</v>
      </c>
      <c r="P175" s="270"/>
      <c r="Q175" s="226"/>
      <c r="R175" s="226"/>
      <c r="S175" s="226"/>
      <c r="T175" s="226"/>
      <c r="U175" s="226"/>
      <c r="AF175" s="11"/>
      <c r="AG175" s="11"/>
      <c r="AH175" s="11"/>
      <c r="AI175" s="11"/>
      <c r="AJ175" s="11"/>
      <c r="AK175" s="11"/>
      <c r="AL175" s="11"/>
    </row>
    <row r="176" spans="1:38" x14ac:dyDescent="0.25">
      <c r="A176" s="38">
        <f>+Données!A176</f>
        <v>5705</v>
      </c>
      <c r="B176" s="247" t="str">
        <f>+Données!B176</f>
        <v>Bogis-Bossey</v>
      </c>
      <c r="C176" s="235">
        <f>+Ecrêtage!C176</f>
        <v>51044.070201342278</v>
      </c>
      <c r="D176" s="233"/>
      <c r="E176" s="235">
        <f>Données!AF176+Données!AG176+Données!AH176</f>
        <v>0</v>
      </c>
      <c r="F176" s="233">
        <f t="shared" si="17"/>
        <v>408352.56161073822</v>
      </c>
      <c r="G176" s="8">
        <f t="shared" si="18"/>
        <v>0</v>
      </c>
      <c r="H176" s="313">
        <f t="shared" si="19"/>
        <v>0</v>
      </c>
      <c r="J176" s="8">
        <f>Données!AN176</f>
        <v>0</v>
      </c>
      <c r="K176" s="213">
        <f t="shared" si="20"/>
        <v>51044.070201342278</v>
      </c>
      <c r="L176" s="12">
        <f t="shared" si="21"/>
        <v>0</v>
      </c>
      <c r="M176" s="313">
        <f t="shared" si="22"/>
        <v>0</v>
      </c>
      <c r="O176" s="42">
        <f t="shared" si="23"/>
        <v>0</v>
      </c>
      <c r="P176" s="270"/>
      <c r="Q176" s="226"/>
      <c r="R176" s="226"/>
      <c r="S176" s="226"/>
      <c r="T176" s="226"/>
      <c r="U176" s="226"/>
      <c r="AF176" s="11"/>
      <c r="AG176" s="11"/>
      <c r="AH176" s="11"/>
      <c r="AI176" s="11"/>
      <c r="AJ176" s="11"/>
      <c r="AK176" s="11"/>
      <c r="AL176" s="11"/>
    </row>
    <row r="177" spans="1:38" x14ac:dyDescent="0.25">
      <c r="A177" s="38">
        <f>+Données!A177</f>
        <v>5706</v>
      </c>
      <c r="B177" s="247" t="str">
        <f>+Données!B177</f>
        <v>Borex</v>
      </c>
      <c r="C177" s="235">
        <f>+Ecrêtage!C177</f>
        <v>156857.9796491228</v>
      </c>
      <c r="D177" s="233"/>
      <c r="E177" s="235">
        <f>Données!AF177+Données!AG177+Données!AH177</f>
        <v>0</v>
      </c>
      <c r="F177" s="233">
        <f t="shared" si="17"/>
        <v>1254863.8371929824</v>
      </c>
      <c r="G177" s="8">
        <f t="shared" si="18"/>
        <v>0</v>
      </c>
      <c r="H177" s="313">
        <f t="shared" si="19"/>
        <v>0</v>
      </c>
      <c r="J177" s="8">
        <f>Données!AN177</f>
        <v>0</v>
      </c>
      <c r="K177" s="213">
        <f t="shared" si="20"/>
        <v>156857.9796491228</v>
      </c>
      <c r="L177" s="12">
        <f t="shared" si="21"/>
        <v>0</v>
      </c>
      <c r="M177" s="313">
        <f t="shared" si="22"/>
        <v>0</v>
      </c>
      <c r="O177" s="42">
        <f t="shared" si="23"/>
        <v>0</v>
      </c>
      <c r="P177" s="270"/>
      <c r="Q177" s="226"/>
      <c r="R177" s="226"/>
      <c r="S177" s="226"/>
      <c r="T177" s="226"/>
      <c r="U177" s="226"/>
      <c r="AF177" s="11"/>
      <c r="AG177" s="11"/>
      <c r="AH177" s="11"/>
      <c r="AI177" s="11"/>
      <c r="AJ177" s="11"/>
      <c r="AK177" s="11"/>
      <c r="AL177" s="11"/>
    </row>
    <row r="178" spans="1:38" x14ac:dyDescent="0.25">
      <c r="A178" s="38">
        <f>+Données!A178</f>
        <v>5707</v>
      </c>
      <c r="B178" s="247" t="str">
        <f>+Données!B178</f>
        <v>Chavannes-de-Bogis</v>
      </c>
      <c r="C178" s="235">
        <f>+Ecrêtage!C178</f>
        <v>86804.197126436775</v>
      </c>
      <c r="D178" s="233"/>
      <c r="E178" s="235">
        <f>Données!AF178+Données!AG178+Données!AH178</f>
        <v>0</v>
      </c>
      <c r="F178" s="233">
        <f t="shared" si="17"/>
        <v>694433.5770114942</v>
      </c>
      <c r="G178" s="8">
        <f t="shared" si="18"/>
        <v>0</v>
      </c>
      <c r="H178" s="313">
        <f t="shared" si="19"/>
        <v>0</v>
      </c>
      <c r="J178" s="8">
        <f>Données!AN178</f>
        <v>0</v>
      </c>
      <c r="K178" s="213">
        <f t="shared" si="20"/>
        <v>86804.197126436775</v>
      </c>
      <c r="L178" s="12">
        <f t="shared" si="21"/>
        <v>0</v>
      </c>
      <c r="M178" s="313">
        <f t="shared" si="22"/>
        <v>0</v>
      </c>
      <c r="O178" s="42">
        <f t="shared" si="23"/>
        <v>0</v>
      </c>
      <c r="P178" s="270"/>
      <c r="Q178" s="226"/>
      <c r="R178" s="226"/>
      <c r="S178" s="226"/>
      <c r="T178" s="226"/>
      <c r="U178" s="226"/>
      <c r="AF178" s="11"/>
      <c r="AG178" s="11"/>
      <c r="AH178" s="11"/>
      <c r="AI178" s="11"/>
      <c r="AJ178" s="11"/>
      <c r="AK178" s="11"/>
      <c r="AL178" s="11"/>
    </row>
    <row r="179" spans="1:38" x14ac:dyDescent="0.25">
      <c r="A179" s="38">
        <f>+Données!A179</f>
        <v>5708</v>
      </c>
      <c r="B179" s="247" t="str">
        <f>+Données!B179</f>
        <v>Chavannes-des-Bois</v>
      </c>
      <c r="C179" s="235">
        <f>+Ecrêtage!C179</f>
        <v>68806.761617647047</v>
      </c>
      <c r="D179" s="233"/>
      <c r="E179" s="235">
        <f>Données!AF179+Données!AG179+Données!AH179</f>
        <v>0</v>
      </c>
      <c r="F179" s="233">
        <f t="shared" si="17"/>
        <v>550454.09294117638</v>
      </c>
      <c r="G179" s="8">
        <f t="shared" si="18"/>
        <v>0</v>
      </c>
      <c r="H179" s="313">
        <f t="shared" si="19"/>
        <v>0</v>
      </c>
      <c r="J179" s="8">
        <f>Données!AN179</f>
        <v>0</v>
      </c>
      <c r="K179" s="213">
        <f t="shared" si="20"/>
        <v>68806.761617647047</v>
      </c>
      <c r="L179" s="12">
        <f t="shared" si="21"/>
        <v>0</v>
      </c>
      <c r="M179" s="313">
        <f t="shared" si="22"/>
        <v>0</v>
      </c>
      <c r="O179" s="42">
        <f t="shared" si="23"/>
        <v>0</v>
      </c>
      <c r="P179" s="270"/>
      <c r="Q179" s="226"/>
      <c r="R179" s="226"/>
      <c r="S179" s="226"/>
      <c r="T179" s="226"/>
      <c r="U179" s="226"/>
      <c r="AF179" s="11"/>
      <c r="AG179" s="11"/>
      <c r="AH179" s="11"/>
      <c r="AI179" s="11"/>
      <c r="AJ179" s="11"/>
      <c r="AK179" s="11"/>
      <c r="AL179" s="11"/>
    </row>
    <row r="180" spans="1:38" x14ac:dyDescent="0.25">
      <c r="A180" s="38">
        <f>+Données!A180</f>
        <v>5709</v>
      </c>
      <c r="B180" s="247" t="str">
        <f>+Données!B180</f>
        <v>Chéserex</v>
      </c>
      <c r="C180" s="235">
        <f>+Ecrêtage!C180</f>
        <v>90983.63491228073</v>
      </c>
      <c r="D180" s="233"/>
      <c r="E180" s="235">
        <f>Données!AF180+Données!AG180+Données!AH180</f>
        <v>0</v>
      </c>
      <c r="F180" s="233">
        <f t="shared" si="17"/>
        <v>727869.07929824584</v>
      </c>
      <c r="G180" s="8">
        <f t="shared" si="18"/>
        <v>0</v>
      </c>
      <c r="H180" s="313">
        <f t="shared" si="19"/>
        <v>0</v>
      </c>
      <c r="J180" s="8">
        <f>Données!AN180</f>
        <v>0</v>
      </c>
      <c r="K180" s="213">
        <f t="shared" si="20"/>
        <v>90983.63491228073</v>
      </c>
      <c r="L180" s="12">
        <f t="shared" si="21"/>
        <v>0</v>
      </c>
      <c r="M180" s="313">
        <f t="shared" si="22"/>
        <v>0</v>
      </c>
      <c r="O180" s="42">
        <f t="shared" si="23"/>
        <v>0</v>
      </c>
      <c r="P180" s="270"/>
      <c r="Q180" s="226"/>
      <c r="R180" s="226"/>
      <c r="S180" s="226"/>
      <c r="T180" s="226"/>
      <c r="U180" s="226"/>
      <c r="AF180" s="11"/>
      <c r="AG180" s="11"/>
      <c r="AH180" s="11"/>
      <c r="AI180" s="11"/>
      <c r="AJ180" s="11"/>
      <c r="AK180" s="11"/>
      <c r="AL180" s="11"/>
    </row>
    <row r="181" spans="1:38" x14ac:dyDescent="0.25">
      <c r="A181" s="38">
        <f>+Données!A181</f>
        <v>5710</v>
      </c>
      <c r="B181" s="247" t="str">
        <f>+Données!B181</f>
        <v>Coinsins</v>
      </c>
      <c r="C181" s="235">
        <f>+Ecrêtage!C181</f>
        <v>33549.646470588232</v>
      </c>
      <c r="D181" s="233"/>
      <c r="E181" s="235">
        <f>Données!AF181+Données!AG181+Données!AH181</f>
        <v>0</v>
      </c>
      <c r="F181" s="233">
        <f t="shared" si="17"/>
        <v>268397.17176470585</v>
      </c>
      <c r="G181" s="8">
        <f t="shared" si="18"/>
        <v>0</v>
      </c>
      <c r="H181" s="313">
        <f t="shared" si="19"/>
        <v>0</v>
      </c>
      <c r="J181" s="8">
        <f>Données!AN181</f>
        <v>0</v>
      </c>
      <c r="K181" s="213">
        <f t="shared" si="20"/>
        <v>33549.646470588232</v>
      </c>
      <c r="L181" s="12">
        <f t="shared" si="21"/>
        <v>0</v>
      </c>
      <c r="M181" s="313">
        <f t="shared" si="22"/>
        <v>0</v>
      </c>
      <c r="O181" s="42">
        <f t="shared" si="23"/>
        <v>0</v>
      </c>
      <c r="P181" s="270"/>
      <c r="Q181" s="226"/>
      <c r="R181" s="226"/>
      <c r="S181" s="226"/>
      <c r="T181" s="226"/>
      <c r="U181" s="226"/>
      <c r="AF181" s="11"/>
      <c r="AG181" s="11"/>
      <c r="AH181" s="11"/>
      <c r="AI181" s="11"/>
      <c r="AJ181" s="11"/>
      <c r="AK181" s="11"/>
      <c r="AL181" s="11"/>
    </row>
    <row r="182" spans="1:38" x14ac:dyDescent="0.25">
      <c r="A182" s="38">
        <f>+Données!A182</f>
        <v>5711</v>
      </c>
      <c r="B182" s="247" t="str">
        <f>+Données!B182</f>
        <v>Commugny</v>
      </c>
      <c r="C182" s="235">
        <f>+Ecrêtage!C182</f>
        <v>305461.09360323887</v>
      </c>
      <c r="D182" s="233"/>
      <c r="E182" s="235">
        <f>Données!AF182+Données!AG182+Données!AH182</f>
        <v>0</v>
      </c>
      <c r="F182" s="233">
        <f t="shared" si="17"/>
        <v>2443688.748825911</v>
      </c>
      <c r="G182" s="8">
        <f t="shared" si="18"/>
        <v>0</v>
      </c>
      <c r="H182" s="313">
        <f t="shared" si="19"/>
        <v>0</v>
      </c>
      <c r="J182" s="8">
        <f>Données!AN182</f>
        <v>0</v>
      </c>
      <c r="K182" s="213">
        <f t="shared" si="20"/>
        <v>305461.09360323887</v>
      </c>
      <c r="L182" s="12">
        <f t="shared" si="21"/>
        <v>0</v>
      </c>
      <c r="M182" s="313">
        <f t="shared" si="22"/>
        <v>0</v>
      </c>
      <c r="O182" s="42">
        <f t="shared" si="23"/>
        <v>0</v>
      </c>
      <c r="P182" s="270"/>
      <c r="Q182" s="226"/>
      <c r="R182" s="226"/>
      <c r="S182" s="226"/>
      <c r="T182" s="226"/>
      <c r="U182" s="226"/>
      <c r="AF182" s="11"/>
      <c r="AG182" s="11"/>
      <c r="AH182" s="11"/>
      <c r="AI182" s="11"/>
      <c r="AJ182" s="11"/>
      <c r="AK182" s="11"/>
      <c r="AL182" s="11"/>
    </row>
    <row r="183" spans="1:38" x14ac:dyDescent="0.25">
      <c r="A183" s="38">
        <f>+Données!A183</f>
        <v>5712</v>
      </c>
      <c r="B183" s="247" t="str">
        <f>+Données!B183</f>
        <v>Coppet</v>
      </c>
      <c r="C183" s="235">
        <f>+Ecrêtage!C183</f>
        <v>422782.58779874217</v>
      </c>
      <c r="D183" s="233"/>
      <c r="E183" s="235">
        <f>Données!AF183+Données!AG183+Données!AH183</f>
        <v>0</v>
      </c>
      <c r="F183" s="233">
        <f t="shared" si="17"/>
        <v>3382260.7023899374</v>
      </c>
      <c r="G183" s="8">
        <f t="shared" si="18"/>
        <v>0</v>
      </c>
      <c r="H183" s="313">
        <f t="shared" si="19"/>
        <v>0</v>
      </c>
      <c r="J183" s="8">
        <f>Données!AN183</f>
        <v>0</v>
      </c>
      <c r="K183" s="213">
        <f t="shared" si="20"/>
        <v>422782.58779874217</v>
      </c>
      <c r="L183" s="12">
        <f t="shared" si="21"/>
        <v>0</v>
      </c>
      <c r="M183" s="313">
        <f t="shared" si="22"/>
        <v>0</v>
      </c>
      <c r="O183" s="42">
        <f t="shared" si="23"/>
        <v>0</v>
      </c>
      <c r="P183" s="270"/>
      <c r="Q183" s="226"/>
      <c r="R183" s="226"/>
      <c r="S183" s="226"/>
      <c r="T183" s="226"/>
      <c r="U183" s="226"/>
      <c r="AF183" s="11"/>
      <c r="AG183" s="11"/>
      <c r="AH183" s="11"/>
      <c r="AI183" s="11"/>
      <c r="AJ183" s="11"/>
      <c r="AK183" s="11"/>
      <c r="AL183" s="11"/>
    </row>
    <row r="184" spans="1:38" x14ac:dyDescent="0.25">
      <c r="A184" s="38">
        <f>+Données!A184</f>
        <v>5713</v>
      </c>
      <c r="B184" s="247" t="str">
        <f>+Données!B184</f>
        <v>Crans</v>
      </c>
      <c r="C184" s="235">
        <f>+Ecrêtage!C184</f>
        <v>284269.17355932208</v>
      </c>
      <c r="D184" s="233"/>
      <c r="E184" s="235">
        <f>Données!AF184+Données!AG184+Données!AH184</f>
        <v>0</v>
      </c>
      <c r="F184" s="233">
        <f t="shared" si="17"/>
        <v>2274153.3884745766</v>
      </c>
      <c r="G184" s="8">
        <f t="shared" si="18"/>
        <v>0</v>
      </c>
      <c r="H184" s="313">
        <f t="shared" si="19"/>
        <v>0</v>
      </c>
      <c r="J184" s="8">
        <f>Données!AN184</f>
        <v>0</v>
      </c>
      <c r="K184" s="213">
        <f t="shared" si="20"/>
        <v>284269.17355932208</v>
      </c>
      <c r="L184" s="12">
        <f t="shared" si="21"/>
        <v>0</v>
      </c>
      <c r="M184" s="313">
        <f t="shared" si="22"/>
        <v>0</v>
      </c>
      <c r="O184" s="42">
        <f t="shared" si="23"/>
        <v>0</v>
      </c>
      <c r="P184" s="270"/>
      <c r="Q184" s="226"/>
      <c r="R184" s="226"/>
      <c r="S184" s="226"/>
      <c r="T184" s="226"/>
      <c r="U184" s="226"/>
      <c r="AF184" s="11"/>
      <c r="AG184" s="11"/>
      <c r="AH184" s="11"/>
      <c r="AI184" s="11"/>
      <c r="AJ184" s="11"/>
      <c r="AK184" s="11"/>
      <c r="AL184" s="11"/>
    </row>
    <row r="185" spans="1:38" x14ac:dyDescent="0.25">
      <c r="A185" s="38">
        <f>+Données!A185</f>
        <v>5714</v>
      </c>
      <c r="B185" s="247" t="str">
        <f>+Données!B185</f>
        <v>Crassier</v>
      </c>
      <c r="C185" s="235">
        <f>+Ecrêtage!C185</f>
        <v>62524.655789473691</v>
      </c>
      <c r="D185" s="233"/>
      <c r="E185" s="235">
        <f>Données!AF185+Données!AG185+Données!AH185</f>
        <v>0</v>
      </c>
      <c r="F185" s="233">
        <f t="shared" si="17"/>
        <v>500197.24631578953</v>
      </c>
      <c r="G185" s="8">
        <f t="shared" si="18"/>
        <v>0</v>
      </c>
      <c r="H185" s="313">
        <f t="shared" si="19"/>
        <v>0</v>
      </c>
      <c r="J185" s="8">
        <f>Données!AN185</f>
        <v>0</v>
      </c>
      <c r="K185" s="213">
        <f t="shared" si="20"/>
        <v>62524.655789473691</v>
      </c>
      <c r="L185" s="12">
        <f t="shared" si="21"/>
        <v>0</v>
      </c>
      <c r="M185" s="313">
        <f t="shared" si="22"/>
        <v>0</v>
      </c>
      <c r="O185" s="42">
        <f t="shared" si="23"/>
        <v>0</v>
      </c>
      <c r="P185" s="270"/>
      <c r="Q185" s="226"/>
      <c r="R185" s="226"/>
      <c r="S185" s="226"/>
      <c r="T185" s="226"/>
      <c r="U185" s="226"/>
      <c r="AF185" s="11"/>
      <c r="AG185" s="11"/>
      <c r="AH185" s="11"/>
      <c r="AI185" s="11"/>
      <c r="AJ185" s="11"/>
      <c r="AK185" s="11"/>
      <c r="AL185" s="11"/>
    </row>
    <row r="186" spans="1:38" x14ac:dyDescent="0.25">
      <c r="A186" s="38">
        <f>+Données!A186</f>
        <v>5715</v>
      </c>
      <c r="B186" s="247" t="str">
        <f>+Données!B186</f>
        <v>Duillier</v>
      </c>
      <c r="C186" s="235">
        <f>+Ecrêtage!C186</f>
        <v>60550.113787878792</v>
      </c>
      <c r="D186" s="233"/>
      <c r="E186" s="235">
        <f>Données!AF186+Données!AG186+Données!AH186</f>
        <v>0</v>
      </c>
      <c r="F186" s="233">
        <f t="shared" si="17"/>
        <v>484400.91030303034</v>
      </c>
      <c r="G186" s="8">
        <f t="shared" si="18"/>
        <v>0</v>
      </c>
      <c r="H186" s="313">
        <f t="shared" si="19"/>
        <v>0</v>
      </c>
      <c r="J186" s="8">
        <f>Données!AN186</f>
        <v>0</v>
      </c>
      <c r="K186" s="213">
        <f t="shared" si="20"/>
        <v>60550.113787878792</v>
      </c>
      <c r="L186" s="12">
        <f t="shared" si="21"/>
        <v>0</v>
      </c>
      <c r="M186" s="313">
        <f t="shared" si="22"/>
        <v>0</v>
      </c>
      <c r="O186" s="42">
        <f t="shared" si="23"/>
        <v>0</v>
      </c>
      <c r="P186" s="270"/>
      <c r="Q186" s="226"/>
      <c r="R186" s="226"/>
      <c r="S186" s="226"/>
      <c r="T186" s="226"/>
      <c r="U186" s="226"/>
      <c r="AF186" s="11"/>
      <c r="AG186" s="11"/>
      <c r="AH186" s="11"/>
      <c r="AI186" s="11"/>
      <c r="AJ186" s="11"/>
      <c r="AK186" s="11"/>
      <c r="AL186" s="11"/>
    </row>
    <row r="187" spans="1:38" x14ac:dyDescent="0.25">
      <c r="A187" s="38">
        <f>+Données!A187</f>
        <v>5716</v>
      </c>
      <c r="B187" s="247" t="str">
        <f>+Données!B187</f>
        <v>Eysins</v>
      </c>
      <c r="C187" s="235">
        <f>+Ecrêtage!C187</f>
        <v>232571.69630252098</v>
      </c>
      <c r="D187" s="233"/>
      <c r="E187" s="235">
        <f>Données!AF187+Données!AG187+Données!AH187</f>
        <v>0</v>
      </c>
      <c r="F187" s="233">
        <f t="shared" si="17"/>
        <v>1860573.5704201679</v>
      </c>
      <c r="G187" s="8">
        <f t="shared" si="18"/>
        <v>0</v>
      </c>
      <c r="H187" s="313">
        <f t="shared" si="19"/>
        <v>0</v>
      </c>
      <c r="J187" s="8">
        <f>Données!AN187</f>
        <v>0</v>
      </c>
      <c r="K187" s="213">
        <f t="shared" si="20"/>
        <v>232571.69630252098</v>
      </c>
      <c r="L187" s="12">
        <f t="shared" si="21"/>
        <v>0</v>
      </c>
      <c r="M187" s="313">
        <f t="shared" si="22"/>
        <v>0</v>
      </c>
      <c r="O187" s="42">
        <f t="shared" si="23"/>
        <v>0</v>
      </c>
      <c r="P187" s="270"/>
      <c r="Q187" s="226"/>
      <c r="R187" s="226"/>
      <c r="S187" s="226"/>
      <c r="T187" s="226"/>
      <c r="U187" s="226"/>
      <c r="AF187" s="11"/>
      <c r="AG187" s="11"/>
      <c r="AH187" s="11"/>
      <c r="AI187" s="11"/>
      <c r="AJ187" s="11"/>
      <c r="AK187" s="11"/>
      <c r="AL187" s="11"/>
    </row>
    <row r="188" spans="1:38" x14ac:dyDescent="0.25">
      <c r="A188" s="38">
        <f>+Données!A188</f>
        <v>5717</v>
      </c>
      <c r="B188" s="247" t="str">
        <f>+Données!B188</f>
        <v>Founex</v>
      </c>
      <c r="C188" s="235">
        <f>+Ecrêtage!C188</f>
        <v>361582.97087719297</v>
      </c>
      <c r="D188" s="233"/>
      <c r="E188" s="235">
        <f>Données!AF188+Données!AG188+Données!AH188</f>
        <v>0</v>
      </c>
      <c r="F188" s="233">
        <f t="shared" si="17"/>
        <v>2892663.7670175438</v>
      </c>
      <c r="G188" s="8">
        <f t="shared" si="18"/>
        <v>0</v>
      </c>
      <c r="H188" s="313">
        <f t="shared" si="19"/>
        <v>0</v>
      </c>
      <c r="J188" s="8">
        <f>Données!AN188</f>
        <v>0</v>
      </c>
      <c r="K188" s="213">
        <f t="shared" si="20"/>
        <v>361582.97087719297</v>
      </c>
      <c r="L188" s="12">
        <f t="shared" si="21"/>
        <v>0</v>
      </c>
      <c r="M188" s="313">
        <f t="shared" si="22"/>
        <v>0</v>
      </c>
      <c r="O188" s="42">
        <f t="shared" si="23"/>
        <v>0</v>
      </c>
      <c r="P188" s="270"/>
      <c r="Q188" s="226"/>
      <c r="R188" s="226"/>
      <c r="S188" s="226"/>
      <c r="T188" s="226"/>
      <c r="U188" s="226"/>
      <c r="AF188" s="11"/>
      <c r="AG188" s="11"/>
      <c r="AH188" s="11"/>
      <c r="AI188" s="11"/>
      <c r="AJ188" s="11"/>
      <c r="AK188" s="11"/>
      <c r="AL188" s="11"/>
    </row>
    <row r="189" spans="1:38" s="154" customFormat="1" x14ac:dyDescent="0.25">
      <c r="A189" s="38">
        <f>+Données!A189</f>
        <v>5718</v>
      </c>
      <c r="B189" s="247" t="str">
        <f>+Données!B189</f>
        <v>Genolier</v>
      </c>
      <c r="C189" s="235">
        <f>+Ecrêtage!C189</f>
        <v>212699.2265454545</v>
      </c>
      <c r="D189" s="233"/>
      <c r="E189" s="235">
        <f>Données!AF189+Données!AG189+Données!AH189</f>
        <v>0</v>
      </c>
      <c r="F189" s="233">
        <f t="shared" si="17"/>
        <v>1701593.812363636</v>
      </c>
      <c r="G189" s="8">
        <f t="shared" si="18"/>
        <v>0</v>
      </c>
      <c r="H189" s="313">
        <f t="shared" si="19"/>
        <v>0</v>
      </c>
      <c r="I189" s="236"/>
      <c r="J189" s="8">
        <f>Données!AN189</f>
        <v>0</v>
      </c>
      <c r="K189" s="335">
        <f t="shared" si="20"/>
        <v>212699.2265454545</v>
      </c>
      <c r="L189" s="1">
        <f t="shared" si="21"/>
        <v>0</v>
      </c>
      <c r="M189" s="313">
        <f t="shared" si="22"/>
        <v>0</v>
      </c>
      <c r="N189" s="236"/>
      <c r="O189" s="42">
        <f t="shared" si="23"/>
        <v>0</v>
      </c>
      <c r="P189" s="270"/>
      <c r="Q189" s="226"/>
      <c r="R189" s="226"/>
      <c r="S189" s="226"/>
      <c r="T189" s="226"/>
      <c r="U189" s="226"/>
      <c r="V189" s="217"/>
      <c r="W189" s="217"/>
      <c r="X189" s="217"/>
      <c r="Y189" s="217"/>
      <c r="Z189" s="217"/>
      <c r="AA189" s="217"/>
      <c r="AB189" s="217"/>
      <c r="AC189" s="217"/>
      <c r="AD189" s="217"/>
      <c r="AE189" s="217"/>
    </row>
    <row r="190" spans="1:38" x14ac:dyDescent="0.25">
      <c r="A190" s="38">
        <f>+Données!A190</f>
        <v>5719</v>
      </c>
      <c r="B190" s="247" t="str">
        <f>+Données!B190</f>
        <v>Gingins</v>
      </c>
      <c r="C190" s="235">
        <f>+Ecrêtage!C190</f>
        <v>119943.29911111109</v>
      </c>
      <c r="D190" s="233"/>
      <c r="E190" s="235">
        <f>Données!AF190+Données!AG190+Données!AH190</f>
        <v>0</v>
      </c>
      <c r="F190" s="233">
        <f t="shared" si="17"/>
        <v>959546.39288888872</v>
      </c>
      <c r="G190" s="8">
        <f t="shared" si="18"/>
        <v>0</v>
      </c>
      <c r="H190" s="313">
        <f t="shared" si="19"/>
        <v>0</v>
      </c>
      <c r="J190" s="8">
        <f>Données!AN190</f>
        <v>0</v>
      </c>
      <c r="K190" s="213">
        <f t="shared" si="20"/>
        <v>119943.29911111109</v>
      </c>
      <c r="L190" s="12">
        <f t="shared" si="21"/>
        <v>0</v>
      </c>
      <c r="M190" s="313">
        <f t="shared" si="22"/>
        <v>0</v>
      </c>
      <c r="O190" s="42">
        <f t="shared" si="23"/>
        <v>0</v>
      </c>
      <c r="P190" s="270"/>
      <c r="Q190" s="226"/>
      <c r="R190" s="226"/>
      <c r="S190" s="226"/>
      <c r="T190" s="226"/>
      <c r="U190" s="226"/>
      <c r="AF190" s="11"/>
      <c r="AG190" s="11"/>
      <c r="AH190" s="11"/>
      <c r="AI190" s="11"/>
      <c r="AJ190" s="11"/>
      <c r="AK190" s="11"/>
      <c r="AL190" s="11"/>
    </row>
    <row r="191" spans="1:38" x14ac:dyDescent="0.25">
      <c r="A191" s="38">
        <f>+Données!A191</f>
        <v>5720</v>
      </c>
      <c r="B191" s="247" t="str">
        <f>+Données!B191</f>
        <v>Givrins</v>
      </c>
      <c r="C191" s="235">
        <f>+Ecrêtage!C191</f>
        <v>84868.432139303477</v>
      </c>
      <c r="D191" s="233"/>
      <c r="E191" s="235">
        <f>Données!AF191+Données!AG191+Données!AH191</f>
        <v>0</v>
      </c>
      <c r="F191" s="233">
        <f t="shared" si="17"/>
        <v>678947.45711442782</v>
      </c>
      <c r="G191" s="8">
        <f t="shared" si="18"/>
        <v>0</v>
      </c>
      <c r="H191" s="313">
        <f t="shared" si="19"/>
        <v>0</v>
      </c>
      <c r="J191" s="8">
        <f>Données!AN191</f>
        <v>0</v>
      </c>
      <c r="K191" s="213">
        <f t="shared" si="20"/>
        <v>84868.432139303477</v>
      </c>
      <c r="L191" s="12">
        <f t="shared" si="21"/>
        <v>0</v>
      </c>
      <c r="M191" s="313">
        <f t="shared" si="22"/>
        <v>0</v>
      </c>
      <c r="O191" s="42">
        <f t="shared" si="23"/>
        <v>0</v>
      </c>
      <c r="P191" s="270"/>
      <c r="Q191" s="226"/>
      <c r="R191" s="226"/>
      <c r="S191" s="226"/>
      <c r="T191" s="226"/>
      <c r="U191" s="226"/>
      <c r="AF191" s="11"/>
      <c r="AG191" s="11"/>
      <c r="AH191" s="11"/>
      <c r="AI191" s="11"/>
      <c r="AJ191" s="11"/>
      <c r="AK191" s="11"/>
      <c r="AL191" s="11"/>
    </row>
    <row r="192" spans="1:38" x14ac:dyDescent="0.25">
      <c r="A192" s="38">
        <f>+Données!A192</f>
        <v>5721</v>
      </c>
      <c r="B192" s="247" t="str">
        <f>+Données!B192</f>
        <v>Gland</v>
      </c>
      <c r="C192" s="235">
        <f>+Ecrêtage!C192</f>
        <v>688985.30491803284</v>
      </c>
      <c r="D192" s="233"/>
      <c r="E192" s="235">
        <f>Données!AF192+Données!AG192+Données!AH192</f>
        <v>0</v>
      </c>
      <c r="F192" s="233">
        <f t="shared" si="17"/>
        <v>5511882.4393442627</v>
      </c>
      <c r="G192" s="8">
        <f t="shared" si="18"/>
        <v>0</v>
      </c>
      <c r="H192" s="313">
        <f t="shared" si="19"/>
        <v>0</v>
      </c>
      <c r="J192" s="8">
        <f>Données!AN192</f>
        <v>0</v>
      </c>
      <c r="K192" s="213">
        <f t="shared" si="20"/>
        <v>688985.30491803284</v>
      </c>
      <c r="L192" s="12">
        <f t="shared" si="21"/>
        <v>0</v>
      </c>
      <c r="M192" s="313">
        <f t="shared" si="22"/>
        <v>0</v>
      </c>
      <c r="O192" s="42">
        <f t="shared" si="23"/>
        <v>0</v>
      </c>
      <c r="P192" s="270"/>
      <c r="Q192" s="226"/>
      <c r="R192" s="226"/>
      <c r="S192" s="226"/>
      <c r="T192" s="226"/>
      <c r="U192" s="226"/>
      <c r="AF192" s="11"/>
      <c r="AG192" s="11"/>
      <c r="AH192" s="11"/>
      <c r="AI192" s="11"/>
      <c r="AJ192" s="11"/>
      <c r="AK192" s="11"/>
      <c r="AL192" s="11"/>
    </row>
    <row r="193" spans="1:38" x14ac:dyDescent="0.25">
      <c r="A193" s="38">
        <f>+Données!A193</f>
        <v>5722</v>
      </c>
      <c r="B193" s="247" t="str">
        <f>+Données!B193</f>
        <v>Grens</v>
      </c>
      <c r="C193" s="235">
        <f>+Ecrêtage!C193</f>
        <v>20912.723225806454</v>
      </c>
      <c r="D193" s="233"/>
      <c r="E193" s="235">
        <f>Données!AF193+Données!AG193+Données!AH193</f>
        <v>0</v>
      </c>
      <c r="F193" s="233">
        <f t="shared" si="17"/>
        <v>167301.78580645163</v>
      </c>
      <c r="G193" s="8">
        <f t="shared" si="18"/>
        <v>0</v>
      </c>
      <c r="H193" s="313">
        <f t="shared" si="19"/>
        <v>0</v>
      </c>
      <c r="J193" s="8">
        <f>Données!AN193</f>
        <v>0</v>
      </c>
      <c r="K193" s="213">
        <f t="shared" si="20"/>
        <v>20912.723225806454</v>
      </c>
      <c r="L193" s="12">
        <f t="shared" si="21"/>
        <v>0</v>
      </c>
      <c r="M193" s="313">
        <f t="shared" si="22"/>
        <v>0</v>
      </c>
      <c r="O193" s="42">
        <f t="shared" si="23"/>
        <v>0</v>
      </c>
      <c r="P193" s="270"/>
      <c r="Q193" s="226"/>
      <c r="R193" s="226"/>
      <c r="S193" s="226"/>
      <c r="T193" s="226"/>
      <c r="U193" s="226"/>
      <c r="AF193" s="11"/>
      <c r="AG193" s="11"/>
      <c r="AH193" s="11"/>
      <c r="AI193" s="11"/>
      <c r="AJ193" s="11"/>
      <c r="AK193" s="11"/>
      <c r="AL193" s="11"/>
    </row>
    <row r="194" spans="1:38" x14ac:dyDescent="0.25">
      <c r="A194" s="38">
        <f>+Données!A194</f>
        <v>5723</v>
      </c>
      <c r="B194" s="247" t="str">
        <f>+Données!B194</f>
        <v>Mies</v>
      </c>
      <c r="C194" s="235">
        <f>+Ecrêtage!C194</f>
        <v>253771.19326923077</v>
      </c>
      <c r="D194" s="233"/>
      <c r="E194" s="235">
        <f>Données!AF194+Données!AG194+Données!AH194</f>
        <v>0</v>
      </c>
      <c r="F194" s="233">
        <f t="shared" si="17"/>
        <v>2030169.5461538462</v>
      </c>
      <c r="G194" s="8">
        <f t="shared" si="18"/>
        <v>0</v>
      </c>
      <c r="H194" s="313">
        <f t="shared" si="19"/>
        <v>0</v>
      </c>
      <c r="J194" s="8">
        <f>Données!AN194</f>
        <v>0</v>
      </c>
      <c r="K194" s="213">
        <f t="shared" si="20"/>
        <v>253771.19326923077</v>
      </c>
      <c r="L194" s="12">
        <f t="shared" si="21"/>
        <v>0</v>
      </c>
      <c r="M194" s="313">
        <f t="shared" si="22"/>
        <v>0</v>
      </c>
      <c r="O194" s="42">
        <f t="shared" si="23"/>
        <v>0</v>
      </c>
      <c r="P194" s="270"/>
      <c r="Q194" s="226"/>
      <c r="R194" s="226"/>
      <c r="S194" s="226"/>
      <c r="T194" s="226"/>
      <c r="U194" s="226"/>
      <c r="AF194" s="11"/>
      <c r="AG194" s="11"/>
      <c r="AH194" s="11"/>
      <c r="AI194" s="11"/>
      <c r="AJ194" s="11"/>
      <c r="AK194" s="11"/>
      <c r="AL194" s="11"/>
    </row>
    <row r="195" spans="1:38" x14ac:dyDescent="0.25">
      <c r="A195" s="38">
        <f>+Données!A195</f>
        <v>5724</v>
      </c>
      <c r="B195" s="247" t="str">
        <f>+Données!B195</f>
        <v>Nyon</v>
      </c>
      <c r="C195" s="235">
        <f>+Ecrêtage!C195</f>
        <v>1520148.6004918031</v>
      </c>
      <c r="D195" s="233"/>
      <c r="E195" s="235">
        <f>Données!AF195+Données!AG195+Données!AH195</f>
        <v>0</v>
      </c>
      <c r="F195" s="233">
        <f t="shared" si="17"/>
        <v>12161188.803934425</v>
      </c>
      <c r="G195" s="8">
        <f t="shared" si="18"/>
        <v>0</v>
      </c>
      <c r="H195" s="313">
        <f t="shared" si="19"/>
        <v>0</v>
      </c>
      <c r="J195" s="8">
        <f>Données!AN195</f>
        <v>0</v>
      </c>
      <c r="K195" s="213">
        <f t="shared" si="20"/>
        <v>1520148.6004918031</v>
      </c>
      <c r="L195" s="12">
        <f t="shared" si="21"/>
        <v>0</v>
      </c>
      <c r="M195" s="313">
        <f t="shared" si="22"/>
        <v>0</v>
      </c>
      <c r="O195" s="42">
        <f t="shared" si="23"/>
        <v>0</v>
      </c>
      <c r="P195" s="270"/>
      <c r="Q195" s="226"/>
      <c r="R195" s="226"/>
      <c r="S195" s="226"/>
      <c r="T195" s="226"/>
      <c r="U195" s="226"/>
      <c r="AF195" s="11"/>
      <c r="AG195" s="11"/>
      <c r="AH195" s="11"/>
      <c r="AI195" s="11"/>
      <c r="AJ195" s="11"/>
      <c r="AK195" s="11"/>
      <c r="AL195" s="11"/>
    </row>
    <row r="196" spans="1:38" x14ac:dyDescent="0.25">
      <c r="A196" s="38">
        <f>+Données!A196</f>
        <v>5725</v>
      </c>
      <c r="B196" s="247" t="str">
        <f>+Données!B196</f>
        <v>Prangins</v>
      </c>
      <c r="C196" s="235">
        <f>+Ecrêtage!C196</f>
        <v>388958.996077922</v>
      </c>
      <c r="D196" s="233"/>
      <c r="E196" s="235">
        <f>Données!AF196+Données!AG196+Données!AH196</f>
        <v>0</v>
      </c>
      <c r="F196" s="233">
        <f t="shared" si="17"/>
        <v>3111671.968623376</v>
      </c>
      <c r="G196" s="8">
        <f t="shared" si="18"/>
        <v>0</v>
      </c>
      <c r="H196" s="313">
        <f t="shared" si="19"/>
        <v>0</v>
      </c>
      <c r="J196" s="8">
        <f>Données!AN196</f>
        <v>0</v>
      </c>
      <c r="K196" s="213">
        <f t="shared" si="20"/>
        <v>388958.996077922</v>
      </c>
      <c r="L196" s="12">
        <f t="shared" si="21"/>
        <v>0</v>
      </c>
      <c r="M196" s="313">
        <f t="shared" si="22"/>
        <v>0</v>
      </c>
      <c r="O196" s="42">
        <f t="shared" si="23"/>
        <v>0</v>
      </c>
      <c r="P196" s="270"/>
      <c r="Q196" s="226"/>
      <c r="R196" s="226"/>
      <c r="S196" s="226"/>
      <c r="T196" s="226"/>
      <c r="U196" s="226"/>
      <c r="AF196" s="11"/>
      <c r="AG196" s="11"/>
      <c r="AH196" s="11"/>
      <c r="AI196" s="11"/>
      <c r="AJ196" s="11"/>
      <c r="AK196" s="11"/>
      <c r="AL196" s="11"/>
    </row>
    <row r="197" spans="1:38" x14ac:dyDescent="0.25">
      <c r="A197" s="38">
        <f>+Données!A197</f>
        <v>5726</v>
      </c>
      <c r="B197" s="247" t="str">
        <f>+Données!B197</f>
        <v>La Rippe</v>
      </c>
      <c r="C197" s="235">
        <f>+Ecrêtage!C197</f>
        <v>69785.913125000021</v>
      </c>
      <c r="D197" s="233"/>
      <c r="E197" s="235">
        <f>Données!AF197+Données!AG197+Données!AH197</f>
        <v>0</v>
      </c>
      <c r="F197" s="233">
        <f t="shared" si="17"/>
        <v>558287.30500000017</v>
      </c>
      <c r="G197" s="8">
        <f t="shared" si="18"/>
        <v>0</v>
      </c>
      <c r="H197" s="313">
        <f t="shared" si="19"/>
        <v>0</v>
      </c>
      <c r="J197" s="8">
        <f>Données!AN197</f>
        <v>0</v>
      </c>
      <c r="K197" s="213">
        <f t="shared" si="20"/>
        <v>69785.913125000021</v>
      </c>
      <c r="L197" s="12">
        <f t="shared" si="21"/>
        <v>0</v>
      </c>
      <c r="M197" s="313">
        <f t="shared" si="22"/>
        <v>0</v>
      </c>
      <c r="O197" s="42">
        <f t="shared" si="23"/>
        <v>0</v>
      </c>
      <c r="P197" s="270"/>
      <c r="Q197" s="226"/>
      <c r="R197" s="226"/>
      <c r="S197" s="226"/>
      <c r="T197" s="226"/>
      <c r="U197" s="226"/>
      <c r="AF197" s="11"/>
      <c r="AG197" s="11"/>
      <c r="AH197" s="11"/>
      <c r="AI197" s="11"/>
      <c r="AJ197" s="11"/>
      <c r="AK197" s="11"/>
      <c r="AL197" s="11"/>
    </row>
    <row r="198" spans="1:38" x14ac:dyDescent="0.25">
      <c r="A198" s="38">
        <f>+Données!A198</f>
        <v>5727</v>
      </c>
      <c r="B198" s="247" t="str">
        <f>+Données!B198</f>
        <v>Saint-Cergue</v>
      </c>
      <c r="C198" s="235">
        <f>+Ecrêtage!C198</f>
        <v>107048.1634848485</v>
      </c>
      <c r="D198" s="233"/>
      <c r="E198" s="235">
        <f>Données!AF198+Données!AG198+Données!AH198</f>
        <v>0</v>
      </c>
      <c r="F198" s="233">
        <f t="shared" si="17"/>
        <v>856385.30787878798</v>
      </c>
      <c r="G198" s="8">
        <f t="shared" si="18"/>
        <v>0</v>
      </c>
      <c r="H198" s="313">
        <f t="shared" si="19"/>
        <v>0</v>
      </c>
      <c r="J198" s="8">
        <f>Données!AN198</f>
        <v>0</v>
      </c>
      <c r="K198" s="213">
        <f t="shared" si="20"/>
        <v>107048.1634848485</v>
      </c>
      <c r="L198" s="12">
        <f t="shared" si="21"/>
        <v>0</v>
      </c>
      <c r="M198" s="313">
        <f t="shared" si="22"/>
        <v>0</v>
      </c>
      <c r="O198" s="42">
        <f t="shared" si="23"/>
        <v>0</v>
      </c>
      <c r="P198" s="270"/>
      <c r="Q198" s="226"/>
      <c r="R198" s="226"/>
      <c r="S198" s="226"/>
      <c r="T198" s="226"/>
      <c r="U198" s="226"/>
      <c r="AF198" s="11"/>
      <c r="AG198" s="11"/>
      <c r="AH198" s="11"/>
      <c r="AI198" s="11"/>
      <c r="AJ198" s="11"/>
      <c r="AK198" s="11"/>
      <c r="AL198" s="11"/>
    </row>
    <row r="199" spans="1:38" x14ac:dyDescent="0.25">
      <c r="A199" s="38">
        <f>+Données!A199</f>
        <v>5728</v>
      </c>
      <c r="B199" s="247" t="str">
        <f>+Données!B199</f>
        <v>Signy-Avenex</v>
      </c>
      <c r="C199" s="235">
        <f>+Ecrêtage!C199</f>
        <v>66000.760172413793</v>
      </c>
      <c r="D199" s="233"/>
      <c r="E199" s="235">
        <f>Données!AF199+Données!AG199+Données!AH199</f>
        <v>0</v>
      </c>
      <c r="F199" s="233">
        <f t="shared" ref="F199:F262" si="24">+C199*$G$5</f>
        <v>528006.08137931034</v>
      </c>
      <c r="G199" s="8">
        <f t="shared" ref="G199:G262" si="25">IF(E199&gt;F199,E199-F199,0)</f>
        <v>0</v>
      </c>
      <c r="H199" s="313">
        <f t="shared" ref="H199:H262" si="26">-G199*H$5</f>
        <v>0</v>
      </c>
      <c r="J199" s="8">
        <f>Données!AN199</f>
        <v>0</v>
      </c>
      <c r="K199" s="213">
        <f t="shared" ref="K199:K262" si="27">C199*L$5</f>
        <v>66000.760172413793</v>
      </c>
      <c r="L199" s="12">
        <f t="shared" ref="L199:L262" si="28">IF(J199&gt;K199,J199-K199,0)</f>
        <v>0</v>
      </c>
      <c r="M199" s="313">
        <f t="shared" ref="M199:M262" si="29">-L199*M$5</f>
        <v>0</v>
      </c>
      <c r="O199" s="42">
        <f t="shared" ref="O199:O262" si="30">M199+H199</f>
        <v>0</v>
      </c>
      <c r="P199" s="270"/>
      <c r="Q199" s="226"/>
      <c r="R199" s="226"/>
      <c r="S199" s="226"/>
      <c r="T199" s="226"/>
      <c r="U199" s="226"/>
      <c r="AF199" s="11"/>
      <c r="AG199" s="11"/>
      <c r="AH199" s="11"/>
      <c r="AI199" s="11"/>
      <c r="AJ199" s="11"/>
      <c r="AK199" s="11"/>
      <c r="AL199" s="11"/>
    </row>
    <row r="200" spans="1:38" x14ac:dyDescent="0.25">
      <c r="A200" s="38">
        <f>+Données!A200</f>
        <v>5729</v>
      </c>
      <c r="B200" s="247" t="str">
        <f>+Données!B200</f>
        <v>Tannay</v>
      </c>
      <c r="C200" s="235">
        <f>+Ecrêtage!C200</f>
        <v>189085.86771349865</v>
      </c>
      <c r="D200" s="233"/>
      <c r="E200" s="235">
        <f>Données!AF200+Données!AG200+Données!AH200</f>
        <v>0</v>
      </c>
      <c r="F200" s="233">
        <f t="shared" si="24"/>
        <v>1512686.9417079892</v>
      </c>
      <c r="G200" s="8">
        <f t="shared" si="25"/>
        <v>0</v>
      </c>
      <c r="H200" s="313">
        <f t="shared" si="26"/>
        <v>0</v>
      </c>
      <c r="J200" s="8">
        <f>Données!AN200</f>
        <v>0</v>
      </c>
      <c r="K200" s="213">
        <f t="shared" si="27"/>
        <v>189085.86771349865</v>
      </c>
      <c r="L200" s="12">
        <f t="shared" si="28"/>
        <v>0</v>
      </c>
      <c r="M200" s="313">
        <f t="shared" si="29"/>
        <v>0</v>
      </c>
      <c r="O200" s="42">
        <f t="shared" si="30"/>
        <v>0</v>
      </c>
      <c r="P200" s="270"/>
      <c r="Q200" s="226"/>
      <c r="R200" s="226"/>
      <c r="S200" s="226"/>
      <c r="T200" s="226"/>
      <c r="U200" s="226"/>
      <c r="AF200" s="11"/>
      <c r="AG200" s="11"/>
      <c r="AH200" s="11"/>
      <c r="AI200" s="11"/>
      <c r="AJ200" s="11"/>
      <c r="AK200" s="11"/>
      <c r="AL200" s="11"/>
    </row>
    <row r="201" spans="1:38" x14ac:dyDescent="0.25">
      <c r="A201" s="38">
        <f>+Données!A201</f>
        <v>5730</v>
      </c>
      <c r="B201" s="247" t="str">
        <f>+Données!B201</f>
        <v>Trélex</v>
      </c>
      <c r="C201" s="235">
        <f>+Ecrêtage!C201</f>
        <v>121414.34176176177</v>
      </c>
      <c r="D201" s="233"/>
      <c r="E201" s="235">
        <f>Données!AF201+Données!AG201+Données!AH201</f>
        <v>0</v>
      </c>
      <c r="F201" s="233">
        <f t="shared" si="24"/>
        <v>971314.73409409414</v>
      </c>
      <c r="G201" s="8">
        <f t="shared" si="25"/>
        <v>0</v>
      </c>
      <c r="H201" s="313">
        <f t="shared" si="26"/>
        <v>0</v>
      </c>
      <c r="J201" s="8">
        <f>Données!AN201</f>
        <v>0</v>
      </c>
      <c r="K201" s="213">
        <f t="shared" si="27"/>
        <v>121414.34176176177</v>
      </c>
      <c r="L201" s="12">
        <f t="shared" si="28"/>
        <v>0</v>
      </c>
      <c r="M201" s="313">
        <f t="shared" si="29"/>
        <v>0</v>
      </c>
      <c r="O201" s="42">
        <f t="shared" si="30"/>
        <v>0</v>
      </c>
      <c r="P201" s="270"/>
      <c r="Q201" s="226"/>
      <c r="R201" s="226"/>
      <c r="S201" s="226"/>
      <c r="T201" s="226"/>
      <c r="U201" s="226"/>
      <c r="AF201" s="11"/>
      <c r="AG201" s="11"/>
      <c r="AH201" s="11"/>
      <c r="AI201" s="11"/>
      <c r="AJ201" s="11"/>
      <c r="AK201" s="11"/>
      <c r="AL201" s="11"/>
    </row>
    <row r="202" spans="1:38" x14ac:dyDescent="0.25">
      <c r="A202" s="38">
        <f>+Données!A202</f>
        <v>5731</v>
      </c>
      <c r="B202" s="247" t="str">
        <f>+Données!B202</f>
        <v>Le Vaud</v>
      </c>
      <c r="C202" s="235">
        <f>+Ecrêtage!C202</f>
        <v>69610.558648648643</v>
      </c>
      <c r="D202" s="233"/>
      <c r="E202" s="235">
        <f>Données!AF202+Données!AG202+Données!AH202</f>
        <v>0</v>
      </c>
      <c r="F202" s="233">
        <f t="shared" si="24"/>
        <v>556884.46918918914</v>
      </c>
      <c r="G202" s="8">
        <f t="shared" si="25"/>
        <v>0</v>
      </c>
      <c r="H202" s="313">
        <f t="shared" si="26"/>
        <v>0</v>
      </c>
      <c r="J202" s="8">
        <f>Données!AN202</f>
        <v>0</v>
      </c>
      <c r="K202" s="213">
        <f t="shared" si="27"/>
        <v>69610.558648648643</v>
      </c>
      <c r="L202" s="12">
        <f t="shared" si="28"/>
        <v>0</v>
      </c>
      <c r="M202" s="313">
        <f t="shared" si="29"/>
        <v>0</v>
      </c>
      <c r="O202" s="42">
        <f t="shared" si="30"/>
        <v>0</v>
      </c>
      <c r="P202" s="270"/>
      <c r="Q202" s="226"/>
      <c r="R202" s="226"/>
      <c r="S202" s="226"/>
      <c r="T202" s="226"/>
      <c r="U202" s="226"/>
      <c r="AF202" s="11"/>
      <c r="AG202" s="11"/>
      <c r="AH202" s="11"/>
      <c r="AI202" s="11"/>
      <c r="AJ202" s="11"/>
      <c r="AK202" s="11"/>
      <c r="AL202" s="11"/>
    </row>
    <row r="203" spans="1:38" x14ac:dyDescent="0.25">
      <c r="A203" s="38">
        <f>+Données!A203</f>
        <v>5732</v>
      </c>
      <c r="B203" s="247" t="str">
        <f>+Données!B203</f>
        <v>Vich</v>
      </c>
      <c r="C203" s="235">
        <f>+Ecrêtage!C203</f>
        <v>79861.73920634923</v>
      </c>
      <c r="D203" s="233"/>
      <c r="E203" s="235">
        <f>Données!AF203+Données!AG203+Données!AH203</f>
        <v>0</v>
      </c>
      <c r="F203" s="233">
        <f t="shared" si="24"/>
        <v>638893.91365079384</v>
      </c>
      <c r="G203" s="8">
        <f t="shared" si="25"/>
        <v>0</v>
      </c>
      <c r="H203" s="313">
        <f t="shared" si="26"/>
        <v>0</v>
      </c>
      <c r="J203" s="8">
        <f>Données!AN203</f>
        <v>0</v>
      </c>
      <c r="K203" s="213">
        <f t="shared" si="27"/>
        <v>79861.73920634923</v>
      </c>
      <c r="L203" s="12">
        <f t="shared" si="28"/>
        <v>0</v>
      </c>
      <c r="M203" s="313">
        <f t="shared" si="29"/>
        <v>0</v>
      </c>
      <c r="O203" s="42">
        <f t="shared" si="30"/>
        <v>0</v>
      </c>
      <c r="P203" s="270"/>
      <c r="Q203" s="226"/>
      <c r="R203" s="226"/>
      <c r="S203" s="226"/>
      <c r="T203" s="226"/>
      <c r="U203" s="226"/>
      <c r="AF203" s="11"/>
      <c r="AG203" s="11"/>
      <c r="AH203" s="11"/>
      <c r="AI203" s="11"/>
      <c r="AJ203" s="11"/>
      <c r="AK203" s="11"/>
      <c r="AL203" s="11"/>
    </row>
    <row r="204" spans="1:38" x14ac:dyDescent="0.25">
      <c r="A204" s="38">
        <f>+Données!A204</f>
        <v>5741</v>
      </c>
      <c r="B204" s="247" t="str">
        <f>+Données!B204</f>
        <v>L'Abergement</v>
      </c>
      <c r="C204" s="235">
        <f>+Ecrêtage!C204</f>
        <v>10833.904395833331</v>
      </c>
      <c r="D204" s="233"/>
      <c r="E204" s="235">
        <f>Données!AF204+Données!AG204+Données!AH204</f>
        <v>0</v>
      </c>
      <c r="F204" s="233">
        <f t="shared" si="24"/>
        <v>86671.235166666651</v>
      </c>
      <c r="G204" s="8">
        <f t="shared" si="25"/>
        <v>0</v>
      </c>
      <c r="H204" s="313">
        <f t="shared" si="26"/>
        <v>0</v>
      </c>
      <c r="J204" s="8">
        <f>Données!AN204</f>
        <v>0</v>
      </c>
      <c r="K204" s="213">
        <f t="shared" si="27"/>
        <v>10833.904395833331</v>
      </c>
      <c r="L204" s="12">
        <f t="shared" si="28"/>
        <v>0</v>
      </c>
      <c r="M204" s="313">
        <f t="shared" si="29"/>
        <v>0</v>
      </c>
      <c r="O204" s="42">
        <f t="shared" si="30"/>
        <v>0</v>
      </c>
      <c r="P204" s="270"/>
      <c r="Q204" s="226"/>
      <c r="R204" s="226"/>
      <c r="S204" s="226"/>
      <c r="T204" s="226"/>
      <c r="U204" s="226"/>
      <c r="AF204" s="11"/>
      <c r="AG204" s="11"/>
      <c r="AH204" s="11"/>
      <c r="AI204" s="11"/>
      <c r="AJ204" s="11"/>
      <c r="AK204" s="11"/>
      <c r="AL204" s="11"/>
    </row>
    <row r="205" spans="1:38" x14ac:dyDescent="0.25">
      <c r="A205" s="38">
        <f>+Données!A205</f>
        <v>5742</v>
      </c>
      <c r="B205" s="247" t="str">
        <f>+Données!B205</f>
        <v>Agiez</v>
      </c>
      <c r="C205" s="235">
        <f>+Ecrêtage!C205</f>
        <v>9049.0364473684222</v>
      </c>
      <c r="D205" s="233"/>
      <c r="E205" s="235">
        <f>Données!AF205+Données!AG205+Données!AH205</f>
        <v>0</v>
      </c>
      <c r="F205" s="233">
        <f t="shared" si="24"/>
        <v>72392.291578947377</v>
      </c>
      <c r="G205" s="8">
        <f t="shared" si="25"/>
        <v>0</v>
      </c>
      <c r="H205" s="313">
        <f t="shared" si="26"/>
        <v>0</v>
      </c>
      <c r="J205" s="8">
        <f>Données!AN205</f>
        <v>0</v>
      </c>
      <c r="K205" s="213">
        <f t="shared" si="27"/>
        <v>9049.0364473684222</v>
      </c>
      <c r="L205" s="12">
        <f t="shared" si="28"/>
        <v>0</v>
      </c>
      <c r="M205" s="313">
        <f t="shared" si="29"/>
        <v>0</v>
      </c>
      <c r="O205" s="42">
        <f t="shared" si="30"/>
        <v>0</v>
      </c>
      <c r="P205" s="270"/>
      <c r="Q205" s="226"/>
      <c r="R205" s="226"/>
      <c r="S205" s="226"/>
      <c r="T205" s="226"/>
      <c r="U205" s="226"/>
      <c r="AF205" s="11"/>
      <c r="AG205" s="11"/>
      <c r="AH205" s="11"/>
      <c r="AI205" s="11"/>
      <c r="AJ205" s="11"/>
      <c r="AK205" s="11"/>
      <c r="AL205" s="11"/>
    </row>
    <row r="206" spans="1:38" x14ac:dyDescent="0.25">
      <c r="A206" s="38">
        <f>+Données!A206</f>
        <v>5743</v>
      </c>
      <c r="B206" s="247" t="str">
        <f>+Données!B206</f>
        <v>Arnex-sur-Orbe</v>
      </c>
      <c r="C206" s="235">
        <f>+Ecrêtage!C206</f>
        <v>19423.544507042254</v>
      </c>
      <c r="D206" s="233"/>
      <c r="E206" s="235">
        <f>Données!AF206+Données!AG206+Données!AH206</f>
        <v>0</v>
      </c>
      <c r="F206" s="233">
        <f t="shared" si="24"/>
        <v>155388.35605633803</v>
      </c>
      <c r="G206" s="8">
        <f t="shared" si="25"/>
        <v>0</v>
      </c>
      <c r="H206" s="313">
        <f t="shared" si="26"/>
        <v>0</v>
      </c>
      <c r="J206" s="8">
        <f>Données!AN206</f>
        <v>0</v>
      </c>
      <c r="K206" s="213">
        <f t="shared" si="27"/>
        <v>19423.544507042254</v>
      </c>
      <c r="L206" s="12">
        <f t="shared" si="28"/>
        <v>0</v>
      </c>
      <c r="M206" s="313">
        <f t="shared" si="29"/>
        <v>0</v>
      </c>
      <c r="O206" s="42">
        <f t="shared" si="30"/>
        <v>0</v>
      </c>
      <c r="P206" s="270"/>
      <c r="Q206" s="226"/>
      <c r="R206" s="226"/>
      <c r="S206" s="226"/>
      <c r="T206" s="226"/>
      <c r="U206" s="226"/>
      <c r="AF206" s="11"/>
      <c r="AG206" s="11"/>
      <c r="AH206" s="11"/>
      <c r="AI206" s="11"/>
      <c r="AJ206" s="11"/>
      <c r="AK206" s="11"/>
      <c r="AL206" s="11"/>
    </row>
    <row r="207" spans="1:38" x14ac:dyDescent="0.25">
      <c r="A207" s="38">
        <f>+Données!A207</f>
        <v>5744</v>
      </c>
      <c r="B207" s="247" t="str">
        <f>+Données!B207</f>
        <v>Ballaigues</v>
      </c>
      <c r="C207" s="235">
        <f>+Ecrêtage!C207</f>
        <v>54105.101538461538</v>
      </c>
      <c r="D207" s="233"/>
      <c r="E207" s="235">
        <f>Données!AF207+Données!AG207+Données!AH207</f>
        <v>0</v>
      </c>
      <c r="F207" s="233">
        <f t="shared" si="24"/>
        <v>432840.81230769231</v>
      </c>
      <c r="G207" s="8">
        <f t="shared" si="25"/>
        <v>0</v>
      </c>
      <c r="H207" s="313">
        <f t="shared" si="26"/>
        <v>0</v>
      </c>
      <c r="J207" s="8">
        <f>Données!AN207</f>
        <v>0</v>
      </c>
      <c r="K207" s="213">
        <f t="shared" si="27"/>
        <v>54105.101538461538</v>
      </c>
      <c r="L207" s="12">
        <f t="shared" si="28"/>
        <v>0</v>
      </c>
      <c r="M207" s="313">
        <f t="shared" si="29"/>
        <v>0</v>
      </c>
      <c r="O207" s="42">
        <f t="shared" si="30"/>
        <v>0</v>
      </c>
      <c r="P207" s="270"/>
      <c r="Q207" s="226"/>
      <c r="R207" s="226"/>
      <c r="S207" s="226"/>
      <c r="T207" s="226"/>
      <c r="U207" s="226"/>
      <c r="AF207" s="11"/>
      <c r="AG207" s="11"/>
      <c r="AH207" s="11"/>
      <c r="AI207" s="11"/>
      <c r="AJ207" s="11"/>
      <c r="AK207" s="11"/>
      <c r="AL207" s="11"/>
    </row>
    <row r="208" spans="1:38" x14ac:dyDescent="0.25">
      <c r="A208" s="38">
        <f>+Données!A208</f>
        <v>5745</v>
      </c>
      <c r="B208" s="247" t="str">
        <f>+Données!B208</f>
        <v>Baulmes</v>
      </c>
      <c r="C208" s="235">
        <f>+Ecrêtage!C208</f>
        <v>27705.104967320265</v>
      </c>
      <c r="D208" s="233"/>
      <c r="E208" s="235">
        <f>Données!AF208+Données!AG208+Données!AH208</f>
        <v>0</v>
      </c>
      <c r="F208" s="233">
        <f t="shared" si="24"/>
        <v>221640.83973856212</v>
      </c>
      <c r="G208" s="8">
        <f t="shared" si="25"/>
        <v>0</v>
      </c>
      <c r="H208" s="313">
        <f t="shared" si="26"/>
        <v>0</v>
      </c>
      <c r="J208" s="8">
        <f>Données!AN208</f>
        <v>0</v>
      </c>
      <c r="K208" s="213">
        <f t="shared" si="27"/>
        <v>27705.104967320265</v>
      </c>
      <c r="L208" s="12">
        <f t="shared" si="28"/>
        <v>0</v>
      </c>
      <c r="M208" s="313">
        <f t="shared" si="29"/>
        <v>0</v>
      </c>
      <c r="O208" s="42">
        <f t="shared" si="30"/>
        <v>0</v>
      </c>
      <c r="P208" s="270"/>
      <c r="Q208" s="226"/>
      <c r="R208" s="226"/>
      <c r="S208" s="226"/>
      <c r="T208" s="226"/>
      <c r="U208" s="226"/>
      <c r="AF208" s="11"/>
      <c r="AG208" s="11"/>
      <c r="AH208" s="11"/>
      <c r="AI208" s="11"/>
      <c r="AJ208" s="11"/>
      <c r="AK208" s="11"/>
      <c r="AL208" s="11"/>
    </row>
    <row r="209" spans="1:38" x14ac:dyDescent="0.25">
      <c r="A209" s="38">
        <f>+Données!A209</f>
        <v>5746</v>
      </c>
      <c r="B209" s="247" t="str">
        <f>+Données!B209</f>
        <v>Bavois</v>
      </c>
      <c r="C209" s="235">
        <f>+Ecrêtage!C209</f>
        <v>29513.59275462963</v>
      </c>
      <c r="D209" s="233"/>
      <c r="E209" s="235">
        <f>Données!AF209+Données!AG209+Données!AH209</f>
        <v>0</v>
      </c>
      <c r="F209" s="233">
        <f t="shared" si="24"/>
        <v>236108.74203703704</v>
      </c>
      <c r="G209" s="8">
        <f t="shared" si="25"/>
        <v>0</v>
      </c>
      <c r="H209" s="313">
        <f t="shared" si="26"/>
        <v>0</v>
      </c>
      <c r="J209" s="8">
        <f>Données!AN209</f>
        <v>0</v>
      </c>
      <c r="K209" s="213">
        <f t="shared" si="27"/>
        <v>29513.59275462963</v>
      </c>
      <c r="L209" s="12">
        <f t="shared" si="28"/>
        <v>0</v>
      </c>
      <c r="M209" s="313">
        <f t="shared" si="29"/>
        <v>0</v>
      </c>
      <c r="O209" s="42">
        <f t="shared" si="30"/>
        <v>0</v>
      </c>
      <c r="P209" s="270"/>
      <c r="Q209" s="226"/>
      <c r="R209" s="226"/>
      <c r="S209" s="226"/>
      <c r="T209" s="226"/>
      <c r="U209" s="226"/>
      <c r="AF209" s="11"/>
      <c r="AG209" s="11"/>
      <c r="AH209" s="11"/>
      <c r="AI209" s="11"/>
      <c r="AJ209" s="11"/>
      <c r="AK209" s="11"/>
      <c r="AL209" s="11"/>
    </row>
    <row r="210" spans="1:38" x14ac:dyDescent="0.25">
      <c r="A210" s="38">
        <f>+Données!A210</f>
        <v>5747</v>
      </c>
      <c r="B210" s="247" t="str">
        <f>+Données!B210</f>
        <v>Bofflens</v>
      </c>
      <c r="C210" s="235">
        <f>+Ecrêtage!C210</f>
        <v>5778.0378260869547</v>
      </c>
      <c r="D210" s="233"/>
      <c r="E210" s="235">
        <f>Données!AF210+Données!AG210+Données!AH210</f>
        <v>0</v>
      </c>
      <c r="F210" s="233">
        <f t="shared" si="24"/>
        <v>46224.302608695638</v>
      </c>
      <c r="G210" s="8">
        <f t="shared" si="25"/>
        <v>0</v>
      </c>
      <c r="H210" s="313">
        <f t="shared" si="26"/>
        <v>0</v>
      </c>
      <c r="J210" s="8">
        <f>Données!AN210</f>
        <v>0</v>
      </c>
      <c r="K210" s="213">
        <f t="shared" si="27"/>
        <v>5778.0378260869547</v>
      </c>
      <c r="L210" s="12">
        <f t="shared" si="28"/>
        <v>0</v>
      </c>
      <c r="M210" s="313">
        <f t="shared" si="29"/>
        <v>0</v>
      </c>
      <c r="O210" s="42">
        <f t="shared" si="30"/>
        <v>0</v>
      </c>
      <c r="P210" s="270"/>
      <c r="Q210" s="226"/>
      <c r="R210" s="226"/>
      <c r="S210" s="226"/>
      <c r="T210" s="226"/>
      <c r="U210" s="226"/>
      <c r="AF210" s="11"/>
      <c r="AG210" s="11"/>
      <c r="AH210" s="11"/>
      <c r="AI210" s="11"/>
      <c r="AJ210" s="11"/>
      <c r="AK210" s="11"/>
      <c r="AL210" s="11"/>
    </row>
    <row r="211" spans="1:38" x14ac:dyDescent="0.25">
      <c r="A211" s="38">
        <f>+Données!A211</f>
        <v>5748</v>
      </c>
      <c r="B211" s="247" t="str">
        <f>+Données!B211</f>
        <v>Bretonnières</v>
      </c>
      <c r="C211" s="235">
        <f>+Ecrêtage!C211</f>
        <v>6762.4759338061467</v>
      </c>
      <c r="D211" s="233"/>
      <c r="E211" s="235">
        <f>Données!AF211+Données!AG211+Données!AH211</f>
        <v>0</v>
      </c>
      <c r="F211" s="233">
        <f t="shared" si="24"/>
        <v>54099.807470449174</v>
      </c>
      <c r="G211" s="8">
        <f t="shared" si="25"/>
        <v>0</v>
      </c>
      <c r="H211" s="313">
        <f t="shared" si="26"/>
        <v>0</v>
      </c>
      <c r="J211" s="8">
        <f>Données!AN211</f>
        <v>0</v>
      </c>
      <c r="K211" s="213">
        <f t="shared" si="27"/>
        <v>6762.4759338061467</v>
      </c>
      <c r="L211" s="12">
        <f t="shared" si="28"/>
        <v>0</v>
      </c>
      <c r="M211" s="313">
        <f t="shared" si="29"/>
        <v>0</v>
      </c>
      <c r="O211" s="42">
        <f t="shared" si="30"/>
        <v>0</v>
      </c>
      <c r="P211" s="270"/>
      <c r="Q211" s="226"/>
      <c r="R211" s="226"/>
      <c r="S211" s="226"/>
      <c r="T211" s="226"/>
      <c r="U211" s="226"/>
      <c r="AF211" s="11"/>
      <c r="AG211" s="11"/>
      <c r="AH211" s="11"/>
      <c r="AI211" s="11"/>
      <c r="AJ211" s="11"/>
      <c r="AK211" s="11"/>
      <c r="AL211" s="11"/>
    </row>
    <row r="212" spans="1:38" x14ac:dyDescent="0.25">
      <c r="A212" s="38">
        <f>+Données!A212</f>
        <v>5749</v>
      </c>
      <c r="B212" s="247" t="str">
        <f>+Données!B212</f>
        <v>Chavornay</v>
      </c>
      <c r="C212" s="235">
        <f>+Ecrêtage!C212</f>
        <v>144692.07858156026</v>
      </c>
      <c r="D212" s="233"/>
      <c r="E212" s="235">
        <f>Données!AF212+Données!AG212+Données!AH212</f>
        <v>0</v>
      </c>
      <c r="F212" s="233">
        <f t="shared" si="24"/>
        <v>1157536.6286524821</v>
      </c>
      <c r="G212" s="8">
        <f t="shared" si="25"/>
        <v>0</v>
      </c>
      <c r="H212" s="313">
        <f t="shared" si="26"/>
        <v>0</v>
      </c>
      <c r="J212" s="8">
        <f>Données!AN212</f>
        <v>0</v>
      </c>
      <c r="K212" s="213">
        <f t="shared" si="27"/>
        <v>144692.07858156026</v>
      </c>
      <c r="L212" s="12">
        <f t="shared" si="28"/>
        <v>0</v>
      </c>
      <c r="M212" s="313">
        <f t="shared" si="29"/>
        <v>0</v>
      </c>
      <c r="O212" s="42">
        <f t="shared" si="30"/>
        <v>0</v>
      </c>
      <c r="P212" s="270"/>
      <c r="Q212" s="226"/>
      <c r="R212" s="226"/>
      <c r="S212" s="226"/>
      <c r="T212" s="226"/>
      <c r="U212" s="226"/>
      <c r="AF212" s="11"/>
      <c r="AG212" s="11"/>
      <c r="AH212" s="11"/>
      <c r="AI212" s="11"/>
      <c r="AJ212" s="11"/>
      <c r="AK212" s="11"/>
      <c r="AL212" s="11"/>
    </row>
    <row r="213" spans="1:38" x14ac:dyDescent="0.25">
      <c r="A213" s="38">
        <f>+Données!A213</f>
        <v>5750</v>
      </c>
      <c r="B213" s="247" t="str">
        <f>+Données!B213</f>
        <v>Les Clées</v>
      </c>
      <c r="C213" s="235">
        <f>+Ecrêtage!C213</f>
        <v>5460.4465833333343</v>
      </c>
      <c r="D213" s="233"/>
      <c r="E213" s="235">
        <f>Données!AF213+Données!AG213+Données!AH213</f>
        <v>0</v>
      </c>
      <c r="F213" s="233">
        <f t="shared" si="24"/>
        <v>43683.572666666674</v>
      </c>
      <c r="G213" s="8">
        <f t="shared" si="25"/>
        <v>0</v>
      </c>
      <c r="H213" s="313">
        <f t="shared" si="26"/>
        <v>0</v>
      </c>
      <c r="J213" s="8">
        <f>Données!AN213</f>
        <v>0</v>
      </c>
      <c r="K213" s="213">
        <f t="shared" si="27"/>
        <v>5460.4465833333343</v>
      </c>
      <c r="L213" s="12">
        <f t="shared" si="28"/>
        <v>0</v>
      </c>
      <c r="M213" s="313">
        <f t="shared" si="29"/>
        <v>0</v>
      </c>
      <c r="O213" s="42">
        <f t="shared" si="30"/>
        <v>0</v>
      </c>
      <c r="P213" s="270"/>
      <c r="Q213" s="226"/>
      <c r="R213" s="226"/>
      <c r="S213" s="226"/>
      <c r="T213" s="226"/>
      <c r="U213" s="226"/>
      <c r="AF213" s="11"/>
      <c r="AG213" s="11"/>
      <c r="AH213" s="11"/>
      <c r="AI213" s="11"/>
      <c r="AJ213" s="11"/>
      <c r="AK213" s="11"/>
      <c r="AL213" s="11"/>
    </row>
    <row r="214" spans="1:38" x14ac:dyDescent="0.25">
      <c r="A214" s="38">
        <f>+Données!A214</f>
        <v>5752</v>
      </c>
      <c r="B214" s="247" t="str">
        <f>+Données!B214</f>
        <v>Croy</v>
      </c>
      <c r="C214" s="235">
        <f>+Ecrêtage!C214</f>
        <v>10204.254034749034</v>
      </c>
      <c r="D214" s="233"/>
      <c r="E214" s="235">
        <f>Données!AF214+Données!AG214+Données!AH214</f>
        <v>0</v>
      </c>
      <c r="F214" s="233">
        <f t="shared" si="24"/>
        <v>81634.032277992272</v>
      </c>
      <c r="G214" s="8">
        <f t="shared" si="25"/>
        <v>0</v>
      </c>
      <c r="H214" s="313">
        <f t="shared" si="26"/>
        <v>0</v>
      </c>
      <c r="J214" s="8">
        <f>Données!AN214</f>
        <v>0</v>
      </c>
      <c r="K214" s="213">
        <f t="shared" si="27"/>
        <v>10204.254034749034</v>
      </c>
      <c r="L214" s="12">
        <f t="shared" si="28"/>
        <v>0</v>
      </c>
      <c r="M214" s="313">
        <f t="shared" si="29"/>
        <v>0</v>
      </c>
      <c r="O214" s="42">
        <f t="shared" si="30"/>
        <v>0</v>
      </c>
      <c r="P214" s="270"/>
      <c r="Q214" s="226"/>
      <c r="R214" s="226"/>
      <c r="S214" s="226"/>
      <c r="T214" s="226"/>
      <c r="U214" s="226"/>
      <c r="AF214" s="11"/>
      <c r="AG214" s="11"/>
      <c r="AH214" s="11"/>
      <c r="AI214" s="11"/>
      <c r="AJ214" s="11"/>
      <c r="AK214" s="11"/>
      <c r="AL214" s="11"/>
    </row>
    <row r="215" spans="1:38" x14ac:dyDescent="0.25">
      <c r="A215" s="38">
        <f>+Données!A215</f>
        <v>5754</v>
      </c>
      <c r="B215" s="247" t="str">
        <f>+Données!B215</f>
        <v>Juriens</v>
      </c>
      <c r="C215" s="235">
        <f>+Ecrêtage!C215</f>
        <v>8633.2483544303759</v>
      </c>
      <c r="D215" s="233"/>
      <c r="E215" s="235">
        <f>Données!AF215+Données!AG215+Données!AH215</f>
        <v>0</v>
      </c>
      <c r="F215" s="233">
        <f t="shared" si="24"/>
        <v>69065.986835443007</v>
      </c>
      <c r="G215" s="8">
        <f t="shared" si="25"/>
        <v>0</v>
      </c>
      <c r="H215" s="313">
        <f t="shared" si="26"/>
        <v>0</v>
      </c>
      <c r="J215" s="8">
        <f>Données!AN215</f>
        <v>0</v>
      </c>
      <c r="K215" s="213">
        <f t="shared" si="27"/>
        <v>8633.2483544303759</v>
      </c>
      <c r="L215" s="12">
        <f t="shared" si="28"/>
        <v>0</v>
      </c>
      <c r="M215" s="313">
        <f t="shared" si="29"/>
        <v>0</v>
      </c>
      <c r="O215" s="42">
        <f t="shared" si="30"/>
        <v>0</v>
      </c>
      <c r="P215" s="270"/>
      <c r="Q215" s="226"/>
      <c r="R215" s="226"/>
      <c r="S215" s="226"/>
      <c r="T215" s="226"/>
      <c r="U215" s="226"/>
      <c r="AF215" s="11"/>
      <c r="AG215" s="11"/>
      <c r="AH215" s="11"/>
      <c r="AI215" s="11"/>
      <c r="AJ215" s="11"/>
      <c r="AK215" s="11"/>
      <c r="AL215" s="11"/>
    </row>
    <row r="216" spans="1:38" x14ac:dyDescent="0.25">
      <c r="A216" s="38">
        <f>+Données!A216</f>
        <v>5755</v>
      </c>
      <c r="B216" s="247" t="str">
        <f>+Données!B216</f>
        <v>Lignerolle</v>
      </c>
      <c r="C216" s="235">
        <f>+Ecrêtage!C216</f>
        <v>10920.942602365787</v>
      </c>
      <c r="D216" s="233"/>
      <c r="E216" s="235">
        <f>Données!AF216+Données!AG216+Données!AH216</f>
        <v>0</v>
      </c>
      <c r="F216" s="233">
        <f t="shared" si="24"/>
        <v>87367.540818926296</v>
      </c>
      <c r="G216" s="8">
        <f t="shared" si="25"/>
        <v>0</v>
      </c>
      <c r="H216" s="313">
        <f t="shared" si="26"/>
        <v>0</v>
      </c>
      <c r="J216" s="8">
        <f>Données!AN216</f>
        <v>0</v>
      </c>
      <c r="K216" s="213">
        <f t="shared" si="27"/>
        <v>10920.942602365787</v>
      </c>
      <c r="L216" s="12">
        <f t="shared" si="28"/>
        <v>0</v>
      </c>
      <c r="M216" s="313">
        <f t="shared" si="29"/>
        <v>0</v>
      </c>
      <c r="O216" s="42">
        <f t="shared" si="30"/>
        <v>0</v>
      </c>
      <c r="P216" s="270"/>
      <c r="Q216" s="226"/>
      <c r="R216" s="226"/>
      <c r="S216" s="226"/>
      <c r="T216" s="226"/>
      <c r="U216" s="226"/>
      <c r="AF216" s="11"/>
      <c r="AG216" s="11"/>
      <c r="AH216" s="11"/>
      <c r="AI216" s="11"/>
      <c r="AJ216" s="11"/>
      <c r="AK216" s="11"/>
      <c r="AL216" s="11"/>
    </row>
    <row r="217" spans="1:38" x14ac:dyDescent="0.25">
      <c r="A217" s="38">
        <f>+Données!A217</f>
        <v>5756</v>
      </c>
      <c r="B217" s="247" t="str">
        <f>+Données!B217</f>
        <v>Montcherand</v>
      </c>
      <c r="C217" s="235">
        <f>+Ecrêtage!C217</f>
        <v>17503.400416666664</v>
      </c>
      <c r="D217" s="233"/>
      <c r="E217" s="235">
        <f>Données!AF217+Données!AG217+Données!AH217</f>
        <v>0</v>
      </c>
      <c r="F217" s="233">
        <f t="shared" si="24"/>
        <v>140027.20333333331</v>
      </c>
      <c r="G217" s="8">
        <f t="shared" si="25"/>
        <v>0</v>
      </c>
      <c r="H217" s="313">
        <f t="shared" si="26"/>
        <v>0</v>
      </c>
      <c r="J217" s="8">
        <f>Données!AN217</f>
        <v>0</v>
      </c>
      <c r="K217" s="213">
        <f t="shared" si="27"/>
        <v>17503.400416666664</v>
      </c>
      <c r="L217" s="12">
        <f t="shared" si="28"/>
        <v>0</v>
      </c>
      <c r="M217" s="313">
        <f t="shared" si="29"/>
        <v>0</v>
      </c>
      <c r="O217" s="42">
        <f t="shared" si="30"/>
        <v>0</v>
      </c>
      <c r="P217" s="270"/>
      <c r="Q217" s="226"/>
      <c r="R217" s="226"/>
      <c r="S217" s="226"/>
      <c r="T217" s="226"/>
      <c r="U217" s="226"/>
      <c r="AF217" s="11"/>
      <c r="AG217" s="11"/>
      <c r="AH217" s="11"/>
      <c r="AI217" s="11"/>
      <c r="AJ217" s="11"/>
      <c r="AK217" s="11"/>
      <c r="AL217" s="11"/>
    </row>
    <row r="218" spans="1:38" x14ac:dyDescent="0.25">
      <c r="A218" s="38">
        <f>+Données!A218</f>
        <v>5757</v>
      </c>
      <c r="B218" s="247" t="str">
        <f>+Données!B218</f>
        <v>Orbe</v>
      </c>
      <c r="C218" s="235">
        <f>+Ecrêtage!C218</f>
        <v>217762.06927152316</v>
      </c>
      <c r="D218" s="233"/>
      <c r="E218" s="235">
        <f>Données!AF218+Données!AG218+Données!AH218</f>
        <v>0</v>
      </c>
      <c r="F218" s="233">
        <f t="shared" si="24"/>
        <v>1742096.5541721852</v>
      </c>
      <c r="G218" s="8">
        <f t="shared" si="25"/>
        <v>0</v>
      </c>
      <c r="H218" s="313">
        <f t="shared" si="26"/>
        <v>0</v>
      </c>
      <c r="J218" s="8">
        <f>Données!AN218</f>
        <v>0</v>
      </c>
      <c r="K218" s="213">
        <f t="shared" si="27"/>
        <v>217762.06927152316</v>
      </c>
      <c r="L218" s="12">
        <f t="shared" si="28"/>
        <v>0</v>
      </c>
      <c r="M218" s="313">
        <f t="shared" si="29"/>
        <v>0</v>
      </c>
      <c r="O218" s="42">
        <f t="shared" si="30"/>
        <v>0</v>
      </c>
      <c r="P218" s="270"/>
      <c r="Q218" s="226"/>
      <c r="R218" s="226"/>
      <c r="S218" s="226"/>
      <c r="T218" s="226"/>
      <c r="U218" s="226"/>
      <c r="AF218" s="11"/>
      <c r="AG218" s="11"/>
      <c r="AH218" s="11"/>
      <c r="AI218" s="11"/>
      <c r="AJ218" s="11"/>
      <c r="AK218" s="11"/>
      <c r="AL218" s="11"/>
    </row>
    <row r="219" spans="1:38" x14ac:dyDescent="0.25">
      <c r="A219" s="38">
        <f>+Données!A219</f>
        <v>5758</v>
      </c>
      <c r="B219" s="247" t="str">
        <f>+Données!B219</f>
        <v>La Praz</v>
      </c>
      <c r="C219" s="235">
        <f>+Ecrêtage!C219</f>
        <v>4500.7334939759048</v>
      </c>
      <c r="D219" s="233"/>
      <c r="E219" s="235">
        <f>Données!AF219+Données!AG219+Données!AH219</f>
        <v>0</v>
      </c>
      <c r="F219" s="233">
        <f t="shared" si="24"/>
        <v>36005.867951807239</v>
      </c>
      <c r="G219" s="8">
        <f t="shared" si="25"/>
        <v>0</v>
      </c>
      <c r="H219" s="313">
        <f t="shared" si="26"/>
        <v>0</v>
      </c>
      <c r="J219" s="8">
        <f>Données!AN219</f>
        <v>0</v>
      </c>
      <c r="K219" s="213">
        <f t="shared" si="27"/>
        <v>4500.7334939759048</v>
      </c>
      <c r="L219" s="12">
        <f t="shared" si="28"/>
        <v>0</v>
      </c>
      <c r="M219" s="313">
        <f t="shared" si="29"/>
        <v>0</v>
      </c>
      <c r="O219" s="42">
        <f t="shared" si="30"/>
        <v>0</v>
      </c>
      <c r="P219" s="270"/>
      <c r="Q219" s="226"/>
      <c r="R219" s="226"/>
      <c r="S219" s="226"/>
      <c r="T219" s="226"/>
      <c r="U219" s="226"/>
      <c r="AF219" s="11"/>
      <c r="AG219" s="11"/>
      <c r="AH219" s="11"/>
      <c r="AI219" s="11"/>
      <c r="AJ219" s="11"/>
      <c r="AK219" s="11"/>
      <c r="AL219" s="11"/>
    </row>
    <row r="220" spans="1:38" x14ac:dyDescent="0.25">
      <c r="A220" s="38">
        <f>+Données!A220</f>
        <v>5759</v>
      </c>
      <c r="B220" s="247" t="str">
        <f>+Données!B220</f>
        <v>Premier</v>
      </c>
      <c r="C220" s="235">
        <f>+Ecrêtage!C220</f>
        <v>5667.0675471698114</v>
      </c>
      <c r="D220" s="233"/>
      <c r="E220" s="235">
        <f>Données!AF220+Données!AG220+Données!AH220</f>
        <v>0</v>
      </c>
      <c r="F220" s="233">
        <f t="shared" si="24"/>
        <v>45336.540377358491</v>
      </c>
      <c r="G220" s="8">
        <f t="shared" si="25"/>
        <v>0</v>
      </c>
      <c r="H220" s="313">
        <f t="shared" si="26"/>
        <v>0</v>
      </c>
      <c r="J220" s="8">
        <f>Données!AN220</f>
        <v>0</v>
      </c>
      <c r="K220" s="213">
        <f t="shared" si="27"/>
        <v>5667.0675471698114</v>
      </c>
      <c r="L220" s="12">
        <f t="shared" si="28"/>
        <v>0</v>
      </c>
      <c r="M220" s="313">
        <f t="shared" si="29"/>
        <v>0</v>
      </c>
      <c r="O220" s="42">
        <f t="shared" si="30"/>
        <v>0</v>
      </c>
      <c r="P220" s="270"/>
      <c r="Q220" s="226"/>
      <c r="R220" s="226"/>
      <c r="S220" s="226"/>
      <c r="T220" s="226"/>
      <c r="U220" s="226"/>
      <c r="AF220" s="11"/>
      <c r="AG220" s="11"/>
      <c r="AH220" s="11"/>
      <c r="AI220" s="11"/>
      <c r="AJ220" s="11"/>
      <c r="AK220" s="11"/>
      <c r="AL220" s="11"/>
    </row>
    <row r="221" spans="1:38" x14ac:dyDescent="0.25">
      <c r="A221" s="38">
        <f>+Données!A221</f>
        <v>5760</v>
      </c>
      <c r="B221" s="247" t="str">
        <f>+Données!B221</f>
        <v>Rances</v>
      </c>
      <c r="C221" s="235">
        <f>+Ecrêtage!C221</f>
        <v>16308.735686274507</v>
      </c>
      <c r="D221" s="233"/>
      <c r="E221" s="235">
        <f>Données!AF221+Données!AG221+Données!AH221</f>
        <v>0</v>
      </c>
      <c r="F221" s="233">
        <f t="shared" si="24"/>
        <v>130469.88549019606</v>
      </c>
      <c r="G221" s="8">
        <f t="shared" si="25"/>
        <v>0</v>
      </c>
      <c r="H221" s="313">
        <f t="shared" si="26"/>
        <v>0</v>
      </c>
      <c r="J221" s="8">
        <f>Données!AN221</f>
        <v>0</v>
      </c>
      <c r="K221" s="213">
        <f t="shared" si="27"/>
        <v>16308.735686274507</v>
      </c>
      <c r="L221" s="12">
        <f t="shared" si="28"/>
        <v>0</v>
      </c>
      <c r="M221" s="313">
        <f t="shared" si="29"/>
        <v>0</v>
      </c>
      <c r="O221" s="42">
        <f t="shared" si="30"/>
        <v>0</v>
      </c>
      <c r="P221" s="270"/>
      <c r="Q221" s="226"/>
      <c r="R221" s="226"/>
      <c r="S221" s="226"/>
      <c r="T221" s="226"/>
      <c r="U221" s="226"/>
      <c r="AF221" s="11"/>
      <c r="AG221" s="11"/>
      <c r="AH221" s="11"/>
      <c r="AI221" s="11"/>
      <c r="AJ221" s="11"/>
      <c r="AK221" s="11"/>
      <c r="AL221" s="11"/>
    </row>
    <row r="222" spans="1:38" x14ac:dyDescent="0.25">
      <c r="A222" s="38">
        <f>+Données!A222</f>
        <v>5761</v>
      </c>
      <c r="B222" s="247" t="str">
        <f>+Données!B222</f>
        <v>Romainmôtier-Envy</v>
      </c>
      <c r="C222" s="235">
        <f>+Ecrêtage!C222</f>
        <v>14407.779147025813</v>
      </c>
      <c r="D222" s="233"/>
      <c r="E222" s="235">
        <f>Données!AF222+Données!AG222+Données!AH222</f>
        <v>0</v>
      </c>
      <c r="F222" s="233">
        <f t="shared" si="24"/>
        <v>115262.2331762065</v>
      </c>
      <c r="G222" s="8">
        <f t="shared" si="25"/>
        <v>0</v>
      </c>
      <c r="H222" s="313">
        <f t="shared" si="26"/>
        <v>0</v>
      </c>
      <c r="J222" s="8">
        <f>Données!AN222</f>
        <v>0</v>
      </c>
      <c r="K222" s="213">
        <f t="shared" si="27"/>
        <v>14407.779147025813</v>
      </c>
      <c r="L222" s="12">
        <f t="shared" si="28"/>
        <v>0</v>
      </c>
      <c r="M222" s="313">
        <f t="shared" si="29"/>
        <v>0</v>
      </c>
      <c r="O222" s="42">
        <f t="shared" si="30"/>
        <v>0</v>
      </c>
      <c r="P222" s="270"/>
      <c r="Q222" s="226"/>
      <c r="R222" s="226"/>
      <c r="S222" s="226"/>
      <c r="T222" s="226"/>
      <c r="U222" s="226"/>
      <c r="AF222" s="11"/>
      <c r="AG222" s="11"/>
      <c r="AH222" s="11"/>
      <c r="AI222" s="11"/>
      <c r="AJ222" s="11"/>
      <c r="AK222" s="11"/>
      <c r="AL222" s="11"/>
    </row>
    <row r="223" spans="1:38" x14ac:dyDescent="0.25">
      <c r="A223" s="38">
        <f>+Données!A223</f>
        <v>5762</v>
      </c>
      <c r="B223" s="247" t="str">
        <f>+Données!B223</f>
        <v>Sergey</v>
      </c>
      <c r="C223" s="235">
        <f>+Ecrêtage!C223</f>
        <v>3741.4505128205124</v>
      </c>
      <c r="D223" s="233"/>
      <c r="E223" s="235">
        <f>Données!AF223+Données!AG223+Données!AH223</f>
        <v>0</v>
      </c>
      <c r="F223" s="233">
        <f t="shared" si="24"/>
        <v>29931.604102564099</v>
      </c>
      <c r="G223" s="8">
        <f t="shared" si="25"/>
        <v>0</v>
      </c>
      <c r="H223" s="313">
        <f t="shared" si="26"/>
        <v>0</v>
      </c>
      <c r="J223" s="8">
        <f>Données!AN223</f>
        <v>0</v>
      </c>
      <c r="K223" s="213">
        <f t="shared" si="27"/>
        <v>3741.4505128205124</v>
      </c>
      <c r="L223" s="12">
        <f t="shared" si="28"/>
        <v>0</v>
      </c>
      <c r="M223" s="313">
        <f t="shared" si="29"/>
        <v>0</v>
      </c>
      <c r="O223" s="42">
        <f t="shared" si="30"/>
        <v>0</v>
      </c>
      <c r="P223" s="270"/>
      <c r="Q223" s="226"/>
      <c r="R223" s="226"/>
      <c r="S223" s="226"/>
      <c r="T223" s="226"/>
      <c r="U223" s="226"/>
      <c r="AF223" s="11"/>
      <c r="AG223" s="11"/>
      <c r="AH223" s="11"/>
      <c r="AI223" s="11"/>
      <c r="AJ223" s="11"/>
      <c r="AK223" s="11"/>
      <c r="AL223" s="11"/>
    </row>
    <row r="224" spans="1:38" x14ac:dyDescent="0.25">
      <c r="A224" s="38">
        <f>+Données!A224</f>
        <v>5763</v>
      </c>
      <c r="B224" s="247" t="str">
        <f>+Données!B224</f>
        <v>Valeyres-sous-Rances</v>
      </c>
      <c r="C224" s="235">
        <f>+Ecrêtage!C224</f>
        <v>22295.640563380282</v>
      </c>
      <c r="D224" s="233"/>
      <c r="E224" s="235">
        <f>Données!AF224+Données!AG224+Données!AH224</f>
        <v>0</v>
      </c>
      <c r="F224" s="233">
        <f t="shared" si="24"/>
        <v>178365.12450704226</v>
      </c>
      <c r="G224" s="8">
        <f t="shared" si="25"/>
        <v>0</v>
      </c>
      <c r="H224" s="313">
        <f t="shared" si="26"/>
        <v>0</v>
      </c>
      <c r="J224" s="8">
        <f>Données!AN224</f>
        <v>0</v>
      </c>
      <c r="K224" s="213">
        <f t="shared" si="27"/>
        <v>22295.640563380282</v>
      </c>
      <c r="L224" s="12">
        <f t="shared" si="28"/>
        <v>0</v>
      </c>
      <c r="M224" s="313">
        <f t="shared" si="29"/>
        <v>0</v>
      </c>
      <c r="O224" s="42">
        <f t="shared" si="30"/>
        <v>0</v>
      </c>
      <c r="P224" s="270"/>
      <c r="Q224" s="226"/>
      <c r="R224" s="226"/>
      <c r="S224" s="226"/>
      <c r="T224" s="226"/>
      <c r="U224" s="226"/>
      <c r="AF224" s="11"/>
      <c r="AG224" s="11"/>
      <c r="AH224" s="11"/>
      <c r="AI224" s="11"/>
      <c r="AJ224" s="11"/>
      <c r="AK224" s="11"/>
      <c r="AL224" s="11"/>
    </row>
    <row r="225" spans="1:38" x14ac:dyDescent="0.25">
      <c r="A225" s="38">
        <f>+Données!A225</f>
        <v>5764</v>
      </c>
      <c r="B225" s="247" t="str">
        <f>+Données!B225</f>
        <v>Vallorbe</v>
      </c>
      <c r="C225" s="235">
        <f>+Ecrêtage!C225</f>
        <v>83717.114965034954</v>
      </c>
      <c r="D225" s="233"/>
      <c r="E225" s="235">
        <f>Données!AF225+Données!AG225+Données!AH225</f>
        <v>0</v>
      </c>
      <c r="F225" s="233">
        <f t="shared" si="24"/>
        <v>669736.91972027963</v>
      </c>
      <c r="G225" s="8">
        <f t="shared" si="25"/>
        <v>0</v>
      </c>
      <c r="H225" s="313">
        <f t="shared" si="26"/>
        <v>0</v>
      </c>
      <c r="J225" s="8">
        <f>Données!AN225</f>
        <v>0</v>
      </c>
      <c r="K225" s="213">
        <f t="shared" si="27"/>
        <v>83717.114965034954</v>
      </c>
      <c r="L225" s="12">
        <f t="shared" si="28"/>
        <v>0</v>
      </c>
      <c r="M225" s="313">
        <f t="shared" si="29"/>
        <v>0</v>
      </c>
      <c r="O225" s="42">
        <f t="shared" si="30"/>
        <v>0</v>
      </c>
      <c r="P225" s="270"/>
      <c r="Q225" s="226"/>
      <c r="R225" s="226"/>
      <c r="S225" s="226"/>
      <c r="T225" s="226"/>
      <c r="U225" s="226"/>
      <c r="AF225" s="11"/>
      <c r="AG225" s="11"/>
      <c r="AH225" s="11"/>
      <c r="AI225" s="11"/>
      <c r="AJ225" s="11"/>
      <c r="AK225" s="11"/>
      <c r="AL225" s="11"/>
    </row>
    <row r="226" spans="1:38" x14ac:dyDescent="0.25">
      <c r="A226" s="38">
        <f>+Données!A226</f>
        <v>5765</v>
      </c>
      <c r="B226" s="247" t="str">
        <f>+Données!B226</f>
        <v>Vaulion</v>
      </c>
      <c r="C226" s="235">
        <f>+Ecrêtage!C226</f>
        <v>9628.0504938271606</v>
      </c>
      <c r="D226" s="233"/>
      <c r="E226" s="235">
        <f>Données!AF226+Données!AG226+Données!AH226</f>
        <v>0</v>
      </c>
      <c r="F226" s="233">
        <f t="shared" si="24"/>
        <v>77024.403950617285</v>
      </c>
      <c r="G226" s="8">
        <f t="shared" si="25"/>
        <v>0</v>
      </c>
      <c r="H226" s="313">
        <f t="shared" si="26"/>
        <v>0</v>
      </c>
      <c r="J226" s="8">
        <f>Données!AN226</f>
        <v>0</v>
      </c>
      <c r="K226" s="213">
        <f t="shared" si="27"/>
        <v>9628.0504938271606</v>
      </c>
      <c r="L226" s="12">
        <f t="shared" si="28"/>
        <v>0</v>
      </c>
      <c r="M226" s="313">
        <f t="shared" si="29"/>
        <v>0</v>
      </c>
      <c r="O226" s="42">
        <f t="shared" si="30"/>
        <v>0</v>
      </c>
      <c r="P226" s="270"/>
      <c r="Q226" s="226"/>
      <c r="R226" s="226"/>
      <c r="S226" s="226"/>
      <c r="T226" s="226"/>
      <c r="U226" s="226"/>
      <c r="AF226" s="11"/>
      <c r="AG226" s="11"/>
      <c r="AH226" s="11"/>
      <c r="AI226" s="11"/>
      <c r="AJ226" s="11"/>
      <c r="AK226" s="11"/>
      <c r="AL226" s="11"/>
    </row>
    <row r="227" spans="1:38" x14ac:dyDescent="0.25">
      <c r="A227" s="38">
        <f>+Données!A227</f>
        <v>5766</v>
      </c>
      <c r="B227" s="247" t="str">
        <f>+Données!B227</f>
        <v>Vuiteboeuf</v>
      </c>
      <c r="C227" s="235">
        <f>+Ecrêtage!C227</f>
        <v>15422.760361904762</v>
      </c>
      <c r="D227" s="233"/>
      <c r="E227" s="235">
        <f>Données!AF227+Données!AG227+Données!AH227</f>
        <v>0</v>
      </c>
      <c r="F227" s="233">
        <f t="shared" si="24"/>
        <v>123382.0828952381</v>
      </c>
      <c r="G227" s="8">
        <f t="shared" si="25"/>
        <v>0</v>
      </c>
      <c r="H227" s="313">
        <f t="shared" si="26"/>
        <v>0</v>
      </c>
      <c r="J227" s="8">
        <f>Données!AN227</f>
        <v>0</v>
      </c>
      <c r="K227" s="213">
        <f t="shared" si="27"/>
        <v>15422.760361904762</v>
      </c>
      <c r="L227" s="12">
        <f t="shared" si="28"/>
        <v>0</v>
      </c>
      <c r="M227" s="313">
        <f t="shared" si="29"/>
        <v>0</v>
      </c>
      <c r="O227" s="42">
        <f t="shared" si="30"/>
        <v>0</v>
      </c>
      <c r="P227" s="270"/>
      <c r="Q227" s="226"/>
      <c r="R227" s="226"/>
      <c r="S227" s="226"/>
      <c r="T227" s="226"/>
      <c r="U227" s="226"/>
      <c r="AF227" s="11"/>
      <c r="AG227" s="11"/>
      <c r="AH227" s="11"/>
      <c r="AI227" s="11"/>
      <c r="AJ227" s="11"/>
      <c r="AK227" s="11"/>
      <c r="AL227" s="11"/>
    </row>
    <row r="228" spans="1:38" x14ac:dyDescent="0.25">
      <c r="A228" s="38">
        <f>+Données!A228</f>
        <v>5785</v>
      </c>
      <c r="B228" s="247" t="str">
        <f>+Données!B228</f>
        <v>Corcelles-le-Jorat</v>
      </c>
      <c r="C228" s="235">
        <f>+Ecrêtage!C228</f>
        <v>15461.968933333332</v>
      </c>
      <c r="D228" s="233"/>
      <c r="E228" s="235">
        <f>Données!AF228+Données!AG228+Données!AH228</f>
        <v>0</v>
      </c>
      <c r="F228" s="233">
        <f t="shared" si="24"/>
        <v>123695.75146666665</v>
      </c>
      <c r="G228" s="8">
        <f t="shared" si="25"/>
        <v>0</v>
      </c>
      <c r="H228" s="313">
        <f t="shared" si="26"/>
        <v>0</v>
      </c>
      <c r="J228" s="8">
        <f>Données!AN228</f>
        <v>0</v>
      </c>
      <c r="K228" s="213">
        <f t="shared" si="27"/>
        <v>15461.968933333332</v>
      </c>
      <c r="L228" s="12">
        <f t="shared" si="28"/>
        <v>0</v>
      </c>
      <c r="M228" s="313">
        <f t="shared" si="29"/>
        <v>0</v>
      </c>
      <c r="O228" s="42">
        <f t="shared" si="30"/>
        <v>0</v>
      </c>
      <c r="P228" s="270"/>
      <c r="Q228" s="226"/>
      <c r="R228" s="226"/>
      <c r="S228" s="226"/>
      <c r="T228" s="226"/>
      <c r="U228" s="226"/>
      <c r="AF228" s="11"/>
      <c r="AG228" s="11"/>
      <c r="AH228" s="11"/>
      <c r="AI228" s="11"/>
      <c r="AJ228" s="11"/>
      <c r="AK228" s="11"/>
      <c r="AL228" s="11"/>
    </row>
    <row r="229" spans="1:38" x14ac:dyDescent="0.25">
      <c r="A229" s="38">
        <f>+Données!A229</f>
        <v>5790</v>
      </c>
      <c r="B229" s="247" t="str">
        <f>+Données!B229</f>
        <v>Maracon</v>
      </c>
      <c r="C229" s="235">
        <f>+Ecrêtage!C229</f>
        <v>16326.697583892621</v>
      </c>
      <c r="D229" s="233"/>
      <c r="E229" s="235">
        <f>Données!AF229+Données!AG229+Données!AH229</f>
        <v>0</v>
      </c>
      <c r="F229" s="233">
        <f t="shared" si="24"/>
        <v>130613.58067114097</v>
      </c>
      <c r="G229" s="8">
        <f t="shared" si="25"/>
        <v>0</v>
      </c>
      <c r="H229" s="313">
        <f t="shared" si="26"/>
        <v>0</v>
      </c>
      <c r="J229" s="8">
        <f>Données!AN229</f>
        <v>0</v>
      </c>
      <c r="K229" s="213">
        <f t="shared" si="27"/>
        <v>16326.697583892621</v>
      </c>
      <c r="L229" s="12">
        <f t="shared" si="28"/>
        <v>0</v>
      </c>
      <c r="M229" s="313">
        <f t="shared" si="29"/>
        <v>0</v>
      </c>
      <c r="O229" s="42">
        <f t="shared" si="30"/>
        <v>0</v>
      </c>
      <c r="P229" s="270"/>
      <c r="Q229" s="226"/>
      <c r="R229" s="226"/>
      <c r="S229" s="226"/>
      <c r="T229" s="226"/>
      <c r="U229" s="226"/>
      <c r="AF229" s="11"/>
      <c r="AG229" s="11"/>
      <c r="AH229" s="11"/>
      <c r="AI229" s="11"/>
      <c r="AJ229" s="11"/>
      <c r="AK229" s="11"/>
      <c r="AL229" s="11"/>
    </row>
    <row r="230" spans="1:38" x14ac:dyDescent="0.25">
      <c r="A230" s="38">
        <f>+Données!A230</f>
        <v>5792</v>
      </c>
      <c r="B230" s="247" t="str">
        <f>+Données!B230</f>
        <v>Montpreveyres</v>
      </c>
      <c r="C230" s="235">
        <f>+Ecrêtage!C230</f>
        <v>19363.161854304632</v>
      </c>
      <c r="D230" s="233"/>
      <c r="E230" s="235">
        <f>Données!AF230+Données!AG230+Données!AH230</f>
        <v>0</v>
      </c>
      <c r="F230" s="233">
        <f t="shared" si="24"/>
        <v>154905.29483443705</v>
      </c>
      <c r="G230" s="8">
        <f t="shared" si="25"/>
        <v>0</v>
      </c>
      <c r="H230" s="313">
        <f t="shared" si="26"/>
        <v>0</v>
      </c>
      <c r="J230" s="8">
        <f>Données!AN230</f>
        <v>0</v>
      </c>
      <c r="K230" s="213">
        <f t="shared" si="27"/>
        <v>19363.161854304632</v>
      </c>
      <c r="L230" s="12">
        <f t="shared" si="28"/>
        <v>0</v>
      </c>
      <c r="M230" s="313">
        <f t="shared" si="29"/>
        <v>0</v>
      </c>
      <c r="O230" s="42">
        <f t="shared" si="30"/>
        <v>0</v>
      </c>
      <c r="P230" s="270"/>
      <c r="Q230" s="226"/>
      <c r="R230" s="226"/>
      <c r="S230" s="226"/>
      <c r="T230" s="226"/>
      <c r="U230" s="226"/>
      <c r="AF230" s="11"/>
      <c r="AG230" s="11"/>
      <c r="AH230" s="11"/>
      <c r="AI230" s="11"/>
      <c r="AJ230" s="11"/>
      <c r="AK230" s="11"/>
      <c r="AL230" s="11"/>
    </row>
    <row r="231" spans="1:38" x14ac:dyDescent="0.25">
      <c r="A231" s="38">
        <f>+Données!A231</f>
        <v>5798</v>
      </c>
      <c r="B231" s="247" t="str">
        <f>+Données!B231</f>
        <v>Ropraz</v>
      </c>
      <c r="C231" s="235">
        <f>+Ecrêtage!C231</f>
        <v>16208.351096774193</v>
      </c>
      <c r="D231" s="233"/>
      <c r="E231" s="235">
        <f>Données!AF231+Données!AG231+Données!AH231</f>
        <v>0</v>
      </c>
      <c r="F231" s="233">
        <f t="shared" si="24"/>
        <v>129666.80877419355</v>
      </c>
      <c r="G231" s="8">
        <f t="shared" si="25"/>
        <v>0</v>
      </c>
      <c r="H231" s="313">
        <f t="shared" si="26"/>
        <v>0</v>
      </c>
      <c r="J231" s="8">
        <f>Données!AN231</f>
        <v>0</v>
      </c>
      <c r="K231" s="213">
        <f t="shared" si="27"/>
        <v>16208.351096774193</v>
      </c>
      <c r="L231" s="12">
        <f t="shared" si="28"/>
        <v>0</v>
      </c>
      <c r="M231" s="313">
        <f t="shared" si="29"/>
        <v>0</v>
      </c>
      <c r="O231" s="42">
        <f t="shared" si="30"/>
        <v>0</v>
      </c>
      <c r="P231" s="270"/>
      <c r="Q231" s="226"/>
      <c r="R231" s="226"/>
      <c r="S231" s="226"/>
      <c r="T231" s="226"/>
      <c r="U231" s="226"/>
      <c r="AF231" s="11"/>
      <c r="AG231" s="11"/>
      <c r="AH231" s="11"/>
      <c r="AI231" s="11"/>
      <c r="AJ231" s="11"/>
      <c r="AK231" s="11"/>
      <c r="AL231" s="11"/>
    </row>
    <row r="232" spans="1:38" x14ac:dyDescent="0.25">
      <c r="A232" s="38">
        <f>+Données!A232</f>
        <v>5799</v>
      </c>
      <c r="B232" s="247" t="str">
        <f>+Données!B232</f>
        <v>Servion</v>
      </c>
      <c r="C232" s="235">
        <f>+Ecrêtage!C232</f>
        <v>73170.718115942043</v>
      </c>
      <c r="D232" s="233"/>
      <c r="E232" s="235">
        <f>Données!AF232+Données!AG232+Données!AH232</f>
        <v>0</v>
      </c>
      <c r="F232" s="233">
        <f t="shared" si="24"/>
        <v>585365.74492753635</v>
      </c>
      <c r="G232" s="8">
        <f t="shared" si="25"/>
        <v>0</v>
      </c>
      <c r="H232" s="313">
        <f t="shared" si="26"/>
        <v>0</v>
      </c>
      <c r="J232" s="8">
        <f>Données!AN232</f>
        <v>0</v>
      </c>
      <c r="K232" s="213">
        <f t="shared" si="27"/>
        <v>73170.718115942043</v>
      </c>
      <c r="L232" s="12">
        <f t="shared" si="28"/>
        <v>0</v>
      </c>
      <c r="M232" s="313">
        <f t="shared" si="29"/>
        <v>0</v>
      </c>
      <c r="O232" s="42">
        <f t="shared" si="30"/>
        <v>0</v>
      </c>
      <c r="P232" s="270"/>
      <c r="Q232" s="226"/>
      <c r="R232" s="226"/>
      <c r="S232" s="226"/>
      <c r="T232" s="226"/>
      <c r="U232" s="226"/>
      <c r="AF232" s="11"/>
      <c r="AG232" s="11"/>
      <c r="AH232" s="11"/>
      <c r="AI232" s="11"/>
      <c r="AJ232" s="11"/>
      <c r="AK232" s="11"/>
      <c r="AL232" s="11"/>
    </row>
    <row r="233" spans="1:38" x14ac:dyDescent="0.25">
      <c r="A233" s="38">
        <f>+Données!A233</f>
        <v>5803</v>
      </c>
      <c r="B233" s="247" t="str">
        <f>+Données!B233</f>
        <v>Vulliens</v>
      </c>
      <c r="C233" s="235">
        <f>+Ecrêtage!C233</f>
        <v>16577.57405405405</v>
      </c>
      <c r="D233" s="233"/>
      <c r="E233" s="235">
        <f>Données!AF233+Données!AG233+Données!AH233</f>
        <v>0</v>
      </c>
      <c r="F233" s="233">
        <f t="shared" si="24"/>
        <v>132620.5924324324</v>
      </c>
      <c r="G233" s="8">
        <f t="shared" si="25"/>
        <v>0</v>
      </c>
      <c r="H233" s="313">
        <f t="shared" si="26"/>
        <v>0</v>
      </c>
      <c r="J233" s="8">
        <f>Données!AN233</f>
        <v>0</v>
      </c>
      <c r="K233" s="213">
        <f t="shared" si="27"/>
        <v>16577.57405405405</v>
      </c>
      <c r="L233" s="12">
        <f t="shared" si="28"/>
        <v>0</v>
      </c>
      <c r="M233" s="313">
        <f t="shared" si="29"/>
        <v>0</v>
      </c>
      <c r="O233" s="42">
        <f t="shared" si="30"/>
        <v>0</v>
      </c>
      <c r="P233" s="270"/>
      <c r="Q233" s="226"/>
      <c r="R233" s="226"/>
      <c r="S233" s="226"/>
      <c r="T233" s="226"/>
      <c r="U233" s="226"/>
      <c r="AF233" s="11"/>
      <c r="AG233" s="11"/>
      <c r="AH233" s="11"/>
      <c r="AI233" s="11"/>
      <c r="AJ233" s="11"/>
      <c r="AK233" s="11"/>
      <c r="AL233" s="11"/>
    </row>
    <row r="234" spans="1:38" x14ac:dyDescent="0.25">
      <c r="A234" s="38">
        <f>+Données!A234</f>
        <v>5804</v>
      </c>
      <c r="B234" s="247" t="str">
        <f>+Données!B234</f>
        <v>Jorat-Menthue</v>
      </c>
      <c r="C234" s="235">
        <f>+Ecrêtage!C234</f>
        <v>45125.345957446807</v>
      </c>
      <c r="D234" s="233"/>
      <c r="E234" s="235">
        <f>Données!AF234+Données!AG234+Données!AH234</f>
        <v>0</v>
      </c>
      <c r="F234" s="233">
        <f t="shared" si="24"/>
        <v>361002.76765957446</v>
      </c>
      <c r="G234" s="8">
        <f t="shared" si="25"/>
        <v>0</v>
      </c>
      <c r="H234" s="313">
        <f t="shared" si="26"/>
        <v>0</v>
      </c>
      <c r="J234" s="8">
        <f>Données!AN234</f>
        <v>0</v>
      </c>
      <c r="K234" s="213">
        <f t="shared" si="27"/>
        <v>45125.345957446807</v>
      </c>
      <c r="L234" s="12">
        <f t="shared" si="28"/>
        <v>0</v>
      </c>
      <c r="M234" s="313">
        <f t="shared" si="29"/>
        <v>0</v>
      </c>
      <c r="O234" s="42">
        <f t="shared" si="30"/>
        <v>0</v>
      </c>
      <c r="P234" s="270"/>
      <c r="Q234" s="226"/>
      <c r="R234" s="226"/>
      <c r="S234" s="226"/>
      <c r="T234" s="226"/>
      <c r="U234" s="226"/>
      <c r="AF234" s="11"/>
      <c r="AG234" s="11"/>
      <c r="AH234" s="11"/>
      <c r="AI234" s="11"/>
      <c r="AJ234" s="11"/>
      <c r="AK234" s="11"/>
      <c r="AL234" s="11"/>
    </row>
    <row r="235" spans="1:38" x14ac:dyDescent="0.25">
      <c r="A235" s="38">
        <f>+Données!A235</f>
        <v>5805</v>
      </c>
      <c r="B235" s="247" t="str">
        <f>+Données!B235</f>
        <v>Oron</v>
      </c>
      <c r="C235" s="235">
        <f>+Ecrêtage!C235</f>
        <v>174509.83123847167</v>
      </c>
      <c r="D235" s="233"/>
      <c r="E235" s="235">
        <f>Données!AF235+Données!AG235+Données!AH235</f>
        <v>0</v>
      </c>
      <c r="F235" s="233">
        <f t="shared" si="24"/>
        <v>1396078.6499077734</v>
      </c>
      <c r="G235" s="8">
        <f t="shared" si="25"/>
        <v>0</v>
      </c>
      <c r="H235" s="313">
        <f t="shared" si="26"/>
        <v>0</v>
      </c>
      <c r="J235" s="8">
        <f>Données!AN235</f>
        <v>0</v>
      </c>
      <c r="K235" s="213">
        <f t="shared" si="27"/>
        <v>174509.83123847167</v>
      </c>
      <c r="L235" s="12">
        <f t="shared" si="28"/>
        <v>0</v>
      </c>
      <c r="M235" s="313">
        <f t="shared" si="29"/>
        <v>0</v>
      </c>
      <c r="O235" s="42">
        <f t="shared" si="30"/>
        <v>0</v>
      </c>
      <c r="P235" s="270"/>
      <c r="Q235" s="226"/>
      <c r="R235" s="226"/>
      <c r="S235" s="226"/>
      <c r="T235" s="226"/>
      <c r="U235" s="226"/>
      <c r="AF235" s="11"/>
      <c r="AG235" s="11"/>
      <c r="AH235" s="11"/>
      <c r="AI235" s="11"/>
      <c r="AJ235" s="11"/>
      <c r="AK235" s="11"/>
      <c r="AL235" s="11"/>
    </row>
    <row r="236" spans="1:38" x14ac:dyDescent="0.25">
      <c r="A236" s="38">
        <f>+Données!A236</f>
        <v>5806</v>
      </c>
      <c r="B236" s="247" t="str">
        <f>+Données!B236</f>
        <v>Jorat-Mézières</v>
      </c>
      <c r="C236" s="235">
        <f>+Ecrêtage!C236</f>
        <v>102977.86342465752</v>
      </c>
      <c r="D236" s="233"/>
      <c r="E236" s="235">
        <f>Données!AF236+Données!AG236+Données!AH236</f>
        <v>0</v>
      </c>
      <c r="F236" s="233">
        <f t="shared" si="24"/>
        <v>823822.90739726019</v>
      </c>
      <c r="G236" s="8">
        <f t="shared" si="25"/>
        <v>0</v>
      </c>
      <c r="H236" s="313">
        <f t="shared" si="26"/>
        <v>0</v>
      </c>
      <c r="J236" s="8">
        <f>Données!AN236</f>
        <v>0</v>
      </c>
      <c r="K236" s="213">
        <f t="shared" si="27"/>
        <v>102977.86342465752</v>
      </c>
      <c r="L236" s="12">
        <f t="shared" si="28"/>
        <v>0</v>
      </c>
      <c r="M236" s="313">
        <f t="shared" si="29"/>
        <v>0</v>
      </c>
      <c r="O236" s="42">
        <f t="shared" si="30"/>
        <v>0</v>
      </c>
      <c r="P236" s="270"/>
      <c r="Q236" s="226"/>
      <c r="R236" s="226"/>
      <c r="S236" s="226"/>
      <c r="T236" s="226"/>
      <c r="U236" s="226"/>
      <c r="AF236" s="11"/>
      <c r="AG236" s="11"/>
      <c r="AH236" s="11"/>
      <c r="AI236" s="11"/>
      <c r="AJ236" s="11"/>
      <c r="AK236" s="11"/>
      <c r="AL236" s="11"/>
    </row>
    <row r="237" spans="1:38" x14ac:dyDescent="0.25">
      <c r="A237" s="38">
        <f>+Données!A237</f>
        <v>5812</v>
      </c>
      <c r="B237" s="247" t="str">
        <f>+Données!B237</f>
        <v>Champtauroz</v>
      </c>
      <c r="C237" s="235">
        <f>+Ecrêtage!C237</f>
        <v>3602.9164935064928</v>
      </c>
      <c r="D237" s="233"/>
      <c r="E237" s="235">
        <f>Données!AF237+Données!AG237+Données!AH237</f>
        <v>0</v>
      </c>
      <c r="F237" s="233">
        <f t="shared" si="24"/>
        <v>28823.331948051942</v>
      </c>
      <c r="G237" s="8">
        <f t="shared" si="25"/>
        <v>0</v>
      </c>
      <c r="H237" s="313">
        <f t="shared" si="26"/>
        <v>0</v>
      </c>
      <c r="J237" s="8">
        <f>Données!AN237</f>
        <v>0</v>
      </c>
      <c r="K237" s="213">
        <f t="shared" si="27"/>
        <v>3602.9164935064928</v>
      </c>
      <c r="L237" s="12">
        <f t="shared" si="28"/>
        <v>0</v>
      </c>
      <c r="M237" s="313">
        <f t="shared" si="29"/>
        <v>0</v>
      </c>
      <c r="O237" s="42">
        <f t="shared" si="30"/>
        <v>0</v>
      </c>
      <c r="P237" s="270"/>
      <c r="Q237" s="226"/>
      <c r="R237" s="226"/>
      <c r="S237" s="226"/>
      <c r="T237" s="226"/>
      <c r="U237" s="226"/>
      <c r="AF237" s="11"/>
      <c r="AG237" s="11"/>
      <c r="AH237" s="11"/>
      <c r="AI237" s="11"/>
      <c r="AJ237" s="11"/>
      <c r="AK237" s="11"/>
      <c r="AL237" s="11"/>
    </row>
    <row r="238" spans="1:38" x14ac:dyDescent="0.25">
      <c r="A238" s="38">
        <f>+Données!A238</f>
        <v>5813</v>
      </c>
      <c r="B238" s="247" t="str">
        <f>+Données!B238</f>
        <v>Chevroux</v>
      </c>
      <c r="C238" s="235">
        <f>+Ecrêtage!C238</f>
        <v>17498.80282238443</v>
      </c>
      <c r="D238" s="233"/>
      <c r="E238" s="235">
        <f>Données!AF238+Données!AG238+Données!AH238</f>
        <v>0</v>
      </c>
      <c r="F238" s="233">
        <f t="shared" si="24"/>
        <v>139990.42257907544</v>
      </c>
      <c r="G238" s="8">
        <f t="shared" si="25"/>
        <v>0</v>
      </c>
      <c r="H238" s="313">
        <f t="shared" si="26"/>
        <v>0</v>
      </c>
      <c r="J238" s="8">
        <f>Données!AN238</f>
        <v>0</v>
      </c>
      <c r="K238" s="213">
        <f t="shared" si="27"/>
        <v>17498.80282238443</v>
      </c>
      <c r="L238" s="12">
        <f t="shared" si="28"/>
        <v>0</v>
      </c>
      <c r="M238" s="313">
        <f t="shared" si="29"/>
        <v>0</v>
      </c>
      <c r="O238" s="42">
        <f t="shared" si="30"/>
        <v>0</v>
      </c>
      <c r="P238" s="270"/>
      <c r="Q238" s="226"/>
      <c r="R238" s="226"/>
      <c r="S238" s="226"/>
      <c r="T238" s="226"/>
      <c r="U238" s="226"/>
      <c r="AF238" s="11"/>
      <c r="AG238" s="11"/>
      <c r="AH238" s="11"/>
      <c r="AI238" s="11"/>
      <c r="AJ238" s="11"/>
      <c r="AK238" s="11"/>
      <c r="AL238" s="11"/>
    </row>
    <row r="239" spans="1:38" x14ac:dyDescent="0.25">
      <c r="A239" s="38">
        <f>+Données!A239</f>
        <v>5816</v>
      </c>
      <c r="B239" s="247" t="str">
        <f>+Données!B239</f>
        <v>Corcelles-près-Payerne</v>
      </c>
      <c r="C239" s="235">
        <f>+Ecrêtage!C239</f>
        <v>65701.749572471308</v>
      </c>
      <c r="D239" s="233"/>
      <c r="E239" s="235">
        <f>Données!AF239+Données!AG239+Données!AH239</f>
        <v>0</v>
      </c>
      <c r="F239" s="233">
        <f t="shared" si="24"/>
        <v>525613.99657977046</v>
      </c>
      <c r="G239" s="8">
        <f t="shared" si="25"/>
        <v>0</v>
      </c>
      <c r="H239" s="313">
        <f t="shared" si="26"/>
        <v>0</v>
      </c>
      <c r="J239" s="8">
        <f>Données!AN239</f>
        <v>0</v>
      </c>
      <c r="K239" s="213">
        <f t="shared" si="27"/>
        <v>65701.749572471308</v>
      </c>
      <c r="L239" s="12">
        <f t="shared" si="28"/>
        <v>0</v>
      </c>
      <c r="M239" s="313">
        <f t="shared" si="29"/>
        <v>0</v>
      </c>
      <c r="O239" s="42">
        <f t="shared" si="30"/>
        <v>0</v>
      </c>
      <c r="P239" s="270"/>
      <c r="Q239" s="226"/>
      <c r="R239" s="226"/>
      <c r="S239" s="226"/>
      <c r="T239" s="226"/>
      <c r="U239" s="226"/>
      <c r="AF239" s="11"/>
      <c r="AG239" s="11"/>
      <c r="AH239" s="11"/>
      <c r="AI239" s="11"/>
      <c r="AJ239" s="11"/>
      <c r="AK239" s="11"/>
      <c r="AL239" s="11"/>
    </row>
    <row r="240" spans="1:38" x14ac:dyDescent="0.25">
      <c r="A240" s="38">
        <f>+Données!A240</f>
        <v>5817</v>
      </c>
      <c r="B240" s="247" t="str">
        <f>+Données!B240</f>
        <v>Grandcour</v>
      </c>
      <c r="C240" s="235">
        <f>+Ecrêtage!C240</f>
        <v>25916.897414965984</v>
      </c>
      <c r="D240" s="233"/>
      <c r="E240" s="235">
        <f>Données!AF240+Données!AG240+Données!AH240</f>
        <v>0</v>
      </c>
      <c r="F240" s="233">
        <f t="shared" si="24"/>
        <v>207335.17931972787</v>
      </c>
      <c r="G240" s="8">
        <f t="shared" si="25"/>
        <v>0</v>
      </c>
      <c r="H240" s="313">
        <f t="shared" si="26"/>
        <v>0</v>
      </c>
      <c r="J240" s="8">
        <f>Données!AN240</f>
        <v>0</v>
      </c>
      <c r="K240" s="213">
        <f t="shared" si="27"/>
        <v>25916.897414965984</v>
      </c>
      <c r="L240" s="12">
        <f t="shared" si="28"/>
        <v>0</v>
      </c>
      <c r="M240" s="313">
        <f t="shared" si="29"/>
        <v>0</v>
      </c>
      <c r="O240" s="42">
        <f t="shared" si="30"/>
        <v>0</v>
      </c>
      <c r="P240" s="270"/>
      <c r="Q240" s="226"/>
      <c r="R240" s="226"/>
      <c r="S240" s="226"/>
      <c r="T240" s="226"/>
      <c r="U240" s="226"/>
      <c r="AF240" s="11"/>
      <c r="AG240" s="11"/>
      <c r="AH240" s="11"/>
      <c r="AI240" s="11"/>
      <c r="AJ240" s="11"/>
      <c r="AK240" s="11"/>
      <c r="AL240" s="11"/>
    </row>
    <row r="241" spans="1:38" x14ac:dyDescent="0.25">
      <c r="A241" s="38">
        <f>+Données!A241</f>
        <v>5819</v>
      </c>
      <c r="B241" s="247" t="str">
        <f>+Données!B241</f>
        <v>Henniez</v>
      </c>
      <c r="C241" s="235">
        <f>+Ecrêtage!C241</f>
        <v>10275.75579710145</v>
      </c>
      <c r="D241" s="233"/>
      <c r="E241" s="235">
        <f>Données!AF241+Données!AG241+Données!AH241</f>
        <v>0</v>
      </c>
      <c r="F241" s="233">
        <f t="shared" si="24"/>
        <v>82206.046376811602</v>
      </c>
      <c r="G241" s="8">
        <f t="shared" si="25"/>
        <v>0</v>
      </c>
      <c r="H241" s="313">
        <f t="shared" si="26"/>
        <v>0</v>
      </c>
      <c r="J241" s="8">
        <f>Données!AN241</f>
        <v>0</v>
      </c>
      <c r="K241" s="213">
        <f t="shared" si="27"/>
        <v>10275.75579710145</v>
      </c>
      <c r="L241" s="12">
        <f t="shared" si="28"/>
        <v>0</v>
      </c>
      <c r="M241" s="313">
        <f t="shared" si="29"/>
        <v>0</v>
      </c>
      <c r="O241" s="42">
        <f t="shared" si="30"/>
        <v>0</v>
      </c>
      <c r="P241" s="270"/>
      <c r="Q241" s="226"/>
      <c r="R241" s="226"/>
      <c r="S241" s="226"/>
      <c r="T241" s="226"/>
      <c r="U241" s="226"/>
      <c r="AF241" s="11"/>
      <c r="AG241" s="11"/>
      <c r="AH241" s="11"/>
      <c r="AI241" s="11"/>
      <c r="AJ241" s="11"/>
      <c r="AK241" s="11"/>
      <c r="AL241" s="11"/>
    </row>
    <row r="242" spans="1:38" x14ac:dyDescent="0.25">
      <c r="A242" s="38">
        <f>+Données!A242</f>
        <v>5821</v>
      </c>
      <c r="B242" s="247" t="str">
        <f>+Données!B242</f>
        <v>Missy</v>
      </c>
      <c r="C242" s="235">
        <f>+Ecrêtage!C242</f>
        <v>8375.965000000002</v>
      </c>
      <c r="D242" s="233"/>
      <c r="E242" s="235">
        <f>Données!AF242+Données!AG242+Données!AH242</f>
        <v>0</v>
      </c>
      <c r="F242" s="233">
        <f t="shared" si="24"/>
        <v>67007.720000000016</v>
      </c>
      <c r="G242" s="8">
        <f t="shared" si="25"/>
        <v>0</v>
      </c>
      <c r="H242" s="313">
        <f t="shared" si="26"/>
        <v>0</v>
      </c>
      <c r="J242" s="8">
        <f>Données!AN242</f>
        <v>0</v>
      </c>
      <c r="K242" s="213">
        <f t="shared" si="27"/>
        <v>8375.965000000002</v>
      </c>
      <c r="L242" s="12">
        <f t="shared" si="28"/>
        <v>0</v>
      </c>
      <c r="M242" s="313">
        <f t="shared" si="29"/>
        <v>0</v>
      </c>
      <c r="O242" s="42">
        <f t="shared" si="30"/>
        <v>0</v>
      </c>
      <c r="P242" s="270"/>
      <c r="Q242" s="226"/>
      <c r="R242" s="226"/>
      <c r="S242" s="226"/>
      <c r="T242" s="226"/>
      <c r="U242" s="226"/>
      <c r="AF242" s="11"/>
      <c r="AG242" s="11"/>
      <c r="AH242" s="11"/>
      <c r="AI242" s="11"/>
      <c r="AJ242" s="11"/>
      <c r="AK242" s="11"/>
      <c r="AL242" s="11"/>
    </row>
    <row r="243" spans="1:38" x14ac:dyDescent="0.25">
      <c r="A243" s="38">
        <f>+Données!A243</f>
        <v>5822</v>
      </c>
      <c r="B243" s="247" t="str">
        <f>+Données!B243</f>
        <v>Payerne</v>
      </c>
      <c r="C243" s="235">
        <f>+Ecrêtage!C243</f>
        <v>226909.24698630138</v>
      </c>
      <c r="D243" s="233"/>
      <c r="E243" s="235">
        <f>Données!AF243+Données!AG243+Données!AH243</f>
        <v>0</v>
      </c>
      <c r="F243" s="233">
        <f t="shared" si="24"/>
        <v>1815273.9758904111</v>
      </c>
      <c r="G243" s="8">
        <f t="shared" si="25"/>
        <v>0</v>
      </c>
      <c r="H243" s="313">
        <f t="shared" si="26"/>
        <v>0</v>
      </c>
      <c r="J243" s="8">
        <f>Données!AN243</f>
        <v>0</v>
      </c>
      <c r="K243" s="213">
        <f t="shared" si="27"/>
        <v>226909.24698630138</v>
      </c>
      <c r="L243" s="12">
        <f t="shared" si="28"/>
        <v>0</v>
      </c>
      <c r="M243" s="313">
        <f t="shared" si="29"/>
        <v>0</v>
      </c>
      <c r="O243" s="42">
        <f t="shared" si="30"/>
        <v>0</v>
      </c>
      <c r="P243" s="270"/>
      <c r="Q243" s="226"/>
      <c r="R243" s="226"/>
      <c r="S243" s="226"/>
      <c r="T243" s="226"/>
      <c r="U243" s="226"/>
      <c r="AF243" s="11"/>
      <c r="AG243" s="11"/>
      <c r="AH243" s="11"/>
      <c r="AI243" s="11"/>
      <c r="AJ243" s="11"/>
      <c r="AK243" s="11"/>
      <c r="AL243" s="11"/>
    </row>
    <row r="244" spans="1:38" x14ac:dyDescent="0.25">
      <c r="A244" s="38">
        <f>+Données!A244</f>
        <v>5827</v>
      </c>
      <c r="B244" s="247" t="str">
        <f>+Données!B244</f>
        <v>Trey</v>
      </c>
      <c r="C244" s="235">
        <f>+Ecrêtage!C244</f>
        <v>7715.2558974358981</v>
      </c>
      <c r="D244" s="233"/>
      <c r="E244" s="235">
        <f>Données!AF244+Données!AG244+Données!AH244</f>
        <v>0</v>
      </c>
      <c r="F244" s="233">
        <f t="shared" si="24"/>
        <v>61722.047179487185</v>
      </c>
      <c r="G244" s="8">
        <f t="shared" si="25"/>
        <v>0</v>
      </c>
      <c r="H244" s="313">
        <f t="shared" si="26"/>
        <v>0</v>
      </c>
      <c r="J244" s="8">
        <f>Données!AN244</f>
        <v>0</v>
      </c>
      <c r="K244" s="213">
        <f t="shared" si="27"/>
        <v>7715.2558974358981</v>
      </c>
      <c r="L244" s="12">
        <f t="shared" si="28"/>
        <v>0</v>
      </c>
      <c r="M244" s="313">
        <f t="shared" si="29"/>
        <v>0</v>
      </c>
      <c r="O244" s="42">
        <f t="shared" si="30"/>
        <v>0</v>
      </c>
      <c r="P244" s="270"/>
      <c r="Q244" s="226"/>
      <c r="R244" s="226"/>
      <c r="S244" s="226"/>
      <c r="T244" s="226"/>
      <c r="U244" s="226"/>
      <c r="AF244" s="11"/>
      <c r="AG244" s="11"/>
      <c r="AH244" s="11"/>
      <c r="AI244" s="11"/>
      <c r="AJ244" s="11"/>
      <c r="AK244" s="11"/>
      <c r="AL244" s="11"/>
    </row>
    <row r="245" spans="1:38" x14ac:dyDescent="0.25">
      <c r="A245" s="38">
        <f>+Données!A245</f>
        <v>5828</v>
      </c>
      <c r="B245" s="247" t="str">
        <f>+Données!B245</f>
        <v>Treytorrens (Payerne)</v>
      </c>
      <c r="C245" s="235">
        <f>+Ecrêtage!C245</f>
        <v>2864.8065848670758</v>
      </c>
      <c r="D245" s="233"/>
      <c r="E245" s="235">
        <f>Données!AF245+Données!AG245+Données!AH245</f>
        <v>0</v>
      </c>
      <c r="F245" s="233">
        <f t="shared" si="24"/>
        <v>22918.452678936606</v>
      </c>
      <c r="G245" s="8">
        <f t="shared" si="25"/>
        <v>0</v>
      </c>
      <c r="H245" s="313">
        <f t="shared" si="26"/>
        <v>0</v>
      </c>
      <c r="J245" s="8">
        <f>Données!AN245</f>
        <v>0</v>
      </c>
      <c r="K245" s="213">
        <f t="shared" si="27"/>
        <v>2864.8065848670758</v>
      </c>
      <c r="L245" s="12">
        <f t="shared" si="28"/>
        <v>0</v>
      </c>
      <c r="M245" s="313">
        <f t="shared" si="29"/>
        <v>0</v>
      </c>
      <c r="O245" s="42">
        <f t="shared" si="30"/>
        <v>0</v>
      </c>
      <c r="P245" s="270"/>
      <c r="Q245" s="226"/>
      <c r="R245" s="226"/>
      <c r="S245" s="226"/>
      <c r="T245" s="226"/>
      <c r="U245" s="226"/>
      <c r="AF245" s="11"/>
      <c r="AG245" s="11"/>
      <c r="AH245" s="11"/>
      <c r="AI245" s="11"/>
      <c r="AJ245" s="11"/>
      <c r="AK245" s="11"/>
      <c r="AL245" s="11"/>
    </row>
    <row r="246" spans="1:38" x14ac:dyDescent="0.25">
      <c r="A246" s="38">
        <f>+Données!A246</f>
        <v>5830</v>
      </c>
      <c r="B246" s="247" t="str">
        <f>+Données!B246</f>
        <v>Villarzel</v>
      </c>
      <c r="C246" s="235">
        <f>+Ecrêtage!C246</f>
        <v>12474.180666666667</v>
      </c>
      <c r="D246" s="233"/>
      <c r="E246" s="235">
        <f>Données!AF246+Données!AG246+Données!AH246</f>
        <v>0</v>
      </c>
      <c r="F246" s="233">
        <f t="shared" si="24"/>
        <v>99793.445333333337</v>
      </c>
      <c r="G246" s="8">
        <f t="shared" si="25"/>
        <v>0</v>
      </c>
      <c r="H246" s="313">
        <f t="shared" si="26"/>
        <v>0</v>
      </c>
      <c r="J246" s="8">
        <f>Données!AN246</f>
        <v>0</v>
      </c>
      <c r="K246" s="213">
        <f t="shared" si="27"/>
        <v>12474.180666666667</v>
      </c>
      <c r="L246" s="12">
        <f t="shared" si="28"/>
        <v>0</v>
      </c>
      <c r="M246" s="313">
        <f t="shared" si="29"/>
        <v>0</v>
      </c>
      <c r="O246" s="42">
        <f t="shared" si="30"/>
        <v>0</v>
      </c>
      <c r="P246" s="270"/>
      <c r="Q246" s="226"/>
      <c r="R246" s="226"/>
      <c r="S246" s="226"/>
      <c r="T246" s="226"/>
      <c r="U246" s="226"/>
      <c r="AF246" s="11"/>
      <c r="AG246" s="11"/>
      <c r="AH246" s="11"/>
      <c r="AI246" s="11"/>
      <c r="AJ246" s="11"/>
      <c r="AK246" s="11"/>
      <c r="AL246" s="11"/>
    </row>
    <row r="247" spans="1:38" x14ac:dyDescent="0.25">
      <c r="A247" s="38">
        <f>+Données!A247</f>
        <v>5831</v>
      </c>
      <c r="B247" s="247" t="str">
        <f>+Données!B247</f>
        <v>Valbroye</v>
      </c>
      <c r="C247" s="235">
        <f>+Ecrêtage!C247</f>
        <v>87477.16732860521</v>
      </c>
      <c r="D247" s="233"/>
      <c r="E247" s="235">
        <f>Données!AF247+Données!AG247+Données!AH247</f>
        <v>0</v>
      </c>
      <c r="F247" s="233">
        <f t="shared" si="24"/>
        <v>699817.33862884168</v>
      </c>
      <c r="G247" s="8">
        <f t="shared" si="25"/>
        <v>0</v>
      </c>
      <c r="H247" s="313">
        <f t="shared" si="26"/>
        <v>0</v>
      </c>
      <c r="J247" s="8">
        <f>Données!AN247</f>
        <v>0</v>
      </c>
      <c r="K247" s="213">
        <f t="shared" si="27"/>
        <v>87477.16732860521</v>
      </c>
      <c r="L247" s="12">
        <f t="shared" si="28"/>
        <v>0</v>
      </c>
      <c r="M247" s="313">
        <f t="shared" si="29"/>
        <v>0</v>
      </c>
      <c r="O247" s="42">
        <f t="shared" si="30"/>
        <v>0</v>
      </c>
      <c r="P247" s="270"/>
      <c r="Q247" s="226"/>
      <c r="R247" s="226"/>
      <c r="S247" s="226"/>
      <c r="T247" s="226"/>
      <c r="U247" s="226"/>
      <c r="AF247" s="11"/>
      <c r="AG247" s="11"/>
      <c r="AH247" s="11"/>
      <c r="AI247" s="11"/>
      <c r="AJ247" s="11"/>
      <c r="AK247" s="11"/>
      <c r="AL247" s="11"/>
    </row>
    <row r="248" spans="1:38" x14ac:dyDescent="0.25">
      <c r="A248" s="38">
        <f>+Données!A248</f>
        <v>5841</v>
      </c>
      <c r="B248" s="247" t="str">
        <f>+Données!B248</f>
        <v>Château-d'Oex</v>
      </c>
      <c r="C248" s="235">
        <f>+Ecrêtage!C248</f>
        <v>123828.98781186093</v>
      </c>
      <c r="D248" s="233"/>
      <c r="E248" s="235">
        <f>Données!AF248+Données!AG248+Données!AH248</f>
        <v>0</v>
      </c>
      <c r="F248" s="233">
        <f t="shared" si="24"/>
        <v>990631.90249488747</v>
      </c>
      <c r="G248" s="8">
        <f t="shared" si="25"/>
        <v>0</v>
      </c>
      <c r="H248" s="313">
        <f t="shared" si="26"/>
        <v>0</v>
      </c>
      <c r="J248" s="8">
        <f>Données!AN248</f>
        <v>0</v>
      </c>
      <c r="K248" s="213">
        <f t="shared" si="27"/>
        <v>123828.98781186093</v>
      </c>
      <c r="L248" s="12">
        <f t="shared" si="28"/>
        <v>0</v>
      </c>
      <c r="M248" s="313">
        <f t="shared" si="29"/>
        <v>0</v>
      </c>
      <c r="O248" s="42">
        <f t="shared" si="30"/>
        <v>0</v>
      </c>
      <c r="P248" s="270"/>
      <c r="Q248" s="226"/>
      <c r="R248" s="226"/>
      <c r="S248" s="226"/>
      <c r="T248" s="226"/>
      <c r="U248" s="226"/>
      <c r="AF248" s="11"/>
      <c r="AG248" s="11"/>
      <c r="AH248" s="11"/>
      <c r="AI248" s="11"/>
      <c r="AJ248" s="11"/>
      <c r="AK248" s="11"/>
      <c r="AL248" s="11"/>
    </row>
    <row r="249" spans="1:38" x14ac:dyDescent="0.25">
      <c r="A249" s="38">
        <f>+Données!A249</f>
        <v>5842</v>
      </c>
      <c r="B249" s="247" t="str">
        <f>+Données!B249</f>
        <v>Rossinière</v>
      </c>
      <c r="C249" s="235">
        <f>+Ecrêtage!C249</f>
        <v>16474.219053497945</v>
      </c>
      <c r="D249" s="233"/>
      <c r="E249" s="235">
        <f>Données!AF249+Données!AG249+Données!AH249</f>
        <v>0</v>
      </c>
      <c r="F249" s="233">
        <f t="shared" si="24"/>
        <v>131793.75242798356</v>
      </c>
      <c r="G249" s="8">
        <f t="shared" si="25"/>
        <v>0</v>
      </c>
      <c r="H249" s="313">
        <f t="shared" si="26"/>
        <v>0</v>
      </c>
      <c r="J249" s="8">
        <f>Données!AN249</f>
        <v>0</v>
      </c>
      <c r="K249" s="213">
        <f t="shared" si="27"/>
        <v>16474.219053497945</v>
      </c>
      <c r="L249" s="12">
        <f t="shared" si="28"/>
        <v>0</v>
      </c>
      <c r="M249" s="313">
        <f t="shared" si="29"/>
        <v>0</v>
      </c>
      <c r="O249" s="42">
        <f t="shared" si="30"/>
        <v>0</v>
      </c>
      <c r="P249" s="270"/>
      <c r="Q249" s="226"/>
      <c r="R249" s="226"/>
      <c r="S249" s="226"/>
      <c r="T249" s="226"/>
      <c r="U249" s="226"/>
      <c r="AF249" s="11"/>
      <c r="AG249" s="11"/>
      <c r="AH249" s="11"/>
      <c r="AI249" s="11"/>
      <c r="AJ249" s="11"/>
      <c r="AK249" s="11"/>
      <c r="AL249" s="11"/>
    </row>
    <row r="250" spans="1:38" x14ac:dyDescent="0.25">
      <c r="A250" s="38">
        <f>+Données!A250</f>
        <v>5843</v>
      </c>
      <c r="B250" s="247" t="str">
        <f>+Données!B250</f>
        <v>Rougemont</v>
      </c>
      <c r="C250" s="235">
        <f>+Ecrêtage!C250</f>
        <v>89736.824345991568</v>
      </c>
      <c r="D250" s="233"/>
      <c r="E250" s="235">
        <f>Données!AF250+Données!AG250+Données!AH250</f>
        <v>0</v>
      </c>
      <c r="F250" s="233">
        <f t="shared" si="24"/>
        <v>717894.59476793255</v>
      </c>
      <c r="G250" s="8">
        <f t="shared" si="25"/>
        <v>0</v>
      </c>
      <c r="H250" s="313">
        <f t="shared" si="26"/>
        <v>0</v>
      </c>
      <c r="J250" s="8">
        <f>Données!AN250</f>
        <v>0</v>
      </c>
      <c r="K250" s="213">
        <f t="shared" si="27"/>
        <v>89736.824345991568</v>
      </c>
      <c r="L250" s="12">
        <f t="shared" si="28"/>
        <v>0</v>
      </c>
      <c r="M250" s="313">
        <f t="shared" si="29"/>
        <v>0</v>
      </c>
      <c r="O250" s="42">
        <f t="shared" si="30"/>
        <v>0</v>
      </c>
      <c r="P250" s="270"/>
      <c r="Q250" s="226"/>
      <c r="R250" s="226"/>
      <c r="S250" s="226"/>
      <c r="T250" s="226"/>
      <c r="U250" s="226"/>
      <c r="AF250" s="11"/>
      <c r="AG250" s="11"/>
      <c r="AH250" s="11"/>
      <c r="AI250" s="11"/>
      <c r="AJ250" s="11"/>
      <c r="AK250" s="11"/>
      <c r="AL250" s="11"/>
    </row>
    <row r="251" spans="1:38" x14ac:dyDescent="0.25">
      <c r="A251" s="38">
        <f>+Données!A251</f>
        <v>5851</v>
      </c>
      <c r="B251" s="247" t="str">
        <f>+Données!B251</f>
        <v>Allaman</v>
      </c>
      <c r="C251" s="235">
        <f>+Ecrêtage!C251</f>
        <v>24432.115794871796</v>
      </c>
      <c r="D251" s="233"/>
      <c r="E251" s="235">
        <f>Données!AF251+Données!AG251+Données!AH251</f>
        <v>0</v>
      </c>
      <c r="F251" s="233">
        <f t="shared" si="24"/>
        <v>195456.92635897436</v>
      </c>
      <c r="G251" s="8">
        <f t="shared" si="25"/>
        <v>0</v>
      </c>
      <c r="H251" s="313">
        <f t="shared" si="26"/>
        <v>0</v>
      </c>
      <c r="J251" s="8">
        <f>Données!AN251</f>
        <v>0</v>
      </c>
      <c r="K251" s="213">
        <f t="shared" si="27"/>
        <v>24432.115794871796</v>
      </c>
      <c r="L251" s="12">
        <f t="shared" si="28"/>
        <v>0</v>
      </c>
      <c r="M251" s="313">
        <f t="shared" si="29"/>
        <v>0</v>
      </c>
      <c r="O251" s="42">
        <f t="shared" si="30"/>
        <v>0</v>
      </c>
      <c r="P251" s="270"/>
      <c r="Q251" s="226"/>
      <c r="R251" s="226"/>
      <c r="S251" s="226"/>
      <c r="T251" s="226"/>
      <c r="U251" s="226"/>
      <c r="AF251" s="11"/>
      <c r="AG251" s="11"/>
      <c r="AH251" s="11"/>
      <c r="AI251" s="11"/>
      <c r="AJ251" s="11"/>
      <c r="AK251" s="11"/>
      <c r="AL251" s="11"/>
    </row>
    <row r="252" spans="1:38" x14ac:dyDescent="0.25">
      <c r="A252" s="38">
        <f>+Données!A252</f>
        <v>5852</v>
      </c>
      <c r="B252" s="247" t="str">
        <f>+Données!B252</f>
        <v>Bursinel</v>
      </c>
      <c r="C252" s="235">
        <f>+Ecrêtage!C252</f>
        <v>35649.594677419358</v>
      </c>
      <c r="D252" s="233"/>
      <c r="E252" s="235">
        <f>Données!AF252+Données!AG252+Données!AH252</f>
        <v>0</v>
      </c>
      <c r="F252" s="233">
        <f t="shared" si="24"/>
        <v>285196.75741935486</v>
      </c>
      <c r="G252" s="8">
        <f t="shared" si="25"/>
        <v>0</v>
      </c>
      <c r="H252" s="313">
        <f t="shared" si="26"/>
        <v>0</v>
      </c>
      <c r="J252" s="8">
        <f>Données!AN252</f>
        <v>0</v>
      </c>
      <c r="K252" s="213">
        <f t="shared" si="27"/>
        <v>35649.594677419358</v>
      </c>
      <c r="L252" s="12">
        <f t="shared" si="28"/>
        <v>0</v>
      </c>
      <c r="M252" s="313">
        <f t="shared" si="29"/>
        <v>0</v>
      </c>
      <c r="O252" s="42">
        <f t="shared" si="30"/>
        <v>0</v>
      </c>
      <c r="P252" s="270"/>
      <c r="Q252" s="226"/>
      <c r="R252" s="226"/>
      <c r="S252" s="226"/>
      <c r="T252" s="226"/>
      <c r="U252" s="226"/>
      <c r="AF252" s="11"/>
      <c r="AG252" s="11"/>
      <c r="AH252" s="11"/>
      <c r="AI252" s="11"/>
      <c r="AJ252" s="11"/>
      <c r="AK252" s="11"/>
      <c r="AL252" s="11"/>
    </row>
    <row r="253" spans="1:38" x14ac:dyDescent="0.25">
      <c r="A253" s="38">
        <f>+Données!A253</f>
        <v>5853</v>
      </c>
      <c r="B253" s="247" t="str">
        <f>+Données!B253</f>
        <v>Bursins</v>
      </c>
      <c r="C253" s="235">
        <f>+Ecrêtage!C253</f>
        <v>47536.23239436619</v>
      </c>
      <c r="D253" s="233"/>
      <c r="E253" s="235">
        <f>Données!AF253+Données!AG253+Données!AH253</f>
        <v>0</v>
      </c>
      <c r="F253" s="233">
        <f t="shared" si="24"/>
        <v>380289.85915492952</v>
      </c>
      <c r="G253" s="8">
        <f t="shared" si="25"/>
        <v>0</v>
      </c>
      <c r="H253" s="313">
        <f t="shared" si="26"/>
        <v>0</v>
      </c>
      <c r="J253" s="8">
        <f>Données!AN253</f>
        <v>0</v>
      </c>
      <c r="K253" s="213">
        <f t="shared" si="27"/>
        <v>47536.23239436619</v>
      </c>
      <c r="L253" s="12">
        <f t="shared" si="28"/>
        <v>0</v>
      </c>
      <c r="M253" s="313">
        <f t="shared" si="29"/>
        <v>0</v>
      </c>
      <c r="O253" s="42">
        <f t="shared" si="30"/>
        <v>0</v>
      </c>
      <c r="P253" s="270"/>
      <c r="Q253" s="226"/>
      <c r="R253" s="226"/>
      <c r="S253" s="226"/>
      <c r="T253" s="226"/>
      <c r="U253" s="226"/>
      <c r="AF253" s="11"/>
      <c r="AG253" s="11"/>
      <c r="AH253" s="11"/>
      <c r="AI253" s="11"/>
      <c r="AJ253" s="11"/>
      <c r="AK253" s="11"/>
      <c r="AL253" s="11"/>
    </row>
    <row r="254" spans="1:38" x14ac:dyDescent="0.25">
      <c r="A254" s="38">
        <f>+Données!A254</f>
        <v>5854</v>
      </c>
      <c r="B254" s="247" t="str">
        <f>+Données!B254</f>
        <v>Burtigny</v>
      </c>
      <c r="C254" s="235">
        <f>+Ecrêtage!C254</f>
        <v>15260.883397027597</v>
      </c>
      <c r="D254" s="233"/>
      <c r="E254" s="235">
        <f>Données!AF254+Données!AG254+Données!AH254</f>
        <v>0</v>
      </c>
      <c r="F254" s="233">
        <f t="shared" si="24"/>
        <v>122087.06717622078</v>
      </c>
      <c r="G254" s="8">
        <f t="shared" si="25"/>
        <v>0</v>
      </c>
      <c r="H254" s="313">
        <f t="shared" si="26"/>
        <v>0</v>
      </c>
      <c r="J254" s="8">
        <f>Données!AN254</f>
        <v>0</v>
      </c>
      <c r="K254" s="213">
        <f t="shared" si="27"/>
        <v>15260.883397027597</v>
      </c>
      <c r="L254" s="12">
        <f t="shared" si="28"/>
        <v>0</v>
      </c>
      <c r="M254" s="313">
        <f t="shared" si="29"/>
        <v>0</v>
      </c>
      <c r="O254" s="42">
        <f t="shared" si="30"/>
        <v>0</v>
      </c>
      <c r="P254" s="270"/>
      <c r="Q254" s="226"/>
      <c r="R254" s="226"/>
      <c r="S254" s="226"/>
      <c r="T254" s="226"/>
      <c r="U254" s="226"/>
      <c r="AF254" s="11"/>
      <c r="AG254" s="11"/>
      <c r="AH254" s="11"/>
      <c r="AI254" s="11"/>
      <c r="AJ254" s="11"/>
      <c r="AK254" s="11"/>
      <c r="AL254" s="11"/>
    </row>
    <row r="255" spans="1:38" x14ac:dyDescent="0.25">
      <c r="A255" s="38">
        <f>+Données!A255</f>
        <v>5855</v>
      </c>
      <c r="B255" s="247" t="str">
        <f>+Données!B255</f>
        <v>Dully</v>
      </c>
      <c r="C255" s="235">
        <f>+Ecrêtage!C255</f>
        <v>82571.89</v>
      </c>
      <c r="D255" s="233"/>
      <c r="E255" s="235">
        <f>Données!AF255+Données!AG255+Données!AH255</f>
        <v>0</v>
      </c>
      <c r="F255" s="233">
        <f t="shared" si="24"/>
        <v>660575.12</v>
      </c>
      <c r="G255" s="8">
        <f t="shared" si="25"/>
        <v>0</v>
      </c>
      <c r="H255" s="313">
        <f t="shared" si="26"/>
        <v>0</v>
      </c>
      <c r="J255" s="8">
        <f>Données!AN255</f>
        <v>0</v>
      </c>
      <c r="K255" s="213">
        <f t="shared" si="27"/>
        <v>82571.89</v>
      </c>
      <c r="L255" s="12">
        <f t="shared" si="28"/>
        <v>0</v>
      </c>
      <c r="M255" s="313">
        <f t="shared" si="29"/>
        <v>0</v>
      </c>
      <c r="O255" s="42">
        <f t="shared" si="30"/>
        <v>0</v>
      </c>
      <c r="P255" s="270"/>
      <c r="Q255" s="226"/>
      <c r="R255" s="226"/>
      <c r="S255" s="226"/>
      <c r="T255" s="226"/>
      <c r="U255" s="226"/>
      <c r="AF255" s="11"/>
      <c r="AG255" s="11"/>
      <c r="AH255" s="11"/>
      <c r="AI255" s="11"/>
      <c r="AJ255" s="11"/>
      <c r="AK255" s="11"/>
      <c r="AL255" s="11"/>
    </row>
    <row r="256" spans="1:38" x14ac:dyDescent="0.25">
      <c r="A256" s="38">
        <f>+Données!A256</f>
        <v>5856</v>
      </c>
      <c r="B256" s="247" t="str">
        <f>+Données!B256</f>
        <v>Essertines-sur-Rolle</v>
      </c>
      <c r="C256" s="235">
        <f>+Ecrêtage!C256</f>
        <v>36688.113684210526</v>
      </c>
      <c r="D256" s="233"/>
      <c r="E256" s="235">
        <f>Données!AF256+Données!AG256+Données!AH256</f>
        <v>0</v>
      </c>
      <c r="F256" s="233">
        <f t="shared" si="24"/>
        <v>293504.90947368421</v>
      </c>
      <c r="G256" s="8">
        <f t="shared" si="25"/>
        <v>0</v>
      </c>
      <c r="H256" s="313">
        <f t="shared" si="26"/>
        <v>0</v>
      </c>
      <c r="J256" s="8">
        <f>Données!AN256</f>
        <v>0</v>
      </c>
      <c r="K256" s="213">
        <f t="shared" si="27"/>
        <v>36688.113684210526</v>
      </c>
      <c r="L256" s="12">
        <f t="shared" si="28"/>
        <v>0</v>
      </c>
      <c r="M256" s="313">
        <f t="shared" si="29"/>
        <v>0</v>
      </c>
      <c r="O256" s="42">
        <f t="shared" si="30"/>
        <v>0</v>
      </c>
      <c r="P256" s="270"/>
      <c r="Q256" s="226"/>
      <c r="R256" s="226"/>
      <c r="S256" s="226"/>
      <c r="T256" s="226"/>
      <c r="U256" s="226"/>
      <c r="AF256" s="11"/>
      <c r="AG256" s="11"/>
      <c r="AH256" s="11"/>
      <c r="AI256" s="11"/>
      <c r="AJ256" s="11"/>
      <c r="AK256" s="11"/>
      <c r="AL256" s="11"/>
    </row>
    <row r="257" spans="1:38" x14ac:dyDescent="0.25">
      <c r="A257" s="38">
        <f>+Données!A257</f>
        <v>5857</v>
      </c>
      <c r="B257" s="247" t="str">
        <f>+Données!B257</f>
        <v>Gilly</v>
      </c>
      <c r="C257" s="235">
        <f>+Ecrêtage!C257</f>
        <v>86828.689767441872</v>
      </c>
      <c r="D257" s="233"/>
      <c r="E257" s="235">
        <f>Données!AF257+Données!AG257+Données!AH257</f>
        <v>0</v>
      </c>
      <c r="F257" s="233">
        <f t="shared" si="24"/>
        <v>694629.51813953498</v>
      </c>
      <c r="G257" s="8">
        <f t="shared" si="25"/>
        <v>0</v>
      </c>
      <c r="H257" s="313">
        <f t="shared" si="26"/>
        <v>0</v>
      </c>
      <c r="J257" s="8">
        <f>Données!AN257</f>
        <v>0</v>
      </c>
      <c r="K257" s="213">
        <f t="shared" si="27"/>
        <v>86828.689767441872</v>
      </c>
      <c r="L257" s="12">
        <f t="shared" si="28"/>
        <v>0</v>
      </c>
      <c r="M257" s="313">
        <f t="shared" si="29"/>
        <v>0</v>
      </c>
      <c r="O257" s="42">
        <f t="shared" si="30"/>
        <v>0</v>
      </c>
      <c r="P257" s="270"/>
      <c r="Q257" s="226"/>
      <c r="R257" s="226"/>
      <c r="S257" s="226"/>
      <c r="T257" s="226"/>
      <c r="U257" s="226"/>
      <c r="AF257" s="11"/>
      <c r="AG257" s="11"/>
      <c r="AH257" s="11"/>
      <c r="AI257" s="11"/>
      <c r="AJ257" s="11"/>
      <c r="AK257" s="11"/>
      <c r="AL257" s="11"/>
    </row>
    <row r="258" spans="1:38" x14ac:dyDescent="0.25">
      <c r="A258" s="38">
        <f>+Données!A258</f>
        <v>5858</v>
      </c>
      <c r="B258" s="247" t="str">
        <f>+Données!B258</f>
        <v>Luins</v>
      </c>
      <c r="C258" s="235">
        <f>+Ecrêtage!C258</f>
        <v>41178.091054131051</v>
      </c>
      <c r="D258" s="233"/>
      <c r="E258" s="235">
        <f>Données!AF258+Données!AG258+Données!AH258</f>
        <v>0</v>
      </c>
      <c r="F258" s="233">
        <f t="shared" si="24"/>
        <v>329424.72843304841</v>
      </c>
      <c r="G258" s="8">
        <f t="shared" si="25"/>
        <v>0</v>
      </c>
      <c r="H258" s="313">
        <f t="shared" si="26"/>
        <v>0</v>
      </c>
      <c r="J258" s="8">
        <f>Données!AN258</f>
        <v>0</v>
      </c>
      <c r="K258" s="213">
        <f t="shared" si="27"/>
        <v>41178.091054131051</v>
      </c>
      <c r="L258" s="12">
        <f t="shared" si="28"/>
        <v>0</v>
      </c>
      <c r="M258" s="313">
        <f t="shared" si="29"/>
        <v>0</v>
      </c>
      <c r="O258" s="42">
        <f t="shared" si="30"/>
        <v>0</v>
      </c>
      <c r="P258" s="270"/>
      <c r="Q258" s="226"/>
      <c r="R258" s="226"/>
      <c r="S258" s="226"/>
      <c r="T258" s="226"/>
      <c r="U258" s="226"/>
      <c r="AF258" s="11"/>
      <c r="AG258" s="11"/>
      <c r="AH258" s="11"/>
      <c r="AI258" s="11"/>
      <c r="AJ258" s="11"/>
      <c r="AK258" s="11"/>
      <c r="AL258" s="11"/>
    </row>
    <row r="259" spans="1:38" x14ac:dyDescent="0.25">
      <c r="A259" s="38">
        <f>+Données!A259</f>
        <v>5859</v>
      </c>
      <c r="B259" s="247" t="str">
        <f>+Données!B259</f>
        <v>Mont-sur-Rolle</v>
      </c>
      <c r="C259" s="235">
        <f>+Ecrêtage!C259</f>
        <v>158441.81716535432</v>
      </c>
      <c r="D259" s="233"/>
      <c r="E259" s="235">
        <f>Données!AF259+Données!AG259+Données!AH259</f>
        <v>0</v>
      </c>
      <c r="F259" s="233">
        <f t="shared" si="24"/>
        <v>1267534.5373228346</v>
      </c>
      <c r="G259" s="8">
        <f t="shared" si="25"/>
        <v>0</v>
      </c>
      <c r="H259" s="313">
        <f t="shared" si="26"/>
        <v>0</v>
      </c>
      <c r="J259" s="8">
        <f>Données!AN259</f>
        <v>0</v>
      </c>
      <c r="K259" s="213">
        <f t="shared" si="27"/>
        <v>158441.81716535432</v>
      </c>
      <c r="L259" s="12">
        <f t="shared" si="28"/>
        <v>0</v>
      </c>
      <c r="M259" s="313">
        <f t="shared" si="29"/>
        <v>0</v>
      </c>
      <c r="O259" s="42">
        <f t="shared" si="30"/>
        <v>0</v>
      </c>
      <c r="P259" s="270"/>
      <c r="Q259" s="226"/>
      <c r="R259" s="226"/>
      <c r="S259" s="226"/>
      <c r="T259" s="226"/>
      <c r="U259" s="226"/>
      <c r="AF259" s="11"/>
      <c r="AG259" s="11"/>
      <c r="AH259" s="11"/>
      <c r="AI259" s="11"/>
      <c r="AJ259" s="11"/>
      <c r="AK259" s="11"/>
      <c r="AL259" s="11"/>
    </row>
    <row r="260" spans="1:38" x14ac:dyDescent="0.25">
      <c r="A260" s="38">
        <f>+Données!A260</f>
        <v>5860</v>
      </c>
      <c r="B260" s="247" t="str">
        <f>+Données!B260</f>
        <v>Perroy</v>
      </c>
      <c r="C260" s="235">
        <f>+Ecrêtage!C260</f>
        <v>132374.98733727811</v>
      </c>
      <c r="D260" s="233"/>
      <c r="E260" s="235">
        <f>Données!AF260+Données!AG260+Données!AH260</f>
        <v>0</v>
      </c>
      <c r="F260" s="233">
        <f t="shared" si="24"/>
        <v>1058999.8986982249</v>
      </c>
      <c r="G260" s="8">
        <f t="shared" si="25"/>
        <v>0</v>
      </c>
      <c r="H260" s="313">
        <f t="shared" si="26"/>
        <v>0</v>
      </c>
      <c r="J260" s="8">
        <f>Données!AN260</f>
        <v>0</v>
      </c>
      <c r="K260" s="213">
        <f t="shared" si="27"/>
        <v>132374.98733727811</v>
      </c>
      <c r="L260" s="12">
        <f t="shared" si="28"/>
        <v>0</v>
      </c>
      <c r="M260" s="313">
        <f t="shared" si="29"/>
        <v>0</v>
      </c>
      <c r="O260" s="42">
        <f t="shared" si="30"/>
        <v>0</v>
      </c>
      <c r="P260" s="270"/>
      <c r="Q260" s="226"/>
      <c r="R260" s="226"/>
      <c r="S260" s="226"/>
      <c r="T260" s="226"/>
      <c r="U260" s="226"/>
      <c r="AF260" s="11"/>
      <c r="AG260" s="11"/>
      <c r="AH260" s="11"/>
      <c r="AI260" s="11"/>
      <c r="AJ260" s="11"/>
      <c r="AK260" s="11"/>
      <c r="AL260" s="11"/>
    </row>
    <row r="261" spans="1:38" x14ac:dyDescent="0.25">
      <c r="A261" s="38">
        <f>+Données!A261</f>
        <v>5861</v>
      </c>
      <c r="B261" s="247" t="str">
        <f>+Données!B261</f>
        <v>Rolle</v>
      </c>
      <c r="C261" s="235">
        <f>+Ecrêtage!C261</f>
        <v>897513.79815126071</v>
      </c>
      <c r="D261" s="233"/>
      <c r="E261" s="235">
        <f>Données!AF261+Données!AG261+Données!AH261</f>
        <v>0</v>
      </c>
      <c r="F261" s="233">
        <f t="shared" si="24"/>
        <v>7180110.3852100857</v>
      </c>
      <c r="G261" s="8">
        <f t="shared" si="25"/>
        <v>0</v>
      </c>
      <c r="H261" s="313">
        <f t="shared" si="26"/>
        <v>0</v>
      </c>
      <c r="J261" s="8">
        <f>Données!AN261</f>
        <v>0</v>
      </c>
      <c r="K261" s="213">
        <f t="shared" si="27"/>
        <v>897513.79815126071</v>
      </c>
      <c r="L261" s="12">
        <f t="shared" si="28"/>
        <v>0</v>
      </c>
      <c r="M261" s="313">
        <f t="shared" si="29"/>
        <v>0</v>
      </c>
      <c r="O261" s="42">
        <f t="shared" si="30"/>
        <v>0</v>
      </c>
      <c r="P261" s="270"/>
      <c r="Q261" s="226"/>
      <c r="R261" s="226"/>
      <c r="S261" s="226"/>
      <c r="T261" s="226"/>
      <c r="U261" s="226"/>
      <c r="AF261" s="11"/>
      <c r="AG261" s="11"/>
      <c r="AH261" s="11"/>
      <c r="AI261" s="11"/>
      <c r="AJ261" s="11"/>
      <c r="AK261" s="11"/>
      <c r="AL261" s="11"/>
    </row>
    <row r="262" spans="1:38" x14ac:dyDescent="0.25">
      <c r="A262" s="38">
        <f>+Données!A262</f>
        <v>5862</v>
      </c>
      <c r="B262" s="247" t="str">
        <f>+Données!B262</f>
        <v>Tartegnin</v>
      </c>
      <c r="C262" s="235">
        <f>+Ecrêtage!C262</f>
        <v>10371.497468354431</v>
      </c>
      <c r="D262" s="233"/>
      <c r="E262" s="235">
        <f>Données!AF262+Données!AG262+Données!AH262</f>
        <v>0</v>
      </c>
      <c r="F262" s="233">
        <f t="shared" si="24"/>
        <v>82971.979746835452</v>
      </c>
      <c r="G262" s="8">
        <f t="shared" si="25"/>
        <v>0</v>
      </c>
      <c r="H262" s="313">
        <f t="shared" si="26"/>
        <v>0</v>
      </c>
      <c r="J262" s="8">
        <f>Données!AN262</f>
        <v>0</v>
      </c>
      <c r="K262" s="213">
        <f t="shared" si="27"/>
        <v>10371.497468354431</v>
      </c>
      <c r="L262" s="12">
        <f t="shared" si="28"/>
        <v>0</v>
      </c>
      <c r="M262" s="313">
        <f t="shared" si="29"/>
        <v>0</v>
      </c>
      <c r="O262" s="42">
        <f t="shared" si="30"/>
        <v>0</v>
      </c>
      <c r="P262" s="270"/>
      <c r="Q262" s="226"/>
      <c r="R262" s="226"/>
      <c r="S262" s="226"/>
      <c r="T262" s="226"/>
      <c r="U262" s="226"/>
      <c r="AF262" s="11"/>
      <c r="AG262" s="11"/>
      <c r="AH262" s="11"/>
      <c r="AI262" s="11"/>
      <c r="AJ262" s="11"/>
      <c r="AK262" s="11"/>
      <c r="AL262" s="11"/>
    </row>
    <row r="263" spans="1:38" x14ac:dyDescent="0.25">
      <c r="A263" s="38">
        <f>+Données!A263</f>
        <v>5863</v>
      </c>
      <c r="B263" s="247" t="str">
        <f>+Données!B263</f>
        <v>Vinzel</v>
      </c>
      <c r="C263" s="235">
        <f>+Ecrêtage!C263</f>
        <v>23661.929552238806</v>
      </c>
      <c r="D263" s="233"/>
      <c r="E263" s="235">
        <f>Données!AF263+Données!AG263+Données!AH263</f>
        <v>0</v>
      </c>
      <c r="F263" s="233">
        <f t="shared" ref="F263:F305" si="31">+C263*$G$5</f>
        <v>189295.43641791045</v>
      </c>
      <c r="G263" s="8">
        <f t="shared" ref="G263:G305" si="32">IF(E263&gt;F263,E263-F263,0)</f>
        <v>0</v>
      </c>
      <c r="H263" s="313">
        <f t="shared" ref="H263:H305" si="33">-G263*H$5</f>
        <v>0</v>
      </c>
      <c r="J263" s="8">
        <f>Données!AN263</f>
        <v>0</v>
      </c>
      <c r="K263" s="213">
        <f t="shared" ref="K263:K305" si="34">C263*L$5</f>
        <v>23661.929552238806</v>
      </c>
      <c r="L263" s="12">
        <f t="shared" ref="L263:L305" si="35">IF(J263&gt;K263,J263-K263,0)</f>
        <v>0</v>
      </c>
      <c r="M263" s="313">
        <f t="shared" ref="M263:M305" si="36">-L263*M$5</f>
        <v>0</v>
      </c>
      <c r="O263" s="42">
        <f t="shared" ref="O263:O305" si="37">M263+H263</f>
        <v>0</v>
      </c>
      <c r="P263" s="270"/>
      <c r="Q263" s="226"/>
      <c r="R263" s="226"/>
      <c r="S263" s="226"/>
      <c r="T263" s="226"/>
      <c r="U263" s="226"/>
      <c r="AF263" s="11"/>
      <c r="AG263" s="11"/>
      <c r="AH263" s="11"/>
      <c r="AI263" s="11"/>
      <c r="AJ263" s="11"/>
      <c r="AK263" s="11"/>
      <c r="AL263" s="11"/>
    </row>
    <row r="264" spans="1:38" x14ac:dyDescent="0.25">
      <c r="A264" s="38">
        <f>+Données!A264</f>
        <v>5871</v>
      </c>
      <c r="B264" s="247" t="str">
        <f>+Données!B264</f>
        <v>L'Abbaye</v>
      </c>
      <c r="C264" s="235">
        <f>+Ecrêtage!C264</f>
        <v>50236.516429495467</v>
      </c>
      <c r="D264" s="233"/>
      <c r="E264" s="235">
        <f>Données!AF264+Données!AG264+Données!AH264</f>
        <v>0</v>
      </c>
      <c r="F264" s="233">
        <f t="shared" si="31"/>
        <v>401892.13143596373</v>
      </c>
      <c r="G264" s="8">
        <f t="shared" si="32"/>
        <v>0</v>
      </c>
      <c r="H264" s="313">
        <f t="shared" si="33"/>
        <v>0</v>
      </c>
      <c r="J264" s="8">
        <f>Données!AN264</f>
        <v>0</v>
      </c>
      <c r="K264" s="213">
        <f t="shared" si="34"/>
        <v>50236.516429495467</v>
      </c>
      <c r="L264" s="12">
        <f t="shared" si="35"/>
        <v>0</v>
      </c>
      <c r="M264" s="313">
        <f t="shared" si="36"/>
        <v>0</v>
      </c>
      <c r="O264" s="42">
        <f t="shared" si="37"/>
        <v>0</v>
      </c>
      <c r="P264" s="270"/>
      <c r="Q264" s="226"/>
      <c r="R264" s="226"/>
      <c r="S264" s="226"/>
      <c r="T264" s="226"/>
      <c r="U264" s="226"/>
      <c r="AF264" s="11"/>
      <c r="AG264" s="11"/>
      <c r="AH264" s="11"/>
      <c r="AI264" s="11"/>
      <c r="AJ264" s="11"/>
      <c r="AK264" s="11"/>
      <c r="AL264" s="11"/>
    </row>
    <row r="265" spans="1:38" x14ac:dyDescent="0.25">
      <c r="A265" s="38">
        <f>+Données!A265</f>
        <v>5872</v>
      </c>
      <c r="B265" s="247" t="str">
        <f>+Données!B265</f>
        <v>Le Chenit</v>
      </c>
      <c r="C265" s="235">
        <f>+Ecrêtage!C265</f>
        <v>317064.3538829867</v>
      </c>
      <c r="D265" s="233"/>
      <c r="E265" s="235">
        <f>Données!AF265+Données!AG265+Données!AH265</f>
        <v>0</v>
      </c>
      <c r="F265" s="233">
        <f t="shared" si="31"/>
        <v>2536514.8310638936</v>
      </c>
      <c r="G265" s="8">
        <f t="shared" si="32"/>
        <v>0</v>
      </c>
      <c r="H265" s="313">
        <f t="shared" si="33"/>
        <v>0</v>
      </c>
      <c r="J265" s="8">
        <f>Données!AN265</f>
        <v>0</v>
      </c>
      <c r="K265" s="213">
        <f t="shared" si="34"/>
        <v>317064.3538829867</v>
      </c>
      <c r="L265" s="12">
        <f t="shared" si="35"/>
        <v>0</v>
      </c>
      <c r="M265" s="313">
        <f t="shared" si="36"/>
        <v>0</v>
      </c>
      <c r="O265" s="42">
        <f t="shared" si="37"/>
        <v>0</v>
      </c>
      <c r="P265" s="270"/>
      <c r="Q265" s="226"/>
      <c r="R265" s="226"/>
      <c r="S265" s="226"/>
      <c r="T265" s="226"/>
      <c r="U265" s="226"/>
      <c r="AF265" s="11"/>
      <c r="AG265" s="11"/>
      <c r="AH265" s="11"/>
      <c r="AI265" s="11"/>
      <c r="AJ265" s="11"/>
      <c r="AK265" s="11"/>
      <c r="AL265" s="11"/>
    </row>
    <row r="266" spans="1:38" x14ac:dyDescent="0.25">
      <c r="A266" s="38">
        <f>+Données!A266</f>
        <v>5873</v>
      </c>
      <c r="B266" s="247" t="str">
        <f>+Données!B266</f>
        <v>Le Lieu</v>
      </c>
      <c r="C266" s="235">
        <f>+Ecrêtage!C266</f>
        <v>35207.025785714286</v>
      </c>
      <c r="D266" s="233"/>
      <c r="E266" s="235">
        <f>Données!AF266+Données!AG266+Données!AH266</f>
        <v>0</v>
      </c>
      <c r="F266" s="233">
        <f t="shared" si="31"/>
        <v>281656.20628571429</v>
      </c>
      <c r="G266" s="8">
        <f t="shared" si="32"/>
        <v>0</v>
      </c>
      <c r="H266" s="313">
        <f t="shared" si="33"/>
        <v>0</v>
      </c>
      <c r="J266" s="8">
        <f>Données!AN266</f>
        <v>0</v>
      </c>
      <c r="K266" s="213">
        <f t="shared" si="34"/>
        <v>35207.025785714286</v>
      </c>
      <c r="L266" s="12">
        <f t="shared" si="35"/>
        <v>0</v>
      </c>
      <c r="M266" s="313">
        <f t="shared" si="36"/>
        <v>0</v>
      </c>
      <c r="O266" s="42">
        <f t="shared" si="37"/>
        <v>0</v>
      </c>
      <c r="P266" s="270"/>
      <c r="Q266" s="226"/>
      <c r="R266" s="226"/>
      <c r="S266" s="226"/>
      <c r="T266" s="226"/>
      <c r="U266" s="226"/>
      <c r="AF266" s="11"/>
      <c r="AG266" s="11"/>
      <c r="AH266" s="11"/>
      <c r="AI266" s="11"/>
      <c r="AJ266" s="11"/>
      <c r="AK266" s="11"/>
      <c r="AL266" s="11"/>
    </row>
    <row r="267" spans="1:38" x14ac:dyDescent="0.25">
      <c r="A267" s="38">
        <f>+Données!A267</f>
        <v>5882</v>
      </c>
      <c r="B267" s="247" t="str">
        <f>+Données!B267</f>
        <v>Chardonne</v>
      </c>
      <c r="C267" s="235">
        <f>+Ecrêtage!C267</f>
        <v>201724.94897058822</v>
      </c>
      <c r="D267" s="233"/>
      <c r="E267" s="235">
        <f>Données!AF267+Données!AG267+Données!AH267</f>
        <v>0</v>
      </c>
      <c r="F267" s="233">
        <f t="shared" si="31"/>
        <v>1613799.5917647057</v>
      </c>
      <c r="G267" s="8">
        <f t="shared" si="32"/>
        <v>0</v>
      </c>
      <c r="H267" s="313">
        <f t="shared" si="33"/>
        <v>0</v>
      </c>
      <c r="J267" s="8">
        <f>Données!AN267</f>
        <v>0</v>
      </c>
      <c r="K267" s="213">
        <f t="shared" si="34"/>
        <v>201724.94897058822</v>
      </c>
      <c r="L267" s="12">
        <f t="shared" si="35"/>
        <v>0</v>
      </c>
      <c r="M267" s="313">
        <f t="shared" si="36"/>
        <v>0</v>
      </c>
      <c r="O267" s="42">
        <f t="shared" si="37"/>
        <v>0</v>
      </c>
      <c r="P267" s="270"/>
      <c r="Q267" s="226"/>
      <c r="R267" s="226"/>
      <c r="S267" s="226"/>
      <c r="T267" s="226"/>
      <c r="U267" s="226"/>
      <c r="AF267" s="11"/>
      <c r="AG267" s="11"/>
      <c r="AH267" s="11"/>
      <c r="AI267" s="11"/>
      <c r="AJ267" s="11"/>
      <c r="AK267" s="11"/>
      <c r="AL267" s="11"/>
    </row>
    <row r="268" spans="1:38" x14ac:dyDescent="0.25">
      <c r="A268" s="38">
        <f>+Données!A268</f>
        <v>5883</v>
      </c>
      <c r="B268" s="247" t="str">
        <f>+Données!B268</f>
        <v>Corseaux</v>
      </c>
      <c r="C268" s="235">
        <f>+Ecrêtage!C268</f>
        <v>180896.25407407407</v>
      </c>
      <c r="D268" s="233"/>
      <c r="E268" s="235">
        <f>Données!AF268+Données!AG268+Données!AH268</f>
        <v>0</v>
      </c>
      <c r="F268" s="233">
        <f t="shared" si="31"/>
        <v>1447170.0325925925</v>
      </c>
      <c r="G268" s="8">
        <f t="shared" si="32"/>
        <v>0</v>
      </c>
      <c r="H268" s="313">
        <f t="shared" si="33"/>
        <v>0</v>
      </c>
      <c r="J268" s="8">
        <f>Données!AN268</f>
        <v>0</v>
      </c>
      <c r="K268" s="213">
        <f t="shared" si="34"/>
        <v>180896.25407407407</v>
      </c>
      <c r="L268" s="12">
        <f t="shared" si="35"/>
        <v>0</v>
      </c>
      <c r="M268" s="313">
        <f t="shared" si="36"/>
        <v>0</v>
      </c>
      <c r="O268" s="42">
        <f t="shared" si="37"/>
        <v>0</v>
      </c>
      <c r="P268" s="270"/>
      <c r="Q268" s="226"/>
      <c r="R268" s="226"/>
      <c r="S268" s="226"/>
      <c r="T268" s="226"/>
      <c r="U268" s="226"/>
      <c r="AF268" s="11"/>
      <c r="AG268" s="11"/>
      <c r="AH268" s="11"/>
      <c r="AI268" s="11"/>
      <c r="AJ268" s="11"/>
      <c r="AK268" s="11"/>
      <c r="AL268" s="11"/>
    </row>
    <row r="269" spans="1:38" x14ac:dyDescent="0.25">
      <c r="A269" s="38">
        <f>+Données!A269</f>
        <v>5884</v>
      </c>
      <c r="B269" s="247" t="str">
        <f>+Données!B269</f>
        <v>Corsier-sur-Vevey</v>
      </c>
      <c r="C269" s="235">
        <f>+Ecrêtage!C269</f>
        <v>128051.27881136951</v>
      </c>
      <c r="D269" s="233"/>
      <c r="E269" s="235">
        <f>Données!AF269+Données!AG269+Données!AH269</f>
        <v>0</v>
      </c>
      <c r="F269" s="233">
        <f t="shared" si="31"/>
        <v>1024410.2304909561</v>
      </c>
      <c r="G269" s="8">
        <f t="shared" si="32"/>
        <v>0</v>
      </c>
      <c r="H269" s="313">
        <f t="shared" si="33"/>
        <v>0</v>
      </c>
      <c r="J269" s="8">
        <f>Données!AN269</f>
        <v>0</v>
      </c>
      <c r="K269" s="213">
        <f t="shared" si="34"/>
        <v>128051.27881136951</v>
      </c>
      <c r="L269" s="12">
        <f t="shared" si="35"/>
        <v>0</v>
      </c>
      <c r="M269" s="313">
        <f t="shared" si="36"/>
        <v>0</v>
      </c>
      <c r="O269" s="42">
        <f t="shared" si="37"/>
        <v>0</v>
      </c>
      <c r="P269" s="270"/>
      <c r="Q269" s="226"/>
      <c r="R269" s="226"/>
      <c r="S269" s="226"/>
      <c r="T269" s="226"/>
      <c r="U269" s="226"/>
      <c r="AF269" s="11"/>
      <c r="AG269" s="11"/>
      <c r="AH269" s="11"/>
      <c r="AI269" s="11"/>
      <c r="AJ269" s="11"/>
      <c r="AK269" s="11"/>
      <c r="AL269" s="11"/>
    </row>
    <row r="270" spans="1:38" x14ac:dyDescent="0.25">
      <c r="A270" s="38">
        <f>+Données!A270</f>
        <v>5885</v>
      </c>
      <c r="B270" s="247" t="str">
        <f>+Données!B270</f>
        <v>Jongny</v>
      </c>
      <c r="C270" s="235">
        <f>+Ecrêtage!C270</f>
        <v>104091.36242206233</v>
      </c>
      <c r="D270" s="233"/>
      <c r="E270" s="235">
        <f>Données!AF270+Données!AG270+Données!AH270</f>
        <v>0</v>
      </c>
      <c r="F270" s="233">
        <f t="shared" si="31"/>
        <v>832730.89937649865</v>
      </c>
      <c r="G270" s="8">
        <f t="shared" si="32"/>
        <v>0</v>
      </c>
      <c r="H270" s="313">
        <f t="shared" si="33"/>
        <v>0</v>
      </c>
      <c r="J270" s="8">
        <f>Données!AN270</f>
        <v>0</v>
      </c>
      <c r="K270" s="213">
        <f t="shared" si="34"/>
        <v>104091.36242206233</v>
      </c>
      <c r="L270" s="12">
        <f t="shared" si="35"/>
        <v>0</v>
      </c>
      <c r="M270" s="313">
        <f t="shared" si="36"/>
        <v>0</v>
      </c>
      <c r="O270" s="42">
        <f t="shared" si="37"/>
        <v>0</v>
      </c>
      <c r="P270" s="270"/>
      <c r="Q270" s="226"/>
      <c r="R270" s="226"/>
      <c r="S270" s="226"/>
      <c r="T270" s="226"/>
      <c r="U270" s="226"/>
      <c r="AF270" s="11"/>
      <c r="AG270" s="11"/>
      <c r="AH270" s="11"/>
      <c r="AI270" s="11"/>
      <c r="AJ270" s="11"/>
      <c r="AK270" s="11"/>
      <c r="AL270" s="11"/>
    </row>
    <row r="271" spans="1:38" x14ac:dyDescent="0.25">
      <c r="A271" s="38">
        <f>+Données!A271</f>
        <v>5886</v>
      </c>
      <c r="B271" s="247" t="str">
        <f>+Données!B271</f>
        <v>Montreux</v>
      </c>
      <c r="C271" s="235">
        <f>+Ecrêtage!C271</f>
        <v>1153112.7161538461</v>
      </c>
      <c r="D271" s="233"/>
      <c r="E271" s="235">
        <f>Données!AF271+Données!AG271+Données!AH271</f>
        <v>0</v>
      </c>
      <c r="F271" s="233">
        <f t="shared" si="31"/>
        <v>9224901.729230769</v>
      </c>
      <c r="G271" s="8">
        <f t="shared" si="32"/>
        <v>0</v>
      </c>
      <c r="H271" s="313">
        <f t="shared" si="33"/>
        <v>0</v>
      </c>
      <c r="J271" s="8">
        <f>Données!AN271</f>
        <v>0</v>
      </c>
      <c r="K271" s="213">
        <f t="shared" si="34"/>
        <v>1153112.7161538461</v>
      </c>
      <c r="L271" s="12">
        <f t="shared" si="35"/>
        <v>0</v>
      </c>
      <c r="M271" s="313">
        <f t="shared" si="36"/>
        <v>0</v>
      </c>
      <c r="O271" s="42">
        <f t="shared" si="37"/>
        <v>0</v>
      </c>
      <c r="P271" s="270"/>
      <c r="Q271" s="226"/>
      <c r="R271" s="226"/>
      <c r="S271" s="226"/>
      <c r="T271" s="226"/>
      <c r="U271" s="226"/>
      <c r="AF271" s="11"/>
      <c r="AG271" s="11"/>
      <c r="AH271" s="11"/>
      <c r="AI271" s="11"/>
      <c r="AJ271" s="11"/>
      <c r="AK271" s="11"/>
      <c r="AL271" s="11"/>
    </row>
    <row r="272" spans="1:38" x14ac:dyDescent="0.25">
      <c r="A272" s="38">
        <f>+Données!A272</f>
        <v>5889</v>
      </c>
      <c r="B272" s="247" t="str">
        <f>+Données!B272</f>
        <v>La Tour-de-Peilz</v>
      </c>
      <c r="C272" s="235">
        <f>+Ecrêtage!C272</f>
        <v>709179.36611979152</v>
      </c>
      <c r="D272" s="233"/>
      <c r="E272" s="235">
        <f>Données!AF272+Données!AG272+Données!AH272</f>
        <v>0</v>
      </c>
      <c r="F272" s="233">
        <f t="shared" si="31"/>
        <v>5673434.9289583322</v>
      </c>
      <c r="G272" s="8">
        <f t="shared" si="32"/>
        <v>0</v>
      </c>
      <c r="H272" s="313">
        <f t="shared" si="33"/>
        <v>0</v>
      </c>
      <c r="J272" s="8">
        <f>Données!AN272</f>
        <v>0</v>
      </c>
      <c r="K272" s="213">
        <f t="shared" si="34"/>
        <v>709179.36611979152</v>
      </c>
      <c r="L272" s="12">
        <f t="shared" si="35"/>
        <v>0</v>
      </c>
      <c r="M272" s="313">
        <f t="shared" si="36"/>
        <v>0</v>
      </c>
      <c r="O272" s="42">
        <f t="shared" si="37"/>
        <v>0</v>
      </c>
      <c r="P272" s="270"/>
      <c r="Q272" s="226"/>
      <c r="R272" s="226"/>
      <c r="S272" s="226"/>
      <c r="T272" s="226"/>
      <c r="U272" s="226"/>
      <c r="AF272" s="11"/>
      <c r="AG272" s="11"/>
      <c r="AH272" s="11"/>
      <c r="AI272" s="11"/>
      <c r="AJ272" s="11"/>
      <c r="AK272" s="11"/>
      <c r="AL272" s="11"/>
    </row>
    <row r="273" spans="1:38" x14ac:dyDescent="0.25">
      <c r="A273" s="38">
        <f>+Données!A273</f>
        <v>5890</v>
      </c>
      <c r="B273" s="247" t="str">
        <f>+Données!B273</f>
        <v>Vevey</v>
      </c>
      <c r="C273" s="235">
        <f>+Ecrêtage!C273</f>
        <v>945087.70393736032</v>
      </c>
      <c r="D273" s="233"/>
      <c r="E273" s="235">
        <f>Données!AF273+Données!AG273+Données!AH273</f>
        <v>0</v>
      </c>
      <c r="F273" s="233">
        <f t="shared" si="31"/>
        <v>7560701.6314988825</v>
      </c>
      <c r="G273" s="8">
        <f t="shared" si="32"/>
        <v>0</v>
      </c>
      <c r="H273" s="313">
        <f t="shared" si="33"/>
        <v>0</v>
      </c>
      <c r="J273" s="8">
        <f>Données!AN273</f>
        <v>0</v>
      </c>
      <c r="K273" s="213">
        <f t="shared" si="34"/>
        <v>945087.70393736032</v>
      </c>
      <c r="L273" s="12">
        <f t="shared" si="35"/>
        <v>0</v>
      </c>
      <c r="M273" s="313">
        <f t="shared" si="36"/>
        <v>0</v>
      </c>
      <c r="O273" s="42">
        <f t="shared" si="37"/>
        <v>0</v>
      </c>
      <c r="P273" s="270"/>
      <c r="Q273" s="226"/>
      <c r="R273" s="226"/>
      <c r="S273" s="226"/>
      <c r="T273" s="226"/>
      <c r="U273" s="226"/>
      <c r="AF273" s="11"/>
      <c r="AG273" s="11"/>
      <c r="AH273" s="11"/>
      <c r="AI273" s="11"/>
      <c r="AJ273" s="11"/>
      <c r="AK273" s="11"/>
      <c r="AL273" s="11"/>
    </row>
    <row r="274" spans="1:38" x14ac:dyDescent="0.25">
      <c r="A274" s="38">
        <f>+Données!A274</f>
        <v>5891</v>
      </c>
      <c r="B274" s="247" t="str">
        <f>+Données!B274</f>
        <v>Veytaux</v>
      </c>
      <c r="C274" s="235">
        <f>+Ecrêtage!C274</f>
        <v>41113.316211031175</v>
      </c>
      <c r="D274" s="233"/>
      <c r="E274" s="235">
        <f>Données!AF274+Données!AG274+Données!AH274</f>
        <v>0</v>
      </c>
      <c r="F274" s="233">
        <f t="shared" si="31"/>
        <v>328906.5296882494</v>
      </c>
      <c r="G274" s="8">
        <f t="shared" si="32"/>
        <v>0</v>
      </c>
      <c r="H274" s="313">
        <f t="shared" si="33"/>
        <v>0</v>
      </c>
      <c r="J274" s="8">
        <f>Données!AN274</f>
        <v>0</v>
      </c>
      <c r="K274" s="213">
        <f t="shared" si="34"/>
        <v>41113.316211031175</v>
      </c>
      <c r="L274" s="12">
        <f t="shared" si="35"/>
        <v>0</v>
      </c>
      <c r="M274" s="313">
        <f t="shared" si="36"/>
        <v>0</v>
      </c>
      <c r="O274" s="42">
        <f t="shared" si="37"/>
        <v>0</v>
      </c>
      <c r="P274" s="270"/>
      <c r="Q274" s="226"/>
      <c r="R274" s="226"/>
      <c r="S274" s="226"/>
      <c r="T274" s="226"/>
      <c r="U274" s="226"/>
      <c r="AF274" s="11"/>
      <c r="AG274" s="11"/>
      <c r="AH274" s="11"/>
      <c r="AI274" s="11"/>
      <c r="AJ274" s="11"/>
      <c r="AK274" s="11"/>
      <c r="AL274" s="11"/>
    </row>
    <row r="275" spans="1:38" s="217" customFormat="1" x14ac:dyDescent="0.25">
      <c r="A275" s="38">
        <f>+Données!A275</f>
        <v>5892</v>
      </c>
      <c r="B275" s="247" t="str">
        <f>+Données!B275</f>
        <v>Blonay-Saint-Légier</v>
      </c>
      <c r="C275" s="235">
        <f>+Ecrêtage!C275</f>
        <v>749734.6567883211</v>
      </c>
      <c r="D275" s="233"/>
      <c r="E275" s="235">
        <f>Données!AF275+Données!AG275+Données!AH275</f>
        <v>0</v>
      </c>
      <c r="F275" s="233">
        <f t="shared" si="31"/>
        <v>5997877.2543065688</v>
      </c>
      <c r="G275" s="8">
        <f t="shared" si="32"/>
        <v>0</v>
      </c>
      <c r="H275" s="313">
        <f t="shared" si="33"/>
        <v>0</v>
      </c>
      <c r="I275" s="236"/>
      <c r="J275" s="8">
        <f>Données!AN275</f>
        <v>0</v>
      </c>
      <c r="K275" s="213">
        <f t="shared" si="34"/>
        <v>749734.6567883211</v>
      </c>
      <c r="L275" s="236">
        <f t="shared" si="35"/>
        <v>0</v>
      </c>
      <c r="M275" s="313">
        <f t="shared" si="36"/>
        <v>0</v>
      </c>
      <c r="N275" s="236"/>
      <c r="O275" s="42">
        <f t="shared" si="37"/>
        <v>0</v>
      </c>
      <c r="P275" s="270"/>
      <c r="Q275" s="226"/>
      <c r="R275" s="226"/>
      <c r="S275" s="226"/>
      <c r="T275" s="226"/>
      <c r="U275" s="226"/>
    </row>
    <row r="276" spans="1:38" x14ac:dyDescent="0.25">
      <c r="A276" s="38">
        <f>+Données!A276</f>
        <v>5902</v>
      </c>
      <c r="B276" s="247" t="str">
        <f>+Données!B276</f>
        <v>Belmont-sur-Yverdon</v>
      </c>
      <c r="C276" s="235">
        <f>+Ecrêtage!C276</f>
        <v>11918.01</v>
      </c>
      <c r="D276" s="233"/>
      <c r="E276" s="235">
        <f>Données!AF276+Données!AG276+Données!AH276</f>
        <v>0</v>
      </c>
      <c r="F276" s="233">
        <f t="shared" si="31"/>
        <v>95344.08</v>
      </c>
      <c r="G276" s="8">
        <f t="shared" si="32"/>
        <v>0</v>
      </c>
      <c r="H276" s="313">
        <f t="shared" si="33"/>
        <v>0</v>
      </c>
      <c r="J276" s="8">
        <f>Données!AN276</f>
        <v>0</v>
      </c>
      <c r="K276" s="213">
        <f t="shared" si="34"/>
        <v>11918.01</v>
      </c>
      <c r="L276" s="12">
        <f t="shared" si="35"/>
        <v>0</v>
      </c>
      <c r="M276" s="313">
        <f t="shared" si="36"/>
        <v>0</v>
      </c>
      <c r="O276" s="42">
        <f t="shared" si="37"/>
        <v>0</v>
      </c>
      <c r="P276" s="270"/>
      <c r="Q276" s="226"/>
      <c r="R276" s="226"/>
      <c r="S276" s="226"/>
      <c r="T276" s="226"/>
      <c r="U276" s="226"/>
      <c r="AF276" s="11"/>
      <c r="AG276" s="11"/>
      <c r="AH276" s="11"/>
      <c r="AI276" s="11"/>
      <c r="AJ276" s="11"/>
      <c r="AK276" s="11"/>
      <c r="AL276" s="11"/>
    </row>
    <row r="277" spans="1:38" x14ac:dyDescent="0.25">
      <c r="A277" s="38">
        <f>+Données!A277</f>
        <v>5903</v>
      </c>
      <c r="B277" s="247" t="str">
        <f>+Données!B277</f>
        <v>Bioley-Magnoux</v>
      </c>
      <c r="C277" s="235">
        <f>+Ecrêtage!C277</f>
        <v>6275.4313293650803</v>
      </c>
      <c r="D277" s="233"/>
      <c r="E277" s="235">
        <f>Données!AF277+Données!AG277+Données!AH277</f>
        <v>0</v>
      </c>
      <c r="F277" s="233">
        <f t="shared" si="31"/>
        <v>50203.450634920642</v>
      </c>
      <c r="G277" s="8">
        <f t="shared" si="32"/>
        <v>0</v>
      </c>
      <c r="H277" s="313">
        <f t="shared" si="33"/>
        <v>0</v>
      </c>
      <c r="J277" s="8">
        <f>Données!AN277</f>
        <v>0</v>
      </c>
      <c r="K277" s="213">
        <f t="shared" si="34"/>
        <v>6275.4313293650803</v>
      </c>
      <c r="L277" s="12">
        <f t="shared" si="35"/>
        <v>0</v>
      </c>
      <c r="M277" s="313">
        <f t="shared" si="36"/>
        <v>0</v>
      </c>
      <c r="O277" s="42">
        <f t="shared" si="37"/>
        <v>0</v>
      </c>
      <c r="P277" s="270"/>
      <c r="Q277" s="226"/>
      <c r="R277" s="226"/>
      <c r="S277" s="226"/>
      <c r="T277" s="226"/>
      <c r="U277" s="226"/>
      <c r="AF277" s="11"/>
      <c r="AG277" s="11"/>
      <c r="AH277" s="11"/>
      <c r="AI277" s="11"/>
      <c r="AJ277" s="11"/>
      <c r="AK277" s="11"/>
      <c r="AL277" s="11"/>
    </row>
    <row r="278" spans="1:38" x14ac:dyDescent="0.25">
      <c r="A278" s="38">
        <f>+Données!A278</f>
        <v>5904</v>
      </c>
      <c r="B278" s="247" t="str">
        <f>+Données!B278</f>
        <v>Chamblon</v>
      </c>
      <c r="C278" s="235">
        <f>+Ecrêtage!C278</f>
        <v>18890.250303030305</v>
      </c>
      <c r="D278" s="233"/>
      <c r="E278" s="235">
        <f>Données!AF278+Données!AG278+Données!AH278</f>
        <v>0</v>
      </c>
      <c r="F278" s="233">
        <f t="shared" si="31"/>
        <v>151122.00242424244</v>
      </c>
      <c r="G278" s="8">
        <f t="shared" si="32"/>
        <v>0</v>
      </c>
      <c r="H278" s="313">
        <f t="shared" si="33"/>
        <v>0</v>
      </c>
      <c r="J278" s="8">
        <f>Données!AN278</f>
        <v>0</v>
      </c>
      <c r="K278" s="213">
        <f t="shared" si="34"/>
        <v>18890.250303030305</v>
      </c>
      <c r="L278" s="12">
        <f t="shared" si="35"/>
        <v>0</v>
      </c>
      <c r="M278" s="313">
        <f t="shared" si="36"/>
        <v>0</v>
      </c>
      <c r="O278" s="42">
        <f t="shared" si="37"/>
        <v>0</v>
      </c>
      <c r="P278" s="270"/>
      <c r="Q278" s="226"/>
      <c r="R278" s="226"/>
      <c r="S278" s="226"/>
      <c r="T278" s="226"/>
      <c r="U278" s="226"/>
      <c r="AF278" s="11"/>
      <c r="AG278" s="11"/>
      <c r="AH278" s="11"/>
      <c r="AI278" s="11"/>
      <c r="AJ278" s="11"/>
      <c r="AK278" s="11"/>
      <c r="AL278" s="11"/>
    </row>
    <row r="279" spans="1:38" x14ac:dyDescent="0.25">
      <c r="A279" s="38">
        <f>+Données!A279</f>
        <v>5905</v>
      </c>
      <c r="B279" s="247" t="str">
        <f>+Données!B279</f>
        <v>Champvent</v>
      </c>
      <c r="C279" s="235">
        <f>+Ecrêtage!C279</f>
        <v>21534.177714285714</v>
      </c>
      <c r="D279" s="233"/>
      <c r="E279" s="235">
        <f>Données!AF279+Données!AG279+Données!AH279</f>
        <v>0</v>
      </c>
      <c r="F279" s="233">
        <f t="shared" si="31"/>
        <v>172273.42171428571</v>
      </c>
      <c r="G279" s="8">
        <f t="shared" si="32"/>
        <v>0</v>
      </c>
      <c r="H279" s="313">
        <f t="shared" si="33"/>
        <v>0</v>
      </c>
      <c r="J279" s="8">
        <f>Données!AN279</f>
        <v>0</v>
      </c>
      <c r="K279" s="213">
        <f t="shared" si="34"/>
        <v>21534.177714285714</v>
      </c>
      <c r="L279" s="12">
        <f t="shared" si="35"/>
        <v>0</v>
      </c>
      <c r="M279" s="313">
        <f t="shared" si="36"/>
        <v>0</v>
      </c>
      <c r="O279" s="42">
        <f t="shared" si="37"/>
        <v>0</v>
      </c>
      <c r="P279" s="270"/>
      <c r="Q279" s="226"/>
      <c r="R279" s="226"/>
      <c r="S279" s="226"/>
      <c r="T279" s="226"/>
      <c r="U279" s="226"/>
      <c r="AF279" s="11"/>
      <c r="AG279" s="11"/>
      <c r="AH279" s="11"/>
      <c r="AI279" s="11"/>
      <c r="AJ279" s="11"/>
      <c r="AK279" s="11"/>
      <c r="AL279" s="11"/>
    </row>
    <row r="280" spans="1:38" x14ac:dyDescent="0.25">
      <c r="A280" s="38">
        <f>+Données!A280</f>
        <v>5907</v>
      </c>
      <c r="B280" s="247" t="str">
        <f>+Données!B280</f>
        <v>Chavannes-le-Chêne</v>
      </c>
      <c r="C280" s="235">
        <f>+Ecrêtage!C280</f>
        <v>8453.4726666666666</v>
      </c>
      <c r="D280" s="233"/>
      <c r="E280" s="235">
        <f>Données!AF280+Données!AG280+Données!AH280</f>
        <v>0</v>
      </c>
      <c r="F280" s="233">
        <f t="shared" si="31"/>
        <v>67627.781333333332</v>
      </c>
      <c r="G280" s="8">
        <f t="shared" si="32"/>
        <v>0</v>
      </c>
      <c r="H280" s="313">
        <f t="shared" si="33"/>
        <v>0</v>
      </c>
      <c r="J280" s="8">
        <f>Données!AN280</f>
        <v>0</v>
      </c>
      <c r="K280" s="213">
        <f t="shared" si="34"/>
        <v>8453.4726666666666</v>
      </c>
      <c r="L280" s="12">
        <f t="shared" si="35"/>
        <v>0</v>
      </c>
      <c r="M280" s="313">
        <f t="shared" si="36"/>
        <v>0</v>
      </c>
      <c r="O280" s="42">
        <f t="shared" si="37"/>
        <v>0</v>
      </c>
      <c r="P280" s="270"/>
      <c r="Q280" s="226"/>
      <c r="R280" s="226"/>
      <c r="S280" s="226"/>
      <c r="T280" s="226"/>
      <c r="U280" s="226"/>
      <c r="AF280" s="11"/>
      <c r="AG280" s="11"/>
      <c r="AH280" s="11"/>
      <c r="AI280" s="11"/>
      <c r="AJ280" s="11"/>
      <c r="AK280" s="11"/>
      <c r="AL280" s="11"/>
    </row>
    <row r="281" spans="1:38" x14ac:dyDescent="0.25">
      <c r="A281" s="38">
        <f>+Données!A281</f>
        <v>5908</v>
      </c>
      <c r="B281" s="247" t="str">
        <f>+Données!B281</f>
        <v>Chêne-Pâquier</v>
      </c>
      <c r="C281" s="235">
        <f>+Ecrêtage!C281</f>
        <v>4917.9366666666683</v>
      </c>
      <c r="D281" s="233"/>
      <c r="E281" s="235">
        <f>Données!AF281+Données!AG281+Données!AH281</f>
        <v>0</v>
      </c>
      <c r="F281" s="233">
        <f t="shared" si="31"/>
        <v>39343.493333333347</v>
      </c>
      <c r="G281" s="8">
        <f t="shared" si="32"/>
        <v>0</v>
      </c>
      <c r="H281" s="313">
        <f t="shared" si="33"/>
        <v>0</v>
      </c>
      <c r="J281" s="8">
        <f>Données!AN281</f>
        <v>0</v>
      </c>
      <c r="K281" s="213">
        <f t="shared" si="34"/>
        <v>4917.9366666666683</v>
      </c>
      <c r="L281" s="12">
        <f t="shared" si="35"/>
        <v>0</v>
      </c>
      <c r="M281" s="313">
        <f t="shared" si="36"/>
        <v>0</v>
      </c>
      <c r="O281" s="42">
        <f t="shared" si="37"/>
        <v>0</v>
      </c>
      <c r="P281" s="270"/>
      <c r="Q281" s="226"/>
      <c r="R281" s="226"/>
      <c r="S281" s="226"/>
      <c r="T281" s="226"/>
      <c r="U281" s="226"/>
      <c r="AF281" s="11"/>
      <c r="AG281" s="11"/>
      <c r="AH281" s="11"/>
      <c r="AI281" s="11"/>
      <c r="AJ281" s="11"/>
      <c r="AK281" s="11"/>
      <c r="AL281" s="11"/>
    </row>
    <row r="282" spans="1:38" x14ac:dyDescent="0.25">
      <c r="A282" s="38">
        <f>+Données!A282</f>
        <v>5909</v>
      </c>
      <c r="B282" s="247" t="str">
        <f>+Données!B282</f>
        <v>Cheseaux-Noréaz</v>
      </c>
      <c r="C282" s="235">
        <f>+Ecrêtage!C282</f>
        <v>34179.649850746275</v>
      </c>
      <c r="D282" s="233"/>
      <c r="E282" s="235">
        <f>Données!AF282+Données!AG282+Données!AH282</f>
        <v>0</v>
      </c>
      <c r="F282" s="233">
        <f t="shared" si="31"/>
        <v>273437.1988059702</v>
      </c>
      <c r="G282" s="8">
        <f t="shared" si="32"/>
        <v>0</v>
      </c>
      <c r="H282" s="313">
        <f t="shared" si="33"/>
        <v>0</v>
      </c>
      <c r="J282" s="8">
        <f>Données!AN282</f>
        <v>0</v>
      </c>
      <c r="K282" s="213">
        <f t="shared" si="34"/>
        <v>34179.649850746275</v>
      </c>
      <c r="L282" s="12">
        <f t="shared" si="35"/>
        <v>0</v>
      </c>
      <c r="M282" s="313">
        <f t="shared" si="36"/>
        <v>0</v>
      </c>
      <c r="O282" s="42">
        <f t="shared" si="37"/>
        <v>0</v>
      </c>
      <c r="P282" s="270"/>
      <c r="Q282" s="226"/>
      <c r="R282" s="226"/>
      <c r="S282" s="226"/>
      <c r="T282" s="226"/>
      <c r="U282" s="226"/>
      <c r="AF282" s="11"/>
      <c r="AG282" s="11"/>
      <c r="AH282" s="11"/>
      <c r="AI282" s="11"/>
      <c r="AJ282" s="11"/>
      <c r="AK282" s="11"/>
      <c r="AL282" s="11"/>
    </row>
    <row r="283" spans="1:38" x14ac:dyDescent="0.25">
      <c r="A283" s="38">
        <f>+Données!A283</f>
        <v>5910</v>
      </c>
      <c r="B283" s="247" t="str">
        <f>+Données!B283</f>
        <v>Cronay</v>
      </c>
      <c r="C283" s="235">
        <f>+Ecrêtage!C283</f>
        <v>10620.023506493504</v>
      </c>
      <c r="D283" s="233"/>
      <c r="E283" s="235">
        <f>Données!AF283+Données!AG283+Données!AH283</f>
        <v>0</v>
      </c>
      <c r="F283" s="233">
        <f t="shared" si="31"/>
        <v>84960.188051948033</v>
      </c>
      <c r="G283" s="8">
        <f t="shared" si="32"/>
        <v>0</v>
      </c>
      <c r="H283" s="313">
        <f t="shared" si="33"/>
        <v>0</v>
      </c>
      <c r="J283" s="8">
        <f>Données!AN283</f>
        <v>0</v>
      </c>
      <c r="K283" s="213">
        <f t="shared" si="34"/>
        <v>10620.023506493504</v>
      </c>
      <c r="L283" s="12">
        <f t="shared" si="35"/>
        <v>0</v>
      </c>
      <c r="M283" s="313">
        <f t="shared" si="36"/>
        <v>0</v>
      </c>
      <c r="O283" s="42">
        <f t="shared" si="37"/>
        <v>0</v>
      </c>
      <c r="P283" s="270"/>
      <c r="Q283" s="226"/>
      <c r="R283" s="226"/>
      <c r="S283" s="226"/>
      <c r="T283" s="226"/>
      <c r="U283" s="226"/>
      <c r="AF283" s="11"/>
      <c r="AG283" s="11"/>
      <c r="AH283" s="11"/>
      <c r="AI283" s="11"/>
      <c r="AJ283" s="11"/>
      <c r="AK283" s="11"/>
      <c r="AL283" s="11"/>
    </row>
    <row r="284" spans="1:38" x14ac:dyDescent="0.25">
      <c r="A284" s="38">
        <f>+Données!A284</f>
        <v>5911</v>
      </c>
      <c r="B284" s="247" t="str">
        <f>+Données!B284</f>
        <v>Cuarny</v>
      </c>
      <c r="C284" s="235">
        <f>+Ecrêtage!C284</f>
        <v>7630.7251948051926</v>
      </c>
      <c r="D284" s="233"/>
      <c r="E284" s="235">
        <f>Données!AF284+Données!AG284+Données!AH284</f>
        <v>0</v>
      </c>
      <c r="F284" s="233">
        <f t="shared" si="31"/>
        <v>61045.801558441541</v>
      </c>
      <c r="G284" s="8">
        <f t="shared" si="32"/>
        <v>0</v>
      </c>
      <c r="H284" s="313">
        <f t="shared" si="33"/>
        <v>0</v>
      </c>
      <c r="J284" s="8">
        <f>Données!AN284</f>
        <v>0</v>
      </c>
      <c r="K284" s="213">
        <f t="shared" si="34"/>
        <v>7630.7251948051926</v>
      </c>
      <c r="L284" s="12">
        <f t="shared" si="35"/>
        <v>0</v>
      </c>
      <c r="M284" s="313">
        <f t="shared" si="36"/>
        <v>0</v>
      </c>
      <c r="O284" s="42">
        <f t="shared" si="37"/>
        <v>0</v>
      </c>
      <c r="P284" s="270"/>
      <c r="Q284" s="226"/>
      <c r="R284" s="226"/>
      <c r="S284" s="226"/>
      <c r="T284" s="226"/>
      <c r="U284" s="226"/>
      <c r="AF284" s="11"/>
      <c r="AG284" s="11"/>
      <c r="AH284" s="11"/>
      <c r="AI284" s="11"/>
      <c r="AJ284" s="11"/>
      <c r="AK284" s="11"/>
      <c r="AL284" s="11"/>
    </row>
    <row r="285" spans="1:38" x14ac:dyDescent="0.25">
      <c r="A285" s="38">
        <f>+Données!A285</f>
        <v>5912</v>
      </c>
      <c r="B285" s="247" t="str">
        <f>+Données!B285</f>
        <v>Démoret</v>
      </c>
      <c r="C285" s="235">
        <f>+Ecrêtage!C285</f>
        <v>3035.5994871794869</v>
      </c>
      <c r="D285" s="233"/>
      <c r="E285" s="235">
        <f>Données!AF285+Données!AG285+Données!AH285</f>
        <v>0</v>
      </c>
      <c r="F285" s="233">
        <f t="shared" si="31"/>
        <v>24284.795897435895</v>
      </c>
      <c r="G285" s="8">
        <f t="shared" si="32"/>
        <v>0</v>
      </c>
      <c r="H285" s="313">
        <f t="shared" si="33"/>
        <v>0</v>
      </c>
      <c r="J285" s="8">
        <f>Données!AN285</f>
        <v>0</v>
      </c>
      <c r="K285" s="213">
        <f t="shared" si="34"/>
        <v>3035.5994871794869</v>
      </c>
      <c r="L285" s="12">
        <f t="shared" si="35"/>
        <v>0</v>
      </c>
      <c r="M285" s="313">
        <f t="shared" si="36"/>
        <v>0</v>
      </c>
      <c r="O285" s="42">
        <f t="shared" si="37"/>
        <v>0</v>
      </c>
      <c r="P285" s="270"/>
      <c r="Q285" s="226"/>
      <c r="R285" s="226"/>
      <c r="S285" s="226"/>
      <c r="T285" s="226"/>
      <c r="U285" s="226"/>
      <c r="AF285" s="11"/>
      <c r="AG285" s="11"/>
      <c r="AH285" s="11"/>
      <c r="AI285" s="11"/>
      <c r="AJ285" s="11"/>
      <c r="AK285" s="11"/>
      <c r="AL285" s="11"/>
    </row>
    <row r="286" spans="1:38" x14ac:dyDescent="0.25">
      <c r="A286" s="38">
        <f>+Données!A286</f>
        <v>5913</v>
      </c>
      <c r="B286" s="247" t="str">
        <f>+Données!B286</f>
        <v>Donneloye</v>
      </c>
      <c r="C286" s="235">
        <f>+Ecrêtage!C286</f>
        <v>21868.165342465756</v>
      </c>
      <c r="D286" s="233"/>
      <c r="E286" s="235">
        <f>Données!AF286+Données!AG286+Données!AH286</f>
        <v>0</v>
      </c>
      <c r="F286" s="233">
        <f t="shared" si="31"/>
        <v>174945.32273972605</v>
      </c>
      <c r="G286" s="8">
        <f t="shared" si="32"/>
        <v>0</v>
      </c>
      <c r="H286" s="313">
        <f t="shared" si="33"/>
        <v>0</v>
      </c>
      <c r="J286" s="8">
        <f>Données!AN286</f>
        <v>0</v>
      </c>
      <c r="K286" s="213">
        <f t="shared" si="34"/>
        <v>21868.165342465756</v>
      </c>
      <c r="L286" s="12">
        <f t="shared" si="35"/>
        <v>0</v>
      </c>
      <c r="M286" s="313">
        <f t="shared" si="36"/>
        <v>0</v>
      </c>
      <c r="O286" s="42">
        <f t="shared" si="37"/>
        <v>0</v>
      </c>
      <c r="P286" s="270"/>
      <c r="Q286" s="226"/>
      <c r="R286" s="226"/>
      <c r="S286" s="226"/>
      <c r="T286" s="226"/>
      <c r="U286" s="226"/>
      <c r="AF286" s="11"/>
      <c r="AG286" s="11"/>
      <c r="AH286" s="11"/>
      <c r="AI286" s="11"/>
      <c r="AJ286" s="11"/>
      <c r="AK286" s="11"/>
      <c r="AL286" s="11"/>
    </row>
    <row r="287" spans="1:38" x14ac:dyDescent="0.25">
      <c r="A287" s="38">
        <f>+Données!A287</f>
        <v>5914</v>
      </c>
      <c r="B287" s="247" t="str">
        <f>+Données!B287</f>
        <v>Ependes</v>
      </c>
      <c r="C287" s="235">
        <f>+Ecrêtage!C287</f>
        <v>9826.1438095238063</v>
      </c>
      <c r="D287" s="233"/>
      <c r="E287" s="235">
        <f>Données!AF287+Données!AG287+Données!AH287</f>
        <v>0</v>
      </c>
      <c r="F287" s="233">
        <f t="shared" si="31"/>
        <v>78609.150476190451</v>
      </c>
      <c r="G287" s="8">
        <f t="shared" si="32"/>
        <v>0</v>
      </c>
      <c r="H287" s="313">
        <f t="shared" si="33"/>
        <v>0</v>
      </c>
      <c r="J287" s="8">
        <f>Données!AN287</f>
        <v>0</v>
      </c>
      <c r="K287" s="213">
        <f t="shared" si="34"/>
        <v>9826.1438095238063</v>
      </c>
      <c r="L287" s="12">
        <f t="shared" si="35"/>
        <v>0</v>
      </c>
      <c r="M287" s="313">
        <f t="shared" si="36"/>
        <v>0</v>
      </c>
      <c r="O287" s="42">
        <f t="shared" si="37"/>
        <v>0</v>
      </c>
      <c r="P287" s="270"/>
      <c r="Q287" s="226"/>
      <c r="R287" s="226"/>
      <c r="S287" s="226"/>
      <c r="T287" s="226"/>
      <c r="U287" s="226"/>
      <c r="AF287" s="11"/>
      <c r="AG287" s="11"/>
      <c r="AH287" s="11"/>
      <c r="AI287" s="11"/>
      <c r="AJ287" s="11"/>
      <c r="AK287" s="11"/>
      <c r="AL287" s="11"/>
    </row>
    <row r="288" spans="1:38" x14ac:dyDescent="0.25">
      <c r="A288" s="38">
        <f>+Données!A288</f>
        <v>5919</v>
      </c>
      <c r="B288" s="247" t="str">
        <f>+Données!B288</f>
        <v>Mathod</v>
      </c>
      <c r="C288" s="235">
        <f>+Ecrêtage!C288</f>
        <v>20854.383912037036</v>
      </c>
      <c r="D288" s="233"/>
      <c r="E288" s="235">
        <f>Données!AF288+Données!AG288+Données!AH288</f>
        <v>0</v>
      </c>
      <c r="F288" s="233">
        <f t="shared" si="31"/>
        <v>166835.07129629629</v>
      </c>
      <c r="G288" s="8">
        <f t="shared" si="32"/>
        <v>0</v>
      </c>
      <c r="H288" s="313">
        <f t="shared" si="33"/>
        <v>0</v>
      </c>
      <c r="J288" s="8">
        <f>Données!AN288</f>
        <v>0</v>
      </c>
      <c r="K288" s="213">
        <f t="shared" si="34"/>
        <v>20854.383912037036</v>
      </c>
      <c r="L288" s="12">
        <f t="shared" si="35"/>
        <v>0</v>
      </c>
      <c r="M288" s="313">
        <f t="shared" si="36"/>
        <v>0</v>
      </c>
      <c r="O288" s="42">
        <f t="shared" si="37"/>
        <v>0</v>
      </c>
      <c r="P288" s="270"/>
      <c r="Q288" s="226"/>
      <c r="R288" s="226"/>
      <c r="S288" s="226"/>
      <c r="T288" s="226"/>
      <c r="U288" s="226"/>
      <c r="AF288" s="11"/>
      <c r="AG288" s="11"/>
      <c r="AH288" s="11"/>
      <c r="AI288" s="11"/>
      <c r="AJ288" s="11"/>
      <c r="AK288" s="11"/>
      <c r="AL288" s="11"/>
    </row>
    <row r="289" spans="1:38" x14ac:dyDescent="0.25">
      <c r="A289" s="38">
        <f>+Données!A289</f>
        <v>5921</v>
      </c>
      <c r="B289" s="247" t="str">
        <f>+Données!B289</f>
        <v>Molondin</v>
      </c>
      <c r="C289" s="235">
        <f>+Ecrêtage!C289</f>
        <v>5090.9675308641981</v>
      </c>
      <c r="D289" s="233"/>
      <c r="E289" s="235">
        <f>Données!AF289+Données!AG289+Données!AH289</f>
        <v>0</v>
      </c>
      <c r="F289" s="233">
        <f t="shared" si="31"/>
        <v>40727.740246913585</v>
      </c>
      <c r="G289" s="8">
        <f t="shared" si="32"/>
        <v>0</v>
      </c>
      <c r="H289" s="313">
        <f t="shared" si="33"/>
        <v>0</v>
      </c>
      <c r="J289" s="8">
        <f>Données!AN289</f>
        <v>0</v>
      </c>
      <c r="K289" s="213">
        <f t="shared" si="34"/>
        <v>5090.9675308641981</v>
      </c>
      <c r="L289" s="12">
        <f t="shared" si="35"/>
        <v>0</v>
      </c>
      <c r="M289" s="313">
        <f t="shared" si="36"/>
        <v>0</v>
      </c>
      <c r="O289" s="42">
        <f t="shared" si="37"/>
        <v>0</v>
      </c>
      <c r="P289" s="270"/>
      <c r="Q289" s="226"/>
      <c r="R289" s="226"/>
      <c r="S289" s="226"/>
      <c r="T289" s="226"/>
      <c r="U289" s="226"/>
      <c r="AF289" s="11"/>
      <c r="AG289" s="11"/>
      <c r="AH289" s="11"/>
      <c r="AI289" s="11"/>
      <c r="AJ289" s="11"/>
      <c r="AK289" s="11"/>
      <c r="AL289" s="11"/>
    </row>
    <row r="290" spans="1:38" x14ac:dyDescent="0.25">
      <c r="A290" s="38">
        <f>+Données!A290</f>
        <v>5922</v>
      </c>
      <c r="B290" s="247" t="str">
        <f>+Données!B290</f>
        <v>Montagny-près-Yverdon</v>
      </c>
      <c r="C290" s="235">
        <f>+Ecrêtage!C290</f>
        <v>39799.996472868217</v>
      </c>
      <c r="D290" s="233"/>
      <c r="E290" s="235">
        <f>Données!AF290+Données!AG290+Données!AH290</f>
        <v>0</v>
      </c>
      <c r="F290" s="233">
        <f t="shared" si="31"/>
        <v>318399.97178294574</v>
      </c>
      <c r="G290" s="8">
        <f t="shared" si="32"/>
        <v>0</v>
      </c>
      <c r="H290" s="313">
        <f t="shared" si="33"/>
        <v>0</v>
      </c>
      <c r="J290" s="8">
        <f>Données!AN290</f>
        <v>0</v>
      </c>
      <c r="K290" s="213">
        <f t="shared" si="34"/>
        <v>39799.996472868217</v>
      </c>
      <c r="L290" s="12">
        <f t="shared" si="35"/>
        <v>0</v>
      </c>
      <c r="M290" s="313">
        <f t="shared" si="36"/>
        <v>0</v>
      </c>
      <c r="O290" s="42">
        <f t="shared" si="37"/>
        <v>0</v>
      </c>
      <c r="P290" s="270"/>
      <c r="Q290" s="226"/>
      <c r="R290" s="226"/>
      <c r="S290" s="226"/>
      <c r="T290" s="226"/>
      <c r="U290" s="226"/>
      <c r="AF290" s="11"/>
      <c r="AG290" s="11"/>
      <c r="AH290" s="11"/>
      <c r="AI290" s="11"/>
      <c r="AJ290" s="11"/>
      <c r="AK290" s="11"/>
      <c r="AL290" s="11"/>
    </row>
    <row r="291" spans="1:38" x14ac:dyDescent="0.25">
      <c r="A291" s="38">
        <f>+Données!A291</f>
        <v>5923</v>
      </c>
      <c r="B291" s="247" t="str">
        <f>+Données!B291</f>
        <v>Oppens</v>
      </c>
      <c r="C291" s="235">
        <f>+Ecrêtage!C291</f>
        <v>4459.4095061728403</v>
      </c>
      <c r="D291" s="233"/>
      <c r="E291" s="235">
        <f>Données!AF291+Données!AG291+Données!AH291</f>
        <v>0</v>
      </c>
      <c r="F291" s="233">
        <f t="shared" si="31"/>
        <v>35675.276049382723</v>
      </c>
      <c r="G291" s="8">
        <f t="shared" si="32"/>
        <v>0</v>
      </c>
      <c r="H291" s="313">
        <f t="shared" si="33"/>
        <v>0</v>
      </c>
      <c r="J291" s="8">
        <f>Données!AN291</f>
        <v>0</v>
      </c>
      <c r="K291" s="213">
        <f t="shared" si="34"/>
        <v>4459.4095061728403</v>
      </c>
      <c r="L291" s="12">
        <f t="shared" si="35"/>
        <v>0</v>
      </c>
      <c r="M291" s="313">
        <f t="shared" si="36"/>
        <v>0</v>
      </c>
      <c r="O291" s="42">
        <f t="shared" si="37"/>
        <v>0</v>
      </c>
      <c r="P291" s="270"/>
      <c r="Q291" s="226"/>
      <c r="R291" s="226"/>
      <c r="S291" s="226"/>
      <c r="T291" s="226"/>
      <c r="U291" s="226"/>
      <c r="AF291" s="11"/>
      <c r="AG291" s="11"/>
      <c r="AH291" s="11"/>
      <c r="AI291" s="11"/>
      <c r="AJ291" s="11"/>
      <c r="AK291" s="11"/>
      <c r="AL291" s="11"/>
    </row>
    <row r="292" spans="1:38" x14ac:dyDescent="0.25">
      <c r="A292" s="38">
        <f>+Données!A292</f>
        <v>5924</v>
      </c>
      <c r="B292" s="247" t="str">
        <f>+Données!B292</f>
        <v>Orges</v>
      </c>
      <c r="C292" s="235">
        <f>+Ecrêtage!C292</f>
        <v>11637.592027027025</v>
      </c>
      <c r="D292" s="233"/>
      <c r="E292" s="235">
        <f>Données!AF292+Données!AG292+Données!AH292</f>
        <v>0</v>
      </c>
      <c r="F292" s="233">
        <f t="shared" si="31"/>
        <v>93100.736216216203</v>
      </c>
      <c r="G292" s="8">
        <f t="shared" si="32"/>
        <v>0</v>
      </c>
      <c r="H292" s="313">
        <f t="shared" si="33"/>
        <v>0</v>
      </c>
      <c r="J292" s="8">
        <f>Données!AN292</f>
        <v>0</v>
      </c>
      <c r="K292" s="213">
        <f t="shared" si="34"/>
        <v>11637.592027027025</v>
      </c>
      <c r="L292" s="12">
        <f t="shared" si="35"/>
        <v>0</v>
      </c>
      <c r="M292" s="313">
        <f t="shared" si="36"/>
        <v>0</v>
      </c>
      <c r="O292" s="42">
        <f t="shared" si="37"/>
        <v>0</v>
      </c>
      <c r="P292" s="270"/>
      <c r="Q292" s="226"/>
      <c r="R292" s="226"/>
      <c r="S292" s="226"/>
      <c r="T292" s="226"/>
      <c r="U292" s="226"/>
      <c r="AF292" s="11"/>
      <c r="AG292" s="11"/>
      <c r="AH292" s="11"/>
      <c r="AI292" s="11"/>
      <c r="AJ292" s="11"/>
      <c r="AK292" s="11"/>
      <c r="AL292" s="11"/>
    </row>
    <row r="293" spans="1:38" x14ac:dyDescent="0.25">
      <c r="A293" s="38">
        <f>+Données!A293</f>
        <v>5925</v>
      </c>
      <c r="B293" s="247" t="str">
        <f>+Données!B293</f>
        <v>Orzens</v>
      </c>
      <c r="C293" s="235">
        <f>+Ecrêtage!C293</f>
        <v>5249.0272151898725</v>
      </c>
      <c r="D293" s="233"/>
      <c r="E293" s="235">
        <f>Données!AF293+Données!AG293+Données!AH293</f>
        <v>0</v>
      </c>
      <c r="F293" s="233">
        <f t="shared" si="31"/>
        <v>41992.21772151898</v>
      </c>
      <c r="G293" s="8">
        <f t="shared" si="32"/>
        <v>0</v>
      </c>
      <c r="H293" s="313">
        <f t="shared" si="33"/>
        <v>0</v>
      </c>
      <c r="J293" s="8">
        <f>Données!AN293</f>
        <v>0</v>
      </c>
      <c r="K293" s="213">
        <f t="shared" si="34"/>
        <v>5249.0272151898725</v>
      </c>
      <c r="L293" s="12">
        <f t="shared" si="35"/>
        <v>0</v>
      </c>
      <c r="M293" s="313">
        <f t="shared" si="36"/>
        <v>0</v>
      </c>
      <c r="O293" s="42">
        <f t="shared" si="37"/>
        <v>0</v>
      </c>
      <c r="P293" s="270"/>
      <c r="Q293" s="226"/>
      <c r="R293" s="226"/>
      <c r="S293" s="226"/>
      <c r="T293" s="226"/>
      <c r="U293" s="226"/>
      <c r="AF293" s="11"/>
      <c r="AG293" s="11"/>
      <c r="AH293" s="11"/>
      <c r="AI293" s="11"/>
      <c r="AJ293" s="11"/>
      <c r="AK293" s="11"/>
      <c r="AL293" s="11"/>
    </row>
    <row r="294" spans="1:38" x14ac:dyDescent="0.25">
      <c r="A294" s="38">
        <f>+Données!A294</f>
        <v>5926</v>
      </c>
      <c r="B294" s="247" t="str">
        <f>+Données!B294</f>
        <v>Pomy</v>
      </c>
      <c r="C294" s="235">
        <f>+Ecrêtage!C294</f>
        <v>26782.680140845066</v>
      </c>
      <c r="D294" s="233"/>
      <c r="E294" s="235">
        <f>Données!AF294+Données!AG294+Données!AH294</f>
        <v>0</v>
      </c>
      <c r="F294" s="233">
        <f t="shared" si="31"/>
        <v>214261.44112676053</v>
      </c>
      <c r="G294" s="8">
        <f t="shared" si="32"/>
        <v>0</v>
      </c>
      <c r="H294" s="313">
        <f t="shared" si="33"/>
        <v>0</v>
      </c>
      <c r="J294" s="8">
        <f>Données!AN294</f>
        <v>0</v>
      </c>
      <c r="K294" s="213">
        <f t="shared" si="34"/>
        <v>26782.680140845066</v>
      </c>
      <c r="L294" s="12">
        <f t="shared" si="35"/>
        <v>0</v>
      </c>
      <c r="M294" s="313">
        <f t="shared" si="36"/>
        <v>0</v>
      </c>
      <c r="O294" s="42">
        <f t="shared" si="37"/>
        <v>0</v>
      </c>
      <c r="P294" s="270"/>
      <c r="Q294" s="226"/>
      <c r="R294" s="226"/>
      <c r="S294" s="226"/>
      <c r="T294" s="226"/>
      <c r="U294" s="226"/>
      <c r="AF294" s="11"/>
      <c r="AG294" s="11"/>
      <c r="AH294" s="11"/>
      <c r="AI294" s="11"/>
      <c r="AJ294" s="11"/>
      <c r="AK294" s="11"/>
      <c r="AL294" s="11"/>
    </row>
    <row r="295" spans="1:38" x14ac:dyDescent="0.25">
      <c r="A295" s="38">
        <f>+Données!A295</f>
        <v>5928</v>
      </c>
      <c r="B295" s="247" t="str">
        <f>+Données!B295</f>
        <v>Rovray</v>
      </c>
      <c r="C295" s="235">
        <f>+Ecrêtage!C295</f>
        <v>5095.519580419581</v>
      </c>
      <c r="D295" s="233"/>
      <c r="E295" s="235">
        <f>Données!AF295+Données!AG295+Données!AH295</f>
        <v>0</v>
      </c>
      <c r="F295" s="233">
        <f t="shared" si="31"/>
        <v>40764.156643356648</v>
      </c>
      <c r="G295" s="8">
        <f t="shared" si="32"/>
        <v>0</v>
      </c>
      <c r="H295" s="313">
        <f t="shared" si="33"/>
        <v>0</v>
      </c>
      <c r="J295" s="8">
        <f>Données!AN295</f>
        <v>0</v>
      </c>
      <c r="K295" s="213">
        <f t="shared" si="34"/>
        <v>5095.519580419581</v>
      </c>
      <c r="L295" s="12">
        <f t="shared" si="35"/>
        <v>0</v>
      </c>
      <c r="M295" s="313">
        <f t="shared" si="36"/>
        <v>0</v>
      </c>
      <c r="O295" s="42">
        <f t="shared" si="37"/>
        <v>0</v>
      </c>
      <c r="P295" s="270"/>
      <c r="Q295" s="226"/>
      <c r="R295" s="226"/>
      <c r="S295" s="226"/>
      <c r="T295" s="226"/>
      <c r="U295" s="226"/>
      <c r="AF295" s="11"/>
      <c r="AG295" s="11"/>
      <c r="AH295" s="11"/>
      <c r="AI295" s="11"/>
      <c r="AJ295" s="11"/>
      <c r="AK295" s="11"/>
      <c r="AL295" s="11"/>
    </row>
    <row r="296" spans="1:38" x14ac:dyDescent="0.25">
      <c r="A296" s="38">
        <f>+Données!A296</f>
        <v>5929</v>
      </c>
      <c r="B296" s="247" t="str">
        <f>+Données!B296</f>
        <v>Suchy</v>
      </c>
      <c r="C296" s="235">
        <f>+Ecrêtage!C296</f>
        <v>21603.071857142855</v>
      </c>
      <c r="D296" s="233"/>
      <c r="E296" s="235">
        <f>Données!AF296+Données!AG296+Données!AH296</f>
        <v>0</v>
      </c>
      <c r="F296" s="233">
        <f t="shared" si="31"/>
        <v>172824.57485714284</v>
      </c>
      <c r="G296" s="8">
        <f t="shared" si="32"/>
        <v>0</v>
      </c>
      <c r="H296" s="313">
        <f t="shared" si="33"/>
        <v>0</v>
      </c>
      <c r="J296" s="8">
        <f>Données!AN296</f>
        <v>0</v>
      </c>
      <c r="K296" s="213">
        <f t="shared" si="34"/>
        <v>21603.071857142855</v>
      </c>
      <c r="L296" s="12">
        <f t="shared" si="35"/>
        <v>0</v>
      </c>
      <c r="M296" s="313">
        <f t="shared" si="36"/>
        <v>0</v>
      </c>
      <c r="O296" s="42">
        <f t="shared" si="37"/>
        <v>0</v>
      </c>
      <c r="P296" s="270"/>
      <c r="Q296" s="226"/>
      <c r="R296" s="226"/>
      <c r="S296" s="226"/>
      <c r="T296" s="226"/>
      <c r="U296" s="226"/>
      <c r="AF296" s="11"/>
      <c r="AG296" s="11"/>
      <c r="AH296" s="11"/>
      <c r="AI296" s="11"/>
      <c r="AJ296" s="11"/>
      <c r="AK296" s="11"/>
      <c r="AL296" s="11"/>
    </row>
    <row r="297" spans="1:38" x14ac:dyDescent="0.25">
      <c r="A297" s="38">
        <f>+Données!A297</f>
        <v>5930</v>
      </c>
      <c r="B297" s="247" t="str">
        <f>+Données!B297</f>
        <v>Suscévaz</v>
      </c>
      <c r="C297" s="235">
        <f>+Ecrêtage!C297</f>
        <v>5749.1651388888886</v>
      </c>
      <c r="D297" s="233"/>
      <c r="E297" s="235">
        <f>Données!AF297+Données!AG297+Données!AH297</f>
        <v>0</v>
      </c>
      <c r="F297" s="233">
        <f t="shared" si="31"/>
        <v>45993.321111111109</v>
      </c>
      <c r="G297" s="8">
        <f t="shared" si="32"/>
        <v>0</v>
      </c>
      <c r="H297" s="313">
        <f t="shared" si="33"/>
        <v>0</v>
      </c>
      <c r="J297" s="8">
        <f>Données!AN297</f>
        <v>0</v>
      </c>
      <c r="K297" s="213">
        <f t="shared" si="34"/>
        <v>5749.1651388888886</v>
      </c>
      <c r="L297" s="12">
        <f t="shared" si="35"/>
        <v>0</v>
      </c>
      <c r="M297" s="313">
        <f t="shared" si="36"/>
        <v>0</v>
      </c>
      <c r="O297" s="42">
        <f t="shared" si="37"/>
        <v>0</v>
      </c>
      <c r="P297" s="270"/>
      <c r="Q297" s="226"/>
      <c r="R297" s="226"/>
      <c r="S297" s="226"/>
      <c r="T297" s="226"/>
      <c r="U297" s="226"/>
      <c r="AF297" s="11"/>
      <c r="AG297" s="11"/>
      <c r="AH297" s="11"/>
      <c r="AI297" s="11"/>
      <c r="AJ297" s="11"/>
      <c r="AK297" s="11"/>
      <c r="AL297" s="11"/>
    </row>
    <row r="298" spans="1:38" x14ac:dyDescent="0.25">
      <c r="A298" s="38">
        <f>+Données!A298</f>
        <v>5931</v>
      </c>
      <c r="B298" s="247" t="str">
        <f>+Données!B298</f>
        <v>Treycovagnes</v>
      </c>
      <c r="C298" s="235">
        <f>+Ecrêtage!C298</f>
        <v>16306.743466666663</v>
      </c>
      <c r="D298" s="233"/>
      <c r="E298" s="235">
        <f>Données!AF298+Données!AG298+Données!AH298</f>
        <v>0</v>
      </c>
      <c r="F298" s="233">
        <f t="shared" si="31"/>
        <v>130453.94773333331</v>
      </c>
      <c r="G298" s="8">
        <f t="shared" si="32"/>
        <v>0</v>
      </c>
      <c r="H298" s="313">
        <f t="shared" si="33"/>
        <v>0</v>
      </c>
      <c r="J298" s="8">
        <f>Données!AN298</f>
        <v>0</v>
      </c>
      <c r="K298" s="213">
        <f t="shared" si="34"/>
        <v>16306.743466666663</v>
      </c>
      <c r="L298" s="12">
        <f t="shared" si="35"/>
        <v>0</v>
      </c>
      <c r="M298" s="313">
        <f t="shared" si="36"/>
        <v>0</v>
      </c>
      <c r="O298" s="42">
        <f t="shared" si="37"/>
        <v>0</v>
      </c>
      <c r="P298" s="270"/>
      <c r="Q298" s="226"/>
      <c r="R298" s="226"/>
      <c r="S298" s="226"/>
      <c r="T298" s="226"/>
      <c r="U298" s="226"/>
      <c r="AF298" s="11"/>
      <c r="AG298" s="11"/>
      <c r="AH298" s="11"/>
      <c r="AI298" s="11"/>
      <c r="AJ298" s="11"/>
      <c r="AK298" s="11"/>
      <c r="AL298" s="11"/>
    </row>
    <row r="299" spans="1:38" x14ac:dyDescent="0.25">
      <c r="A299" s="38">
        <f>+Données!A299</f>
        <v>5932</v>
      </c>
      <c r="B299" s="247" t="str">
        <f>+Données!B299</f>
        <v>Ursins</v>
      </c>
      <c r="C299" s="235">
        <f>+Ecrêtage!C299</f>
        <v>7945.6340000000009</v>
      </c>
      <c r="D299" s="233"/>
      <c r="E299" s="235">
        <f>Données!AF299+Données!AG299+Données!AH299</f>
        <v>0</v>
      </c>
      <c r="F299" s="233">
        <f t="shared" si="31"/>
        <v>63565.072000000007</v>
      </c>
      <c r="G299" s="8">
        <f t="shared" si="32"/>
        <v>0</v>
      </c>
      <c r="H299" s="313">
        <f t="shared" si="33"/>
        <v>0</v>
      </c>
      <c r="J299" s="8">
        <f>Données!AN299</f>
        <v>0</v>
      </c>
      <c r="K299" s="213">
        <f t="shared" si="34"/>
        <v>7945.6340000000009</v>
      </c>
      <c r="L299" s="12">
        <f t="shared" si="35"/>
        <v>0</v>
      </c>
      <c r="M299" s="313">
        <f t="shared" si="36"/>
        <v>0</v>
      </c>
      <c r="O299" s="42">
        <f t="shared" si="37"/>
        <v>0</v>
      </c>
      <c r="P299" s="270"/>
      <c r="Q299" s="226"/>
      <c r="R299" s="226"/>
      <c r="S299" s="226"/>
      <c r="T299" s="226"/>
      <c r="U299" s="226"/>
      <c r="AF299" s="11"/>
      <c r="AG299" s="11"/>
      <c r="AH299" s="11"/>
      <c r="AI299" s="11"/>
      <c r="AJ299" s="11"/>
      <c r="AK299" s="11"/>
      <c r="AL299" s="11"/>
    </row>
    <row r="300" spans="1:38" x14ac:dyDescent="0.25">
      <c r="A300" s="38">
        <f>+Données!A300</f>
        <v>5933</v>
      </c>
      <c r="B300" s="247" t="str">
        <f>+Données!B300</f>
        <v>Valeyres-sous-Montagny</v>
      </c>
      <c r="C300" s="235">
        <f>+Ecrêtage!C300</f>
        <v>23478.314609929079</v>
      </c>
      <c r="D300" s="233"/>
      <c r="E300" s="235">
        <f>Données!AF300+Données!AG300+Données!AH300</f>
        <v>0</v>
      </c>
      <c r="F300" s="233">
        <f t="shared" si="31"/>
        <v>187826.51687943263</v>
      </c>
      <c r="G300" s="8">
        <f t="shared" si="32"/>
        <v>0</v>
      </c>
      <c r="H300" s="313">
        <f t="shared" si="33"/>
        <v>0</v>
      </c>
      <c r="J300" s="8">
        <f>Données!AN300</f>
        <v>0</v>
      </c>
      <c r="K300" s="213">
        <f t="shared" si="34"/>
        <v>23478.314609929079</v>
      </c>
      <c r="L300" s="12">
        <f t="shared" si="35"/>
        <v>0</v>
      </c>
      <c r="M300" s="313">
        <f t="shared" si="36"/>
        <v>0</v>
      </c>
      <c r="O300" s="42">
        <f t="shared" si="37"/>
        <v>0</v>
      </c>
      <c r="P300" s="270"/>
      <c r="Q300" s="226"/>
      <c r="R300" s="226"/>
      <c r="S300" s="226"/>
      <c r="T300" s="226"/>
      <c r="U300" s="226"/>
      <c r="AF300" s="11"/>
      <c r="AG300" s="11"/>
      <c r="AH300" s="11"/>
      <c r="AI300" s="11"/>
      <c r="AJ300" s="11"/>
      <c r="AK300" s="11"/>
      <c r="AL300" s="11"/>
    </row>
    <row r="301" spans="1:38" x14ac:dyDescent="0.25">
      <c r="A301" s="38">
        <f>+Données!A301</f>
        <v>5934</v>
      </c>
      <c r="B301" s="247" t="str">
        <f>+Données!B301</f>
        <v>Valeyres-sous-Ursins</v>
      </c>
      <c r="C301" s="235">
        <f>+Ecrêtage!C301</f>
        <v>16787.585844155841</v>
      </c>
      <c r="D301" s="233"/>
      <c r="E301" s="235">
        <f>Données!AF301+Données!AG301+Données!AH301</f>
        <v>0</v>
      </c>
      <c r="F301" s="233">
        <f t="shared" si="31"/>
        <v>134300.68675324673</v>
      </c>
      <c r="G301" s="8">
        <f t="shared" si="32"/>
        <v>0</v>
      </c>
      <c r="H301" s="313">
        <f t="shared" si="33"/>
        <v>0</v>
      </c>
      <c r="J301" s="8">
        <f>Données!AN301</f>
        <v>0</v>
      </c>
      <c r="K301" s="213">
        <f t="shared" si="34"/>
        <v>16787.585844155841</v>
      </c>
      <c r="L301" s="12">
        <f t="shared" si="35"/>
        <v>0</v>
      </c>
      <c r="M301" s="313">
        <f t="shared" si="36"/>
        <v>0</v>
      </c>
      <c r="O301" s="42">
        <f t="shared" si="37"/>
        <v>0</v>
      </c>
      <c r="P301" s="270"/>
      <c r="Q301" s="226"/>
      <c r="R301" s="226"/>
      <c r="S301" s="226"/>
      <c r="T301" s="226"/>
      <c r="U301" s="226"/>
      <c r="AF301" s="11"/>
      <c r="AG301" s="11"/>
      <c r="AH301" s="11"/>
      <c r="AI301" s="11"/>
      <c r="AJ301" s="11"/>
      <c r="AK301" s="11"/>
      <c r="AL301" s="11"/>
    </row>
    <row r="302" spans="1:38" x14ac:dyDescent="0.25">
      <c r="A302" s="38">
        <f>+Données!A302</f>
        <v>5935</v>
      </c>
      <c r="B302" s="247" t="str">
        <f>+Données!B302</f>
        <v>Villars-Epeney</v>
      </c>
      <c r="C302" s="235">
        <f>+Ecrêtage!C302</f>
        <v>6724.4138235294122</v>
      </c>
      <c r="D302" s="233"/>
      <c r="E302" s="235">
        <f>Données!AF302+Données!AG302+Données!AH302</f>
        <v>0</v>
      </c>
      <c r="F302" s="233">
        <f t="shared" si="31"/>
        <v>53795.310588235297</v>
      </c>
      <c r="G302" s="8">
        <f t="shared" si="32"/>
        <v>0</v>
      </c>
      <c r="H302" s="313">
        <f t="shared" si="33"/>
        <v>0</v>
      </c>
      <c r="J302" s="8">
        <f>Données!AN302</f>
        <v>0</v>
      </c>
      <c r="K302" s="213">
        <f t="shared" si="34"/>
        <v>6724.4138235294122</v>
      </c>
      <c r="L302" s="12">
        <f t="shared" si="35"/>
        <v>0</v>
      </c>
      <c r="M302" s="313">
        <f t="shared" si="36"/>
        <v>0</v>
      </c>
      <c r="O302" s="42">
        <f t="shared" si="37"/>
        <v>0</v>
      </c>
      <c r="P302" s="270"/>
      <c r="Q302" s="226"/>
      <c r="R302" s="226"/>
      <c r="S302" s="226"/>
      <c r="T302" s="226"/>
      <c r="U302" s="226"/>
      <c r="AF302" s="11"/>
      <c r="AG302" s="11"/>
      <c r="AH302" s="11"/>
      <c r="AI302" s="11"/>
      <c r="AJ302" s="11"/>
      <c r="AK302" s="11"/>
      <c r="AL302" s="11"/>
    </row>
    <row r="303" spans="1:38" x14ac:dyDescent="0.25">
      <c r="A303" s="38">
        <f>+Données!A303</f>
        <v>5937</v>
      </c>
      <c r="B303" s="247" t="str">
        <f>+Données!B303</f>
        <v>Vugelles-La Mothe</v>
      </c>
      <c r="C303" s="235">
        <f>+Ecrêtage!C303</f>
        <v>3343.8941428571434</v>
      </c>
      <c r="D303" s="233"/>
      <c r="E303" s="235">
        <f>Données!AF303+Données!AG303+Données!AH303</f>
        <v>0</v>
      </c>
      <c r="F303" s="233">
        <f t="shared" si="31"/>
        <v>26751.153142857147</v>
      </c>
      <c r="G303" s="8">
        <f t="shared" si="32"/>
        <v>0</v>
      </c>
      <c r="H303" s="313">
        <f t="shared" si="33"/>
        <v>0</v>
      </c>
      <c r="J303" s="8">
        <f>Données!AN303</f>
        <v>0</v>
      </c>
      <c r="K303" s="213">
        <f t="shared" si="34"/>
        <v>3343.8941428571434</v>
      </c>
      <c r="L303" s="12">
        <f t="shared" si="35"/>
        <v>0</v>
      </c>
      <c r="M303" s="313">
        <f t="shared" si="36"/>
        <v>0</v>
      </c>
      <c r="O303" s="42">
        <f t="shared" si="37"/>
        <v>0</v>
      </c>
      <c r="P303" s="270"/>
      <c r="Q303" s="226"/>
      <c r="R303" s="226"/>
      <c r="S303" s="226"/>
      <c r="T303" s="226"/>
      <c r="U303" s="226"/>
      <c r="AF303" s="11"/>
      <c r="AG303" s="11"/>
      <c r="AH303" s="11"/>
      <c r="AI303" s="11"/>
      <c r="AJ303" s="11"/>
      <c r="AK303" s="11"/>
      <c r="AL303" s="11"/>
    </row>
    <row r="304" spans="1:38" x14ac:dyDescent="0.25">
      <c r="A304" s="38">
        <f>+Données!A304</f>
        <v>5938</v>
      </c>
      <c r="B304" s="247" t="str">
        <f>+Données!B304</f>
        <v>Yverdon-les-Bains</v>
      </c>
      <c r="C304" s="235">
        <f>+Ecrêtage!C304</f>
        <v>780594.69946666679</v>
      </c>
      <c r="D304" s="233"/>
      <c r="E304" s="235">
        <f>Données!AF304+Données!AG304+Données!AH304</f>
        <v>0</v>
      </c>
      <c r="F304" s="233">
        <f t="shared" si="31"/>
        <v>6244757.5957333343</v>
      </c>
      <c r="G304" s="8">
        <f t="shared" si="32"/>
        <v>0</v>
      </c>
      <c r="H304" s="313">
        <f t="shared" si="33"/>
        <v>0</v>
      </c>
      <c r="J304" s="8">
        <f>Données!AN304</f>
        <v>0</v>
      </c>
      <c r="K304" s="213">
        <f t="shared" si="34"/>
        <v>780594.69946666679</v>
      </c>
      <c r="L304" s="12">
        <f t="shared" si="35"/>
        <v>0</v>
      </c>
      <c r="M304" s="313">
        <f t="shared" si="36"/>
        <v>0</v>
      </c>
      <c r="O304" s="42">
        <f t="shared" si="37"/>
        <v>0</v>
      </c>
      <c r="P304" s="270"/>
      <c r="Q304" s="226"/>
      <c r="R304" s="226"/>
      <c r="S304" s="226"/>
      <c r="T304" s="226"/>
      <c r="U304" s="226"/>
      <c r="AF304" s="11"/>
      <c r="AG304" s="11"/>
      <c r="AH304" s="11"/>
      <c r="AI304" s="11"/>
      <c r="AJ304" s="11"/>
      <c r="AK304" s="11"/>
      <c r="AL304" s="11"/>
    </row>
    <row r="305" spans="1:38" x14ac:dyDescent="0.25">
      <c r="A305" s="38">
        <f>+Données!A305</f>
        <v>5939</v>
      </c>
      <c r="B305" s="247" t="str">
        <f>+Données!B305</f>
        <v>Yvonand</v>
      </c>
      <c r="C305" s="235">
        <f>+Ecrêtage!C305</f>
        <v>97394.348251748248</v>
      </c>
      <c r="D305" s="233"/>
      <c r="E305" s="141">
        <f>Données!AF305+Données!AG305+Données!AH305</f>
        <v>0</v>
      </c>
      <c r="F305" s="233">
        <f t="shared" si="31"/>
        <v>779154.78601398598</v>
      </c>
      <c r="G305" s="8">
        <f t="shared" si="32"/>
        <v>0</v>
      </c>
      <c r="H305" s="313">
        <f t="shared" si="33"/>
        <v>0</v>
      </c>
      <c r="J305" s="225">
        <f>Données!AN305</f>
        <v>0</v>
      </c>
      <c r="K305" s="215">
        <f t="shared" si="34"/>
        <v>97394.348251748248</v>
      </c>
      <c r="L305" s="51">
        <f t="shared" si="35"/>
        <v>0</v>
      </c>
      <c r="M305" s="332">
        <f t="shared" si="36"/>
        <v>0</v>
      </c>
      <c r="O305" s="65">
        <f t="shared" si="37"/>
        <v>0</v>
      </c>
      <c r="P305" s="270"/>
      <c r="Q305" s="226"/>
      <c r="R305" s="226"/>
      <c r="S305" s="226"/>
      <c r="T305" s="226"/>
      <c r="U305" s="226"/>
      <c r="AF305" s="11"/>
      <c r="AG305" s="11"/>
      <c r="AH305" s="11"/>
      <c r="AI305" s="11"/>
      <c r="AJ305" s="11"/>
      <c r="AK305" s="11"/>
      <c r="AL305" s="11"/>
    </row>
    <row r="306" spans="1:38" x14ac:dyDescent="0.25">
      <c r="A306" s="56"/>
      <c r="B306" s="172">
        <f>COUNTA(B6:B305)</f>
        <v>300</v>
      </c>
      <c r="C306" s="9">
        <f t="shared" ref="C306:M306" si="38">SUM(C6:C305)</f>
        <v>40270921.104040481</v>
      </c>
      <c r="E306" s="225">
        <f t="shared" si="38"/>
        <v>0</v>
      </c>
      <c r="F306" s="173">
        <f t="shared" si="38"/>
        <v>322167368.83232385</v>
      </c>
      <c r="G306" s="9">
        <f t="shared" si="38"/>
        <v>0</v>
      </c>
      <c r="H306" s="314">
        <f t="shared" si="38"/>
        <v>0</v>
      </c>
      <c r="J306" s="225">
        <f t="shared" si="38"/>
        <v>0</v>
      </c>
      <c r="K306" s="16">
        <f t="shared" si="38"/>
        <v>40270921.104040481</v>
      </c>
      <c r="L306" s="9">
        <f t="shared" si="38"/>
        <v>0</v>
      </c>
      <c r="M306" s="332">
        <f t="shared" si="38"/>
        <v>0</v>
      </c>
      <c r="O306" s="30">
        <f>SUM(O6:O305)</f>
        <v>0</v>
      </c>
      <c r="P306" s="270"/>
      <c r="Q306" s="217"/>
      <c r="AF306" s="11"/>
      <c r="AG306" s="11"/>
      <c r="AH306" s="11"/>
      <c r="AI306" s="11"/>
      <c r="AJ306" s="11"/>
      <c r="AK306" s="11"/>
      <c r="AL306" s="11"/>
    </row>
  </sheetData>
  <sheetProtection sheet="1" objects="1" scenarios="1"/>
  <mergeCells count="9">
    <mergeCell ref="O4:O5"/>
    <mergeCell ref="I1:J1"/>
    <mergeCell ref="C4:C5"/>
    <mergeCell ref="B4:B5"/>
    <mergeCell ref="A4:A5"/>
    <mergeCell ref="K4:K5"/>
    <mergeCell ref="J4:J5"/>
    <mergeCell ref="F4:F5"/>
    <mergeCell ref="E4:E5"/>
  </mergeCells>
  <phoneticPr fontId="0" type="noConversion"/>
  <hyperlinks>
    <hyperlink ref="G1" location="Solidarité!A1" display="← Précédent" xr:uid="{5A8E4973-17D6-4687-9CE6-45B0575EDBAD}"/>
    <hyperlink ref="H1" location="'Table des matières'!A1" display="Table des             matières" xr:uid="{04BE0D59-7790-474E-8080-9D72D4E0F66D}"/>
    <hyperlink ref="I1" location="'6.4. Financement'!A1" display="Suivant →" xr:uid="{E345551C-124C-4CBD-9876-7C5AAF6D130D}"/>
    <hyperlink ref="I1:J1" location="Effort!A1" display="Suivant →" xr:uid="{309F21F1-9A18-4F3D-BDE2-8C55C3D34BC3}"/>
  </hyperlinks>
  <printOptions horizontalCentered="1"/>
  <pageMargins left="0" right="0" top="0" bottom="0" header="0.51181102362204722" footer="0.51181102362204722"/>
  <pageSetup paperSize="9" scale="64" orientation="landscape"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theme="6" tint="0.39997558519241921"/>
  </sheetPr>
  <dimension ref="A1:X312"/>
  <sheetViews>
    <sheetView workbookViewId="0">
      <pane ySplit="5" topLeftCell="A6" activePane="bottomLeft" state="frozen"/>
      <selection activeCell="C3" sqref="C3:E3"/>
      <selection pane="bottomLeft" activeCell="C3" sqref="C3:E3"/>
    </sheetView>
  </sheetViews>
  <sheetFormatPr baseColWidth="10" defaultColWidth="10.75" defaultRowHeight="15" x14ac:dyDescent="0.25"/>
  <cols>
    <col min="1" max="1" width="7.25" style="11" customWidth="1"/>
    <col min="2" max="2" width="21.375" style="11" customWidth="1"/>
    <col min="3" max="3" width="12.625" style="11" bestFit="1" customWidth="1"/>
    <col min="4" max="4" width="13.25" style="11" customWidth="1"/>
    <col min="5" max="6" width="13.125" style="11" customWidth="1"/>
    <col min="7" max="7" width="13.125" style="217" customWidth="1"/>
    <col min="8" max="9" width="13.125" style="11" customWidth="1"/>
    <col min="10" max="10" width="9.125" style="13" customWidth="1"/>
    <col min="11" max="11" width="10.625" style="13" customWidth="1"/>
    <col min="12" max="13" width="12.125" style="11" customWidth="1"/>
    <col min="14" max="16" width="8.125" style="11" customWidth="1"/>
    <col min="17" max="16384" width="10.75" style="11"/>
  </cols>
  <sheetData>
    <row r="1" spans="1:24" s="291" customFormat="1" ht="26.25" x14ac:dyDescent="0.4">
      <c r="A1" s="278" t="s">
        <v>401</v>
      </c>
      <c r="B1" s="283"/>
      <c r="C1" s="404" t="s">
        <v>405</v>
      </c>
      <c r="D1" s="302" t="s">
        <v>397</v>
      </c>
      <c r="E1" s="496" t="s">
        <v>406</v>
      </c>
      <c r="H1" s="292"/>
      <c r="I1" s="293"/>
      <c r="J1" s="290"/>
      <c r="K1" s="294"/>
      <c r="L1" s="285"/>
      <c r="M1" s="285"/>
      <c r="N1" s="285"/>
      <c r="O1" s="285"/>
      <c r="P1" s="285"/>
      <c r="W1" s="285"/>
    </row>
    <row r="2" spans="1:24" s="33" customFormat="1" ht="15.75" x14ac:dyDescent="0.25">
      <c r="A2" s="355" t="str">
        <f>Paramètres!B4</f>
        <v>Décompte 2022</v>
      </c>
      <c r="B2" s="32"/>
      <c r="C2" s="219"/>
      <c r="D2" s="219"/>
      <c r="E2" s="219"/>
      <c r="F2" s="219"/>
      <c r="G2" s="219"/>
      <c r="H2" s="219"/>
      <c r="I2" s="219"/>
      <c r="J2" s="79"/>
      <c r="K2" s="80"/>
      <c r="M2" s="217"/>
      <c r="N2" s="217"/>
      <c r="O2" s="217"/>
      <c r="P2" s="217"/>
      <c r="Q2" s="217"/>
      <c r="X2" s="217"/>
    </row>
    <row r="3" spans="1:24" ht="20.100000000000001" customHeight="1" x14ac:dyDescent="0.25"/>
    <row r="4" spans="1:24" s="309" customFormat="1" ht="43.5" customHeight="1" x14ac:dyDescent="0.2">
      <c r="A4" s="680" t="s">
        <v>44</v>
      </c>
      <c r="B4" s="680" t="s">
        <v>84</v>
      </c>
      <c r="C4" s="680" t="s">
        <v>496</v>
      </c>
      <c r="D4" s="680" t="s">
        <v>535</v>
      </c>
      <c r="E4" s="680" t="s">
        <v>503</v>
      </c>
      <c r="F4" s="680" t="s">
        <v>504</v>
      </c>
      <c r="G4" s="689" t="s">
        <v>505</v>
      </c>
      <c r="H4" s="680" t="s">
        <v>434</v>
      </c>
      <c r="I4" s="691" t="s">
        <v>435</v>
      </c>
      <c r="J4" s="510" t="s">
        <v>433</v>
      </c>
      <c r="K4" s="689" t="s">
        <v>437</v>
      </c>
      <c r="L4" s="80"/>
    </row>
    <row r="5" spans="1:24" x14ac:dyDescent="0.25">
      <c r="A5" s="682"/>
      <c r="B5" s="682"/>
      <c r="C5" s="682"/>
      <c r="D5" s="681"/>
      <c r="E5" s="682"/>
      <c r="F5" s="682"/>
      <c r="G5" s="690"/>
      <c r="H5" s="682"/>
      <c r="I5" s="692"/>
      <c r="J5" s="371">
        <f>Paramètres!B44</f>
        <v>48</v>
      </c>
      <c r="K5" s="690"/>
      <c r="L5" s="13"/>
    </row>
    <row r="6" spans="1:24" x14ac:dyDescent="0.25">
      <c r="A6" s="38">
        <f>Données!A6</f>
        <v>5401</v>
      </c>
      <c r="B6" s="168" t="str">
        <f>Données!B6</f>
        <v>Aigle</v>
      </c>
      <c r="C6" s="348">
        <f>VPI!R6</f>
        <v>294634.51575757569</v>
      </c>
      <c r="D6" s="207">
        <f>(PCS!I12-PCS!F12)/C6</f>
        <v>11.649011238089878</v>
      </c>
      <c r="E6" s="504">
        <f>'Péréquation directe'!E12/C6</f>
        <v>-20.587318809722763</v>
      </c>
      <c r="F6" s="207">
        <f>'Péréquation directe'!F12/Effort!C6</f>
        <v>-13.913450156910093</v>
      </c>
      <c r="G6" s="207">
        <f>'Péréquation directe'!G12/Effort!C6</f>
        <v>0</v>
      </c>
      <c r="H6" s="207">
        <f>'Péréquation directe'!J12/Effort!C6</f>
        <v>19.207162141841813</v>
      </c>
      <c r="I6" s="419">
        <f>SUM(D6:H6)</f>
        <v>-3.6445955867011648</v>
      </c>
      <c r="J6" s="223">
        <f>IF(I6&gt;J$5,I6-J$5,0)</f>
        <v>0</v>
      </c>
      <c r="K6" s="42">
        <f>-J6*C6</f>
        <v>0</v>
      </c>
      <c r="L6" s="13"/>
    </row>
    <row r="7" spans="1:24" x14ac:dyDescent="0.25">
      <c r="A7" s="38">
        <f>Données!A7</f>
        <v>5402</v>
      </c>
      <c r="B7" s="168" t="str">
        <f>Données!B7</f>
        <v>Bex</v>
      </c>
      <c r="C7" s="348">
        <f>VPI!R7</f>
        <v>191961.18746478873</v>
      </c>
      <c r="D7" s="206">
        <f>(PCS!I13-PCS!F13)/C7</f>
        <v>11.649011238089876</v>
      </c>
      <c r="E7" s="505">
        <f>'Péréquation directe'!E13/C7</f>
        <v>-20.024294362362923</v>
      </c>
      <c r="F7" s="206">
        <f>'Péréquation directe'!F13/Effort!C7</f>
        <v>-21.365586175090126</v>
      </c>
      <c r="G7" s="206">
        <f>'Péréquation directe'!G13/Effort!C7</f>
        <v>0</v>
      </c>
      <c r="H7" s="206">
        <f>'Péréquation directe'!J13/Effort!C7</f>
        <v>19.207162141841813</v>
      </c>
      <c r="I7" s="371">
        <f t="shared" ref="I7:I70" si="0">SUM(D7:H7)</f>
        <v>-10.533707157521359</v>
      </c>
      <c r="J7" s="223">
        <f t="shared" ref="J7:J70" si="1">IF(I7&gt;J$5,I7-J$5,0)</f>
        <v>0</v>
      </c>
      <c r="K7" s="42">
        <f t="shared" ref="K7:K70" si="2">-J7*C7</f>
        <v>0</v>
      </c>
      <c r="L7" s="237"/>
    </row>
    <row r="8" spans="1:24" x14ac:dyDescent="0.25">
      <c r="A8" s="38">
        <f>Données!A8</f>
        <v>5403</v>
      </c>
      <c r="B8" s="168" t="str">
        <f>Données!B8</f>
        <v>Chessel</v>
      </c>
      <c r="C8" s="348">
        <f>VPI!R8</f>
        <v>13521.430615384616</v>
      </c>
      <c r="D8" s="206">
        <f>(PCS!I14-PCS!F14)/C8</f>
        <v>11.649011238089876</v>
      </c>
      <c r="E8" s="505">
        <f>'Péréquation directe'!E14/C8</f>
        <v>-5.0382796339193323</v>
      </c>
      <c r="F8" s="206">
        <f>'Péréquation directe'!F14/Effort!C8</f>
        <v>-15.055926883262403</v>
      </c>
      <c r="G8" s="206">
        <f>'Péréquation directe'!G14/Effort!C8</f>
        <v>0</v>
      </c>
      <c r="H8" s="206">
        <f>'Péréquation directe'!J14/Effort!C8</f>
        <v>19.207162141841813</v>
      </c>
      <c r="I8" s="371">
        <f t="shared" si="0"/>
        <v>10.761966862749954</v>
      </c>
      <c r="J8" s="223">
        <f t="shared" si="1"/>
        <v>0</v>
      </c>
      <c r="K8" s="42">
        <f t="shared" si="2"/>
        <v>0</v>
      </c>
      <c r="L8" s="237"/>
    </row>
    <row r="9" spans="1:24" x14ac:dyDescent="0.25">
      <c r="A9" s="38">
        <f>Données!A9</f>
        <v>5404</v>
      </c>
      <c r="B9" s="168" t="str">
        <f>Données!B9</f>
        <v>Corbeyrier</v>
      </c>
      <c r="C9" s="348">
        <f>VPI!R9</f>
        <v>11663.247882882884</v>
      </c>
      <c r="D9" s="206">
        <f>(PCS!I15-PCS!F15)/C9</f>
        <v>11.649011238089878</v>
      </c>
      <c r="E9" s="505">
        <f>'Péréquation directe'!E15/C9</f>
        <v>-4.8674798231607452</v>
      </c>
      <c r="F9" s="206">
        <f>'Péréquation directe'!F15/Effort!C9</f>
        <v>-18.110425017376286</v>
      </c>
      <c r="G9" s="206">
        <f>'Péréquation directe'!G15/Effort!C9</f>
        <v>0</v>
      </c>
      <c r="H9" s="206">
        <f>'Péréquation directe'!J15/Effort!C9</f>
        <v>19.207162141841813</v>
      </c>
      <c r="I9" s="371">
        <f t="shared" si="0"/>
        <v>7.8782685393946608</v>
      </c>
      <c r="J9" s="223">
        <f t="shared" si="1"/>
        <v>0</v>
      </c>
      <c r="K9" s="42">
        <f t="shared" si="2"/>
        <v>0</v>
      </c>
      <c r="L9" s="237"/>
    </row>
    <row r="10" spans="1:24" x14ac:dyDescent="0.25">
      <c r="A10" s="38">
        <f>Données!A10</f>
        <v>5405</v>
      </c>
      <c r="B10" s="168" t="str">
        <f>Données!B10</f>
        <v>Gryon</v>
      </c>
      <c r="C10" s="348">
        <f>VPI!R10</f>
        <v>73286.214467120197</v>
      </c>
      <c r="D10" s="206">
        <f>(PCS!I16-PCS!F16)/C10</f>
        <v>12.842924851724081</v>
      </c>
      <c r="E10" s="505">
        <f>'Péréquation directe'!E16/C10</f>
        <v>-3.6830734542510322</v>
      </c>
      <c r="F10" s="206">
        <f>'Péréquation directe'!F16/Effort!C10</f>
        <v>0</v>
      </c>
      <c r="G10" s="206">
        <f>'Péréquation directe'!G16/Effort!C10</f>
        <v>0</v>
      </c>
      <c r="H10" s="206">
        <f>'Péréquation directe'!J16/Effort!C10</f>
        <v>19.207162141841813</v>
      </c>
      <c r="I10" s="371">
        <f t="shared" si="0"/>
        <v>28.367013539314861</v>
      </c>
      <c r="J10" s="223">
        <f t="shared" si="1"/>
        <v>0</v>
      </c>
      <c r="K10" s="42">
        <f t="shared" si="2"/>
        <v>0</v>
      </c>
      <c r="L10" s="237"/>
    </row>
    <row r="11" spans="1:24" x14ac:dyDescent="0.25">
      <c r="A11" s="38">
        <f>Données!A11</f>
        <v>5406</v>
      </c>
      <c r="B11" s="168" t="str">
        <f>Données!B11</f>
        <v>Lavey-Morcles</v>
      </c>
      <c r="C11" s="348">
        <f>VPI!R11</f>
        <v>22111.529381387842</v>
      </c>
      <c r="D11" s="206">
        <f>(PCS!I17-PCS!F17)/C11</f>
        <v>11.649011238089876</v>
      </c>
      <c r="E11" s="505">
        <f>'Péréquation directe'!E17/C11</f>
        <v>-5.7009439448060153</v>
      </c>
      <c r="F11" s="206">
        <f>'Péréquation directe'!F17/Effort!C11</f>
        <v>-23.301156863359534</v>
      </c>
      <c r="G11" s="206">
        <f>'Péréquation directe'!G17/Effort!C11</f>
        <v>0</v>
      </c>
      <c r="H11" s="206">
        <f>'Péréquation directe'!J17/Effort!C11</f>
        <v>19.207162141841813</v>
      </c>
      <c r="I11" s="371">
        <f t="shared" si="0"/>
        <v>1.8540725717661388</v>
      </c>
      <c r="J11" s="223">
        <f t="shared" si="1"/>
        <v>0</v>
      </c>
      <c r="K11" s="42">
        <f t="shared" si="2"/>
        <v>0</v>
      </c>
      <c r="L11" s="237"/>
    </row>
    <row r="12" spans="1:24" x14ac:dyDescent="0.25">
      <c r="A12" s="38">
        <f>Données!A12</f>
        <v>5407</v>
      </c>
      <c r="B12" s="168" t="str">
        <f>Données!B12</f>
        <v>Leysin</v>
      </c>
      <c r="C12" s="348">
        <f>VPI!R12</f>
        <v>89841.412521367529</v>
      </c>
      <c r="D12" s="206">
        <f>(PCS!I18-PCS!F18)/C12</f>
        <v>11.649011238089876</v>
      </c>
      <c r="E12" s="505">
        <f>'Péréquation directe'!E18/C12</f>
        <v>-13.798358119186776</v>
      </c>
      <c r="F12" s="206">
        <f>'Péréquation directe'!F18/Effort!C12</f>
        <v>-24.876652555290818</v>
      </c>
      <c r="G12" s="206">
        <f>'Péréquation directe'!G18/Effort!C12</f>
        <v>0</v>
      </c>
      <c r="H12" s="206">
        <f>'Péréquation directe'!J18/Effort!C12</f>
        <v>19.207162141841813</v>
      </c>
      <c r="I12" s="371">
        <f t="shared" si="0"/>
        <v>-7.8188372945459044</v>
      </c>
      <c r="J12" s="223">
        <f t="shared" si="1"/>
        <v>0</v>
      </c>
      <c r="K12" s="42">
        <f t="shared" si="2"/>
        <v>0</v>
      </c>
      <c r="L12" s="237"/>
    </row>
    <row r="13" spans="1:24" x14ac:dyDescent="0.25">
      <c r="A13" s="38">
        <f>Données!A13</f>
        <v>5408</v>
      </c>
      <c r="B13" s="168" t="str">
        <f>Données!B13</f>
        <v>Noville</v>
      </c>
      <c r="C13" s="348">
        <f>VPI!R13</f>
        <v>41973.380088888902</v>
      </c>
      <c r="D13" s="206">
        <f>(PCS!I19-PCS!F19)/C13</f>
        <v>11.649011238089878</v>
      </c>
      <c r="E13" s="505">
        <f>'Péréquation directe'!E19/C13</f>
        <v>-4.5285457072742412</v>
      </c>
      <c r="F13" s="206">
        <f>'Péréquation directe'!F19/Effort!C13</f>
        <v>-7.8494968817571262</v>
      </c>
      <c r="G13" s="206">
        <f>'Péréquation directe'!G19/Effort!C13</f>
        <v>0</v>
      </c>
      <c r="H13" s="206">
        <f>'Péréquation directe'!J19/Effort!C13</f>
        <v>19.207162141841813</v>
      </c>
      <c r="I13" s="371">
        <f t="shared" si="0"/>
        <v>18.478130790900323</v>
      </c>
      <c r="J13" s="223">
        <f t="shared" si="1"/>
        <v>0</v>
      </c>
      <c r="K13" s="42">
        <f t="shared" si="2"/>
        <v>0</v>
      </c>
      <c r="L13" s="237"/>
    </row>
    <row r="14" spans="1:24" x14ac:dyDescent="0.25">
      <c r="A14" s="38">
        <f>Données!A14</f>
        <v>5409</v>
      </c>
      <c r="B14" s="168" t="str">
        <f>Données!B14</f>
        <v>Ollon</v>
      </c>
      <c r="C14" s="348">
        <f>VPI!R14</f>
        <v>405938.29721719451</v>
      </c>
      <c r="D14" s="206">
        <f>(PCS!I20-PCS!F20)/C14</f>
        <v>12.312672793100463</v>
      </c>
      <c r="E14" s="505">
        <f>'Péréquation directe'!E20/C14</f>
        <v>-9.173167611355197</v>
      </c>
      <c r="F14" s="206">
        <f>'Péréquation directe'!F20/Effort!C14</f>
        <v>0</v>
      </c>
      <c r="G14" s="206">
        <f>'Péréquation directe'!G20/Effort!C14</f>
        <v>0</v>
      </c>
      <c r="H14" s="206">
        <f>'Péréquation directe'!J20/Effort!C14</f>
        <v>19.207162141841813</v>
      </c>
      <c r="I14" s="371">
        <f t="shared" si="0"/>
        <v>22.346667323587077</v>
      </c>
      <c r="J14" s="223">
        <f t="shared" si="1"/>
        <v>0</v>
      </c>
      <c r="K14" s="42">
        <f t="shared" si="2"/>
        <v>0</v>
      </c>
      <c r="L14" s="237"/>
    </row>
    <row r="15" spans="1:24" x14ac:dyDescent="0.25">
      <c r="A15" s="38">
        <f>Données!A15</f>
        <v>5410</v>
      </c>
      <c r="B15" s="168" t="str">
        <f>Données!B15</f>
        <v>Ormont-Dessous</v>
      </c>
      <c r="C15" s="348">
        <f>VPI!R15</f>
        <v>38418.577099567097</v>
      </c>
      <c r="D15" s="206">
        <f>(PCS!I21-PCS!F21)/C15</f>
        <v>11.649011238089876</v>
      </c>
      <c r="E15" s="505">
        <f>'Péréquation directe'!E21/C15</f>
        <v>-5.0321951844023554</v>
      </c>
      <c r="F15" s="206">
        <f>'Péréquation directe'!F21/Effort!C15</f>
        <v>-11.500800543441645</v>
      </c>
      <c r="G15" s="206">
        <f>'Péréquation directe'!G21/Effort!C15</f>
        <v>0</v>
      </c>
      <c r="H15" s="206">
        <f>'Péréquation directe'!J21/Effort!C15</f>
        <v>19.207162141841813</v>
      </c>
      <c r="I15" s="371">
        <f t="shared" si="0"/>
        <v>14.32317765208769</v>
      </c>
      <c r="J15" s="223">
        <f t="shared" si="1"/>
        <v>0</v>
      </c>
      <c r="K15" s="42">
        <f t="shared" si="2"/>
        <v>0</v>
      </c>
      <c r="L15" s="237"/>
    </row>
    <row r="16" spans="1:24" x14ac:dyDescent="0.25">
      <c r="A16" s="38">
        <f>Données!A16</f>
        <v>5411</v>
      </c>
      <c r="B16" s="168" t="str">
        <f>Données!B16</f>
        <v>Ormont-Dessus</v>
      </c>
      <c r="C16" s="348">
        <f>VPI!R16</f>
        <v>76161.465657894747</v>
      </c>
      <c r="D16" s="206">
        <f>(PCS!I22-PCS!F22)/C16</f>
        <v>13.072386252754285</v>
      </c>
      <c r="E16" s="505">
        <f>'Péréquation directe'!E22/C16</f>
        <v>-3.7100504149015352</v>
      </c>
      <c r="F16" s="206">
        <f>'Péréquation directe'!F22/Effort!C16</f>
        <v>0</v>
      </c>
      <c r="G16" s="206">
        <f>'Péréquation directe'!G22/Effort!C16</f>
        <v>0</v>
      </c>
      <c r="H16" s="206">
        <f>'Péréquation directe'!J22/Effort!C16</f>
        <v>19.207162141841813</v>
      </c>
      <c r="I16" s="371">
        <f t="shared" si="0"/>
        <v>28.569497979694564</v>
      </c>
      <c r="J16" s="223">
        <f t="shared" si="1"/>
        <v>0</v>
      </c>
      <c r="K16" s="42">
        <f t="shared" si="2"/>
        <v>0</v>
      </c>
      <c r="L16" s="237"/>
    </row>
    <row r="17" spans="1:12" x14ac:dyDescent="0.25">
      <c r="A17" s="38">
        <f>Données!A17</f>
        <v>5412</v>
      </c>
      <c r="B17" s="168" t="str">
        <f>Données!B17</f>
        <v>Rennaz</v>
      </c>
      <c r="C17" s="348">
        <f>VPI!R17</f>
        <v>32240.440579710143</v>
      </c>
      <c r="D17" s="206">
        <f>(PCS!I23-PCS!F23)/C17</f>
        <v>11.649011238089878</v>
      </c>
      <c r="E17" s="505">
        <f>'Péréquation directe'!E23/C17</f>
        <v>-3.7177975371383281</v>
      </c>
      <c r="F17" s="206">
        <f>'Péréquation directe'!F23/Effort!C17</f>
        <v>-7.5321817820253107</v>
      </c>
      <c r="G17" s="206">
        <f>'Péréquation directe'!G23/Effort!C17</f>
        <v>0</v>
      </c>
      <c r="H17" s="206">
        <f>'Péréquation directe'!J23/Effort!C17</f>
        <v>19.207162141841813</v>
      </c>
      <c r="I17" s="371">
        <f t="shared" si="0"/>
        <v>19.606194060768054</v>
      </c>
      <c r="J17" s="223">
        <f t="shared" si="1"/>
        <v>0</v>
      </c>
      <c r="K17" s="42">
        <f t="shared" si="2"/>
        <v>0</v>
      </c>
      <c r="L17" s="237"/>
    </row>
    <row r="18" spans="1:12" x14ac:dyDescent="0.25">
      <c r="A18" s="38">
        <f>Données!A18</f>
        <v>5413</v>
      </c>
      <c r="B18" s="168" t="str">
        <f>Données!B18</f>
        <v>Roche</v>
      </c>
      <c r="C18" s="348">
        <f>VPI!R18</f>
        <v>42596.643504901964</v>
      </c>
      <c r="D18" s="206">
        <f>(PCS!I24-PCS!F24)/C18</f>
        <v>11.649011238089876</v>
      </c>
      <c r="E18" s="505">
        <f>'Péréquation directe'!E24/C18</f>
        <v>-11.026678590951395</v>
      </c>
      <c r="F18" s="206">
        <f>'Péréquation directe'!F24/Effort!C18</f>
        <v>-22.354919216972501</v>
      </c>
      <c r="G18" s="206">
        <f>'Péréquation directe'!G24/Effort!C18</f>
        <v>0</v>
      </c>
      <c r="H18" s="206">
        <f>'Péréquation directe'!J24/Effort!C18</f>
        <v>19.207162141841813</v>
      </c>
      <c r="I18" s="371">
        <f t="shared" si="0"/>
        <v>-2.5254244279922062</v>
      </c>
      <c r="J18" s="223">
        <f t="shared" si="1"/>
        <v>0</v>
      </c>
      <c r="K18" s="42">
        <f t="shared" si="2"/>
        <v>0</v>
      </c>
      <c r="L18" s="237"/>
    </row>
    <row r="19" spans="1:12" x14ac:dyDescent="0.25">
      <c r="A19" s="38">
        <f>Données!A19</f>
        <v>5414</v>
      </c>
      <c r="B19" s="168" t="str">
        <f>Données!B19</f>
        <v>Villeneuve</v>
      </c>
      <c r="C19" s="348">
        <f>VPI!R19</f>
        <v>165881.46711111109</v>
      </c>
      <c r="D19" s="206">
        <f>(PCS!I25-PCS!F25)/C19</f>
        <v>11.649011238089878</v>
      </c>
      <c r="E19" s="505">
        <f>'Péréquation directe'!E25/C19</f>
        <v>-15.014830384198479</v>
      </c>
      <c r="F19" s="206">
        <f>'Péréquation directe'!F25/Effort!C19</f>
        <v>-13.590577004886981</v>
      </c>
      <c r="G19" s="206">
        <f>'Péréquation directe'!G25/Effort!C19</f>
        <v>0</v>
      </c>
      <c r="H19" s="206">
        <f>'Péréquation directe'!J25/Effort!C19</f>
        <v>19.207162141841813</v>
      </c>
      <c r="I19" s="371">
        <f t="shared" si="0"/>
        <v>2.250765990846233</v>
      </c>
      <c r="J19" s="223">
        <f t="shared" si="1"/>
        <v>0</v>
      </c>
      <c r="K19" s="42">
        <f t="shared" si="2"/>
        <v>0</v>
      </c>
      <c r="L19" s="237"/>
    </row>
    <row r="20" spans="1:12" x14ac:dyDescent="0.25">
      <c r="A20" s="38">
        <f>Données!A20</f>
        <v>5415</v>
      </c>
      <c r="B20" s="168" t="str">
        <f>Données!B20</f>
        <v>Yvorne</v>
      </c>
      <c r="C20" s="348">
        <f>VPI!R20</f>
        <v>33675.515990675995</v>
      </c>
      <c r="D20" s="206">
        <f>(PCS!I26-PCS!F26)/C20</f>
        <v>11.649011238089875</v>
      </c>
      <c r="E20" s="505">
        <f>'Péréquation directe'!E26/C20</f>
        <v>-4.7754485546566299</v>
      </c>
      <c r="F20" s="206">
        <f>'Péréquation directe'!F26/Effort!C20</f>
        <v>-11.545774517367679</v>
      </c>
      <c r="G20" s="206">
        <f>'Péréquation directe'!G26/Effort!C20</f>
        <v>0</v>
      </c>
      <c r="H20" s="206">
        <f>'Péréquation directe'!J26/Effort!C20</f>
        <v>19.207162141841813</v>
      </c>
      <c r="I20" s="371">
        <f t="shared" si="0"/>
        <v>14.53495030790738</v>
      </c>
      <c r="J20" s="223">
        <f t="shared" si="1"/>
        <v>0</v>
      </c>
      <c r="K20" s="42">
        <f t="shared" si="2"/>
        <v>0</v>
      </c>
      <c r="L20" s="237"/>
    </row>
    <row r="21" spans="1:12" x14ac:dyDescent="0.25">
      <c r="A21" s="38">
        <f>Données!A21</f>
        <v>5422</v>
      </c>
      <c r="B21" s="168" t="str">
        <f>Données!B21</f>
        <v>Aubonne</v>
      </c>
      <c r="C21" s="348">
        <f>VPI!R21</f>
        <v>297608.37742857152</v>
      </c>
      <c r="D21" s="206">
        <f>(PCS!I27-PCS!F27)/C21</f>
        <v>19.331629066114974</v>
      </c>
      <c r="E21" s="505">
        <f>'Péréquation directe'!E27/C21</f>
        <v>-4.2382544844329209</v>
      </c>
      <c r="F21" s="206">
        <f>'Péréquation directe'!F27/Effort!C21</f>
        <v>0</v>
      </c>
      <c r="G21" s="206">
        <f>'Péréquation directe'!G27/Effort!C21</f>
        <v>0</v>
      </c>
      <c r="H21" s="206">
        <f>'Péréquation directe'!J27/Effort!C21</f>
        <v>19.207162141841813</v>
      </c>
      <c r="I21" s="371">
        <f t="shared" si="0"/>
        <v>34.300536723523862</v>
      </c>
      <c r="J21" s="223">
        <f t="shared" si="1"/>
        <v>0</v>
      </c>
      <c r="K21" s="42">
        <f t="shared" si="2"/>
        <v>0</v>
      </c>
      <c r="L21" s="237"/>
    </row>
    <row r="22" spans="1:12" x14ac:dyDescent="0.25">
      <c r="A22" s="38">
        <f>Données!A22</f>
        <v>5423</v>
      </c>
      <c r="B22" s="168" t="str">
        <f>Données!B22</f>
        <v>Ballens</v>
      </c>
      <c r="C22" s="348">
        <f>VPI!R22</f>
        <v>17345.890547945211</v>
      </c>
      <c r="D22" s="206">
        <f>(PCS!I28-PCS!F28)/C22</f>
        <v>11.649011238089878</v>
      </c>
      <c r="E22" s="505">
        <f>'Péréquation directe'!E28/C22</f>
        <v>-4.3886040478823762</v>
      </c>
      <c r="F22" s="206">
        <f>'Péréquation directe'!F28/Effort!C22</f>
        <v>-13.79491628077526</v>
      </c>
      <c r="G22" s="206">
        <f>'Péréquation directe'!G28/Effort!C22</f>
        <v>0</v>
      </c>
      <c r="H22" s="206">
        <f>'Péréquation directe'!J28/Effort!C22</f>
        <v>19.207162141841813</v>
      </c>
      <c r="I22" s="371">
        <f t="shared" si="0"/>
        <v>12.672653051274056</v>
      </c>
      <c r="J22" s="223">
        <f t="shared" si="1"/>
        <v>0</v>
      </c>
      <c r="K22" s="42">
        <f t="shared" si="2"/>
        <v>0</v>
      </c>
      <c r="L22" s="237"/>
    </row>
    <row r="23" spans="1:12" x14ac:dyDescent="0.25">
      <c r="A23" s="38">
        <f>Données!A23</f>
        <v>5424</v>
      </c>
      <c r="B23" s="168" t="str">
        <f>Données!B23</f>
        <v>Berolle</v>
      </c>
      <c r="C23" s="348">
        <f>VPI!R23</f>
        <v>10263.254304635762</v>
      </c>
      <c r="D23" s="206">
        <f>(PCS!I29-PCS!F29)/C23</f>
        <v>11.649011238089876</v>
      </c>
      <c r="E23" s="505">
        <f>'Péréquation directe'!E29/C23</f>
        <v>-3.8342969020397137</v>
      </c>
      <c r="F23" s="206">
        <f>'Péréquation directe'!F29/Effort!C23</f>
        <v>-10.014621455374606</v>
      </c>
      <c r="G23" s="206">
        <f>'Péréquation directe'!G29/Effort!C23</f>
        <v>0</v>
      </c>
      <c r="H23" s="206">
        <f>'Péréquation directe'!J29/Effort!C23</f>
        <v>19.207162141841813</v>
      </c>
      <c r="I23" s="371">
        <f t="shared" si="0"/>
        <v>17.00725502251737</v>
      </c>
      <c r="J23" s="223">
        <f t="shared" si="1"/>
        <v>0</v>
      </c>
      <c r="K23" s="42">
        <f t="shared" si="2"/>
        <v>0</v>
      </c>
      <c r="L23" s="237"/>
    </row>
    <row r="24" spans="1:12" x14ac:dyDescent="0.25">
      <c r="A24" s="38">
        <f>Données!A24</f>
        <v>5425</v>
      </c>
      <c r="B24" s="168" t="str">
        <f>Données!B24</f>
        <v>Bière</v>
      </c>
      <c r="C24" s="348">
        <f>VPI!R24</f>
        <v>42247.955252373817</v>
      </c>
      <c r="D24" s="206">
        <f>(PCS!I30-PCS!F30)/C24</f>
        <v>11.649011238089875</v>
      </c>
      <c r="E24" s="505">
        <f>'Péréquation directe'!E30/C24</f>
        <v>-8.9371486806821583</v>
      </c>
      <c r="F24" s="206">
        <f>'Péréquation directe'!F30/Effort!C24</f>
        <v>-17.80062408346852</v>
      </c>
      <c r="G24" s="206">
        <f>'Péréquation directe'!G30/Effort!C24</f>
        <v>0</v>
      </c>
      <c r="H24" s="206">
        <f>'Péréquation directe'!J30/Effort!C24</f>
        <v>19.207162141841813</v>
      </c>
      <c r="I24" s="371">
        <f t="shared" si="0"/>
        <v>4.1184006157810096</v>
      </c>
      <c r="J24" s="223">
        <f t="shared" si="1"/>
        <v>0</v>
      </c>
      <c r="K24" s="42">
        <f t="shared" si="2"/>
        <v>0</v>
      </c>
      <c r="L24" s="237"/>
    </row>
    <row r="25" spans="1:12" x14ac:dyDescent="0.25">
      <c r="A25" s="38">
        <f>Données!A25</f>
        <v>5426</v>
      </c>
      <c r="B25" s="168" t="str">
        <f>Données!B25</f>
        <v>Bougy-Villars</v>
      </c>
      <c r="C25" s="348">
        <f>VPI!R25</f>
        <v>61985.534935400508</v>
      </c>
      <c r="D25" s="206">
        <f>(PCS!I31-PCS!F31)/C25</f>
        <v>26.810101415721579</v>
      </c>
      <c r="E25" s="505">
        <f>'Péréquation directe'!E31/C25</f>
        <v>-1.0532492358396566</v>
      </c>
      <c r="F25" s="206">
        <f>'Péréquation directe'!F31/Effort!C25</f>
        <v>0</v>
      </c>
      <c r="G25" s="206">
        <f>'Péréquation directe'!G31/Effort!C25</f>
        <v>0</v>
      </c>
      <c r="H25" s="206">
        <f>'Péréquation directe'!J31/Effort!C25</f>
        <v>19.207162141841813</v>
      </c>
      <c r="I25" s="371">
        <f t="shared" si="0"/>
        <v>44.964014321723738</v>
      </c>
      <c r="J25" s="223">
        <f t="shared" si="1"/>
        <v>0</v>
      </c>
      <c r="K25" s="42">
        <f t="shared" si="2"/>
        <v>0</v>
      </c>
      <c r="L25" s="237"/>
    </row>
    <row r="26" spans="1:12" x14ac:dyDescent="0.25">
      <c r="A26" s="38">
        <f>Données!A26</f>
        <v>5427</v>
      </c>
      <c r="B26" s="168" t="str">
        <f>Données!B26</f>
        <v>Féchy</v>
      </c>
      <c r="C26" s="348">
        <f>VPI!R26</f>
        <v>86972.782199519221</v>
      </c>
      <c r="D26" s="206">
        <f>(PCS!I32-PCS!F32)/C26</f>
        <v>22.464682323405331</v>
      </c>
      <c r="E26" s="505">
        <f>'Péréquation directe'!E32/C26</f>
        <v>-1.3158647292259047</v>
      </c>
      <c r="F26" s="206">
        <f>'Péréquation directe'!F32/Effort!C26</f>
        <v>0</v>
      </c>
      <c r="G26" s="206">
        <f>'Péréquation directe'!G32/Effort!C26</f>
        <v>0</v>
      </c>
      <c r="H26" s="206">
        <f>'Péréquation directe'!J32/Effort!C26</f>
        <v>19.207162141841813</v>
      </c>
      <c r="I26" s="371">
        <f t="shared" si="0"/>
        <v>40.35597973602124</v>
      </c>
      <c r="J26" s="223">
        <f t="shared" si="1"/>
        <v>0</v>
      </c>
      <c r="K26" s="42">
        <f t="shared" si="2"/>
        <v>0</v>
      </c>
      <c r="L26" s="237"/>
    </row>
    <row r="27" spans="1:12" x14ac:dyDescent="0.25">
      <c r="A27" s="38">
        <f>Données!A27</f>
        <v>5428</v>
      </c>
      <c r="B27" s="168" t="str">
        <f>Données!B27</f>
        <v>Gimel</v>
      </c>
      <c r="C27" s="348">
        <f>VPI!R27</f>
        <v>71357.587986577171</v>
      </c>
      <c r="D27" s="206">
        <f>(PCS!I33-PCS!F33)/C27</f>
        <v>11.649011238089875</v>
      </c>
      <c r="E27" s="505">
        <f>'Péréquation directe'!E33/C27</f>
        <v>-8.9669025718158188</v>
      </c>
      <c r="F27" s="206">
        <f>'Péréquation directe'!F33/Effort!C27</f>
        <v>-14.169715797330529</v>
      </c>
      <c r="G27" s="206">
        <f>'Péréquation directe'!G33/Effort!C27</f>
        <v>0</v>
      </c>
      <c r="H27" s="206">
        <f>'Péréquation directe'!J33/Effort!C27</f>
        <v>19.207162141841813</v>
      </c>
      <c r="I27" s="371">
        <f t="shared" si="0"/>
        <v>7.7195550107853403</v>
      </c>
      <c r="J27" s="223">
        <f t="shared" si="1"/>
        <v>0</v>
      </c>
      <c r="K27" s="42">
        <f t="shared" si="2"/>
        <v>0</v>
      </c>
      <c r="L27" s="237"/>
    </row>
    <row r="28" spans="1:12" x14ac:dyDescent="0.25">
      <c r="A28" s="38">
        <f>Données!A28</f>
        <v>5429</v>
      </c>
      <c r="B28" s="168" t="str">
        <f>Données!B28</f>
        <v>Longirod</v>
      </c>
      <c r="C28" s="348">
        <f>VPI!R28</f>
        <v>17142.381290322584</v>
      </c>
      <c r="D28" s="206">
        <f>(PCS!I34-PCS!F34)/C28</f>
        <v>11.649011238089876</v>
      </c>
      <c r="E28" s="505">
        <f>'Péréquation directe'!E34/C28</f>
        <v>-4.0794266172689193</v>
      </c>
      <c r="F28" s="206">
        <f>'Péréquation directe'!F34/Effort!C28</f>
        <v>-12.761527889215222</v>
      </c>
      <c r="G28" s="206">
        <f>'Péréquation directe'!G34/Effort!C28</f>
        <v>0</v>
      </c>
      <c r="H28" s="206">
        <f>'Péréquation directe'!J34/Effort!C28</f>
        <v>19.207162141841813</v>
      </c>
      <c r="I28" s="371">
        <f t="shared" si="0"/>
        <v>14.015218873447548</v>
      </c>
      <c r="J28" s="223">
        <f t="shared" si="1"/>
        <v>0</v>
      </c>
      <c r="K28" s="42">
        <f t="shared" si="2"/>
        <v>0</v>
      </c>
      <c r="L28" s="237"/>
    </row>
    <row r="29" spans="1:12" x14ac:dyDescent="0.25">
      <c r="A29" s="38">
        <f>Données!A29</f>
        <v>5430</v>
      </c>
      <c r="B29" s="168" t="str">
        <f>Données!B29</f>
        <v>Marchissy</v>
      </c>
      <c r="C29" s="348">
        <f>VPI!R29</f>
        <v>17121.715483870968</v>
      </c>
      <c r="D29" s="206">
        <f>(PCS!I35-PCS!F35)/C29</f>
        <v>11.649011238089876</v>
      </c>
      <c r="E29" s="505">
        <f>'Péréquation directe'!E35/C29</f>
        <v>-3.7753866801705809</v>
      </c>
      <c r="F29" s="206">
        <f>'Péréquation directe'!F35/Effort!C29</f>
        <v>-10.021279387299357</v>
      </c>
      <c r="G29" s="206">
        <f>'Péréquation directe'!G35/Effort!C29</f>
        <v>0</v>
      </c>
      <c r="H29" s="206">
        <f>'Péréquation directe'!J35/Effort!C29</f>
        <v>19.207162141841813</v>
      </c>
      <c r="I29" s="371">
        <f t="shared" si="0"/>
        <v>17.059507312461754</v>
      </c>
      <c r="J29" s="223">
        <f t="shared" si="1"/>
        <v>0</v>
      </c>
      <c r="K29" s="42">
        <f t="shared" si="2"/>
        <v>0</v>
      </c>
      <c r="L29" s="237"/>
    </row>
    <row r="30" spans="1:12" x14ac:dyDescent="0.25">
      <c r="A30" s="38">
        <f>Données!A30</f>
        <v>5431</v>
      </c>
      <c r="B30" s="168" t="str">
        <f>Données!B30</f>
        <v>Mollens</v>
      </c>
      <c r="C30" s="348">
        <f>VPI!R30</f>
        <v>9475.049594594595</v>
      </c>
      <c r="D30" s="206">
        <f>(PCS!I36-PCS!F36)/C30</f>
        <v>11.649011238089875</v>
      </c>
      <c r="E30" s="505">
        <f>'Péréquation directe'!E36/C30</f>
        <v>-4.4119898814539544</v>
      </c>
      <c r="F30" s="206">
        <f>'Péréquation directe'!F36/Effort!C30</f>
        <v>-14.367611919578573</v>
      </c>
      <c r="G30" s="206">
        <f>'Péréquation directe'!G36/Effort!C30</f>
        <v>0</v>
      </c>
      <c r="H30" s="206">
        <f>'Péréquation directe'!J36/Effort!C30</f>
        <v>19.207162141841813</v>
      </c>
      <c r="I30" s="371">
        <f t="shared" si="0"/>
        <v>12.076571578899159</v>
      </c>
      <c r="J30" s="223">
        <f t="shared" si="1"/>
        <v>0</v>
      </c>
      <c r="K30" s="42">
        <f t="shared" si="2"/>
        <v>0</v>
      </c>
      <c r="L30" s="237"/>
    </row>
    <row r="31" spans="1:12" x14ac:dyDescent="0.25">
      <c r="A31" s="38">
        <f>Données!A31</f>
        <v>5434</v>
      </c>
      <c r="B31" s="168" t="str">
        <f>Données!B31</f>
        <v>Saint-George</v>
      </c>
      <c r="C31" s="348">
        <f>VPI!R31</f>
        <v>41109.419880095913</v>
      </c>
      <c r="D31" s="206">
        <f>(PCS!I37-PCS!F37)/C31</f>
        <v>11.649011238089876</v>
      </c>
      <c r="E31" s="505">
        <f>'Péréquation directe'!E37/C31</f>
        <v>-3.7449229424053954</v>
      </c>
      <c r="F31" s="206">
        <f>'Péréquation directe'!F37/Effort!C31</f>
        <v>-5.0129683278181432</v>
      </c>
      <c r="G31" s="206">
        <f>'Péréquation directe'!G37/Effort!C31</f>
        <v>0</v>
      </c>
      <c r="H31" s="206">
        <f>'Péréquation directe'!J37/Effort!C31</f>
        <v>19.207162141841813</v>
      </c>
      <c r="I31" s="371">
        <f t="shared" si="0"/>
        <v>22.098282109708151</v>
      </c>
      <c r="J31" s="223">
        <f t="shared" si="1"/>
        <v>0</v>
      </c>
      <c r="K31" s="42">
        <f t="shared" si="2"/>
        <v>0</v>
      </c>
      <c r="L31" s="237"/>
    </row>
    <row r="32" spans="1:12" x14ac:dyDescent="0.25">
      <c r="A32" s="38">
        <f>Données!A32</f>
        <v>5435</v>
      </c>
      <c r="B32" s="168" t="str">
        <f>Données!B32</f>
        <v>Saint-Livres</v>
      </c>
      <c r="C32" s="348">
        <f>VPI!R32</f>
        <v>25462.29188405797</v>
      </c>
      <c r="D32" s="206">
        <f>(PCS!I38-PCS!F38)/C32</f>
        <v>11.649011238089875</v>
      </c>
      <c r="E32" s="505">
        <f>'Péréquation directe'!E38/C32</f>
        <v>-3.5369499936923754</v>
      </c>
      <c r="F32" s="206">
        <f>'Péréquation directe'!F38/Effort!C32</f>
        <v>-6.240169312035504</v>
      </c>
      <c r="G32" s="206">
        <f>'Péréquation directe'!G38/Effort!C32</f>
        <v>0</v>
      </c>
      <c r="H32" s="206">
        <f>'Péréquation directe'!J38/Effort!C32</f>
        <v>19.207162141841813</v>
      </c>
      <c r="I32" s="371">
        <f t="shared" si="0"/>
        <v>21.079054074203807</v>
      </c>
      <c r="J32" s="223">
        <f t="shared" si="1"/>
        <v>0</v>
      </c>
      <c r="K32" s="42">
        <f t="shared" si="2"/>
        <v>0</v>
      </c>
      <c r="L32" s="237"/>
    </row>
    <row r="33" spans="1:12" x14ac:dyDescent="0.25">
      <c r="A33" s="38">
        <f>Données!A33</f>
        <v>5436</v>
      </c>
      <c r="B33" s="168" t="str">
        <f>Données!B33</f>
        <v>Saint-Oyens</v>
      </c>
      <c r="C33" s="348">
        <f>VPI!R33</f>
        <v>16425.371772151899</v>
      </c>
      <c r="D33" s="206">
        <f>(PCS!I39-PCS!F39)/C33</f>
        <v>11.649011238089876</v>
      </c>
      <c r="E33" s="505">
        <f>'Péréquation directe'!E39/C33</f>
        <v>-3.5819591103632078</v>
      </c>
      <c r="F33" s="206">
        <f>'Péréquation directe'!F39/Effort!C33</f>
        <v>-8.601495119167538</v>
      </c>
      <c r="G33" s="206">
        <f>'Péréquation directe'!G39/Effort!C33</f>
        <v>0</v>
      </c>
      <c r="H33" s="206">
        <f>'Péréquation directe'!J39/Effort!C33</f>
        <v>19.207162141841813</v>
      </c>
      <c r="I33" s="371">
        <f t="shared" si="0"/>
        <v>18.672719150400944</v>
      </c>
      <c r="J33" s="223">
        <f t="shared" si="1"/>
        <v>0</v>
      </c>
      <c r="K33" s="42">
        <f t="shared" si="2"/>
        <v>0</v>
      </c>
      <c r="L33" s="237"/>
    </row>
    <row r="34" spans="1:12" x14ac:dyDescent="0.25">
      <c r="A34" s="38">
        <f>Données!A34</f>
        <v>5437</v>
      </c>
      <c r="B34" s="168" t="str">
        <f>Données!B34</f>
        <v>Saubraz</v>
      </c>
      <c r="C34" s="348">
        <f>VPI!R34</f>
        <v>12127.91725</v>
      </c>
      <c r="D34" s="206">
        <f>(PCS!I40-PCS!F40)/C34</f>
        <v>11.649011238089876</v>
      </c>
      <c r="E34" s="505">
        <f>'Péréquation directe'!E40/C34</f>
        <v>-4.7767345251533317</v>
      </c>
      <c r="F34" s="206">
        <f>'Péréquation directe'!F40/Effort!C34</f>
        <v>-20.294825998242192</v>
      </c>
      <c r="G34" s="206">
        <f>'Péréquation directe'!G40/Effort!C34</f>
        <v>0</v>
      </c>
      <c r="H34" s="206">
        <f>'Péréquation directe'!J40/Effort!C34</f>
        <v>19.207162141841813</v>
      </c>
      <c r="I34" s="371">
        <f t="shared" si="0"/>
        <v>5.7846128565361656</v>
      </c>
      <c r="J34" s="223">
        <f t="shared" si="1"/>
        <v>0</v>
      </c>
      <c r="K34" s="42">
        <f t="shared" si="2"/>
        <v>0</v>
      </c>
      <c r="L34" s="237"/>
    </row>
    <row r="35" spans="1:12" x14ac:dyDescent="0.25">
      <c r="A35" s="38">
        <f>Données!A35</f>
        <v>5451</v>
      </c>
      <c r="B35" s="168" t="str">
        <f>Données!B35</f>
        <v>Avenches</v>
      </c>
      <c r="C35" s="348">
        <f>VPI!R35</f>
        <v>142633.11649122802</v>
      </c>
      <c r="D35" s="206">
        <f>(PCS!I41-PCS!F41)/C35</f>
        <v>11.649011238089875</v>
      </c>
      <c r="E35" s="505">
        <f>'Péréquation directe'!E41/C35</f>
        <v>-12.11785514603339</v>
      </c>
      <c r="F35" s="206">
        <f>'Péréquation directe'!F41/Effort!C35</f>
        <v>-10.532256416355386</v>
      </c>
      <c r="G35" s="206">
        <f>'Péréquation directe'!G41/Effort!C35</f>
        <v>0</v>
      </c>
      <c r="H35" s="206">
        <f>'Péréquation directe'!J41/Effort!C35</f>
        <v>19.207162141841813</v>
      </c>
      <c r="I35" s="371">
        <f t="shared" si="0"/>
        <v>8.2060618175429116</v>
      </c>
      <c r="J35" s="223">
        <f t="shared" si="1"/>
        <v>0</v>
      </c>
      <c r="K35" s="42">
        <f t="shared" si="2"/>
        <v>0</v>
      </c>
      <c r="L35" s="237"/>
    </row>
    <row r="36" spans="1:12" x14ac:dyDescent="0.25">
      <c r="A36" s="38">
        <f>Données!A36</f>
        <v>5456</v>
      </c>
      <c r="B36" s="168" t="str">
        <f>Données!B36</f>
        <v>Cudrefin</v>
      </c>
      <c r="C36" s="348">
        <f>VPI!R36</f>
        <v>64060.385932203382</v>
      </c>
      <c r="D36" s="206">
        <f>(PCS!I42-PCS!F42)/C36</f>
        <v>11.649011238089875</v>
      </c>
      <c r="E36" s="505">
        <f>'Péréquation directe'!E42/C36</f>
        <v>-6.9542910321505689</v>
      </c>
      <c r="F36" s="206">
        <f>'Péréquation directe'!F42/Effort!C36</f>
        <v>-5.8239904398477176</v>
      </c>
      <c r="G36" s="206">
        <f>'Péréquation directe'!G42/Effort!C36</f>
        <v>0</v>
      </c>
      <c r="H36" s="206">
        <f>'Péréquation directe'!J42/Effort!C36</f>
        <v>19.207162141841813</v>
      </c>
      <c r="I36" s="371">
        <f t="shared" si="0"/>
        <v>18.077891907933402</v>
      </c>
      <c r="J36" s="223">
        <f t="shared" si="1"/>
        <v>0</v>
      </c>
      <c r="K36" s="42">
        <f t="shared" si="2"/>
        <v>0</v>
      </c>
      <c r="L36" s="237"/>
    </row>
    <row r="37" spans="1:12" x14ac:dyDescent="0.25">
      <c r="A37" s="38">
        <f>Données!A37</f>
        <v>5458</v>
      </c>
      <c r="B37" s="168" t="str">
        <f>Données!B37</f>
        <v>Faoug</v>
      </c>
      <c r="C37" s="348">
        <f>VPI!R37</f>
        <v>32630.920512820507</v>
      </c>
      <c r="D37" s="206">
        <f>(PCS!I43-PCS!F43)/C37</f>
        <v>11.649011238089876</v>
      </c>
      <c r="E37" s="505">
        <f>'Péréquation directe'!E43/C37</f>
        <v>-3.5744571445952387</v>
      </c>
      <c r="F37" s="206">
        <f>'Péréquation directe'!F43/Effort!C37</f>
        <v>-5.7754340781573994</v>
      </c>
      <c r="G37" s="206">
        <f>'Péréquation directe'!G43/Effort!C37</f>
        <v>0</v>
      </c>
      <c r="H37" s="206">
        <f>'Péréquation directe'!J43/Effort!C37</f>
        <v>19.207162141841813</v>
      </c>
      <c r="I37" s="371">
        <f t="shared" si="0"/>
        <v>21.506282157179051</v>
      </c>
      <c r="J37" s="223">
        <f t="shared" si="1"/>
        <v>0</v>
      </c>
      <c r="K37" s="42">
        <f t="shared" si="2"/>
        <v>0</v>
      </c>
      <c r="L37" s="237"/>
    </row>
    <row r="38" spans="1:12" x14ac:dyDescent="0.25">
      <c r="A38" s="38">
        <f>Données!A38</f>
        <v>5464</v>
      </c>
      <c r="B38" s="168" t="str">
        <f>Données!B38</f>
        <v>Vully-les-Lacs</v>
      </c>
      <c r="C38" s="348">
        <f>VPI!R38</f>
        <v>117933.44731343284</v>
      </c>
      <c r="D38" s="206">
        <f>(PCS!I44-PCS!F44)/C38</f>
        <v>11.649011238089876</v>
      </c>
      <c r="E38" s="505">
        <f>'Péréquation directe'!E44/C38</f>
        <v>-9.5969364465770344</v>
      </c>
      <c r="F38" s="206">
        <f>'Péréquation directe'!F44/Effort!C38</f>
        <v>-8.1688073617813366</v>
      </c>
      <c r="G38" s="206">
        <f>'Péréquation directe'!G44/Effort!C38</f>
        <v>0</v>
      </c>
      <c r="H38" s="206">
        <f>'Péréquation directe'!J44/Effort!C38</f>
        <v>19.20716214184181</v>
      </c>
      <c r="I38" s="371">
        <f t="shared" si="0"/>
        <v>13.090429571573315</v>
      </c>
      <c r="J38" s="223">
        <f t="shared" si="1"/>
        <v>0</v>
      </c>
      <c r="K38" s="42">
        <f t="shared" si="2"/>
        <v>0</v>
      </c>
      <c r="L38" s="237"/>
    </row>
    <row r="39" spans="1:12" x14ac:dyDescent="0.25">
      <c r="A39" s="38">
        <f>Données!A39</f>
        <v>5471</v>
      </c>
      <c r="B39" s="168" t="str">
        <f>Données!B39</f>
        <v>Bettens</v>
      </c>
      <c r="C39" s="348">
        <f>VPI!R39</f>
        <v>22692.287412698413</v>
      </c>
      <c r="D39" s="206">
        <f>(PCS!I45-PCS!F45)/C39</f>
        <v>11.649011238089876</v>
      </c>
      <c r="E39" s="505">
        <f>'Péréquation directe'!E45/C39</f>
        <v>-3.6957796558693059</v>
      </c>
      <c r="F39" s="206">
        <f>'Péréquation directe'!F45/Effort!C39</f>
        <v>-7.5901951574808306</v>
      </c>
      <c r="G39" s="206">
        <f>'Péréquation directe'!G45/Effort!C39</f>
        <v>0</v>
      </c>
      <c r="H39" s="206">
        <f>'Péréquation directe'!J45/Effort!C39</f>
        <v>19.207162141841813</v>
      </c>
      <c r="I39" s="371">
        <f t="shared" si="0"/>
        <v>19.570198566581553</v>
      </c>
      <c r="J39" s="223">
        <f t="shared" si="1"/>
        <v>0</v>
      </c>
      <c r="K39" s="42">
        <f t="shared" si="2"/>
        <v>0</v>
      </c>
      <c r="L39" s="237"/>
    </row>
    <row r="40" spans="1:12" x14ac:dyDescent="0.25">
      <c r="A40" s="38">
        <f>Données!A40</f>
        <v>5472</v>
      </c>
      <c r="B40" s="168" t="str">
        <f>Données!B40</f>
        <v>Bournens</v>
      </c>
      <c r="C40" s="348">
        <f>VPI!R40</f>
        <v>19974.836617647059</v>
      </c>
      <c r="D40" s="206">
        <f>(PCS!I46-PCS!F46)/C40</f>
        <v>11.649011238089875</v>
      </c>
      <c r="E40" s="505">
        <f>'Péréquation directe'!E46/C40</f>
        <v>-3.320097767617618</v>
      </c>
      <c r="F40" s="206">
        <f>'Péréquation directe'!F46/Effort!C40</f>
        <v>-4.5559481420413643</v>
      </c>
      <c r="G40" s="206">
        <f>'Péréquation directe'!G46/Effort!C40</f>
        <v>0</v>
      </c>
      <c r="H40" s="206">
        <f>'Péréquation directe'!J46/Effort!C40</f>
        <v>19.207162141841813</v>
      </c>
      <c r="I40" s="371">
        <f t="shared" si="0"/>
        <v>22.980127470272706</v>
      </c>
      <c r="J40" s="223">
        <f t="shared" si="1"/>
        <v>0</v>
      </c>
      <c r="K40" s="42">
        <f t="shared" si="2"/>
        <v>0</v>
      </c>
      <c r="L40" s="237"/>
    </row>
    <row r="41" spans="1:12" x14ac:dyDescent="0.25">
      <c r="A41" s="38">
        <f>Données!A41</f>
        <v>5473</v>
      </c>
      <c r="B41" s="168" t="str">
        <f>Données!B41</f>
        <v>Boussens</v>
      </c>
      <c r="C41" s="348">
        <f>VPI!R41</f>
        <v>42017.076666666668</v>
      </c>
      <c r="D41" s="206">
        <f>(PCS!I47-PCS!F47)/C41</f>
        <v>11.649011238089876</v>
      </c>
      <c r="E41" s="505">
        <f>'Péréquation directe'!E47/C41</f>
        <v>-3.1567360570512473</v>
      </c>
      <c r="F41" s="206">
        <f>'Péréquation directe'!F47/Effort!C41</f>
        <v>-2.86278757628985</v>
      </c>
      <c r="G41" s="206">
        <f>'Péréquation directe'!G47/Effort!C41</f>
        <v>0</v>
      </c>
      <c r="H41" s="206">
        <f>'Péréquation directe'!J47/Effort!C41</f>
        <v>19.207162141841813</v>
      </c>
      <c r="I41" s="371">
        <f t="shared" si="0"/>
        <v>24.836649746590592</v>
      </c>
      <c r="J41" s="223">
        <f t="shared" si="1"/>
        <v>0</v>
      </c>
      <c r="K41" s="42">
        <f t="shared" si="2"/>
        <v>0</v>
      </c>
      <c r="L41" s="237"/>
    </row>
    <row r="42" spans="1:12" x14ac:dyDescent="0.25">
      <c r="A42" s="38">
        <f>Données!A42</f>
        <v>5474</v>
      </c>
      <c r="B42" s="168" t="str">
        <f>Données!B42</f>
        <v>La Chaux (Cossonay)</v>
      </c>
      <c r="C42" s="348">
        <f>VPI!R42</f>
        <v>13862.516425438596</v>
      </c>
      <c r="D42" s="206">
        <f>(PCS!I48-PCS!F48)/C42</f>
        <v>11.649011238089876</v>
      </c>
      <c r="E42" s="505">
        <f>'Péréquation directe'!E48/C42</f>
        <v>-3.8346535401443052</v>
      </c>
      <c r="F42" s="206">
        <f>'Péréquation directe'!F48/Effort!C42</f>
        <v>-10.150795750896576</v>
      </c>
      <c r="G42" s="206">
        <f>'Péréquation directe'!G48/Effort!C42</f>
        <v>0</v>
      </c>
      <c r="H42" s="206">
        <f>'Péréquation directe'!J48/Effort!C42</f>
        <v>19.20716214184181</v>
      </c>
      <c r="I42" s="371">
        <f t="shared" si="0"/>
        <v>16.870724088890803</v>
      </c>
      <c r="J42" s="223">
        <f t="shared" si="1"/>
        <v>0</v>
      </c>
      <c r="K42" s="42">
        <f t="shared" si="2"/>
        <v>0</v>
      </c>
      <c r="L42" s="237"/>
    </row>
    <row r="43" spans="1:12" x14ac:dyDescent="0.25">
      <c r="A43" s="38">
        <f>Données!A43</f>
        <v>5475</v>
      </c>
      <c r="B43" s="168" t="str">
        <f>Données!B43</f>
        <v>Chavannes-le-Veyron</v>
      </c>
      <c r="C43" s="348">
        <f>VPI!R43</f>
        <v>4297.2048000000004</v>
      </c>
      <c r="D43" s="206">
        <f>(PCS!I49-PCS!F49)/C43</f>
        <v>11.649011238089876</v>
      </c>
      <c r="E43" s="505">
        <f>'Péréquation directe'!E49/C43</f>
        <v>-4.8940966494503781</v>
      </c>
      <c r="F43" s="206">
        <f>'Péréquation directe'!F49/Effort!C43</f>
        <v>-18.827867831062406</v>
      </c>
      <c r="G43" s="206">
        <f>'Péréquation directe'!G49/Effort!C43</f>
        <v>0</v>
      </c>
      <c r="H43" s="206">
        <f>'Péréquation directe'!J49/Effort!C43</f>
        <v>19.207162141841813</v>
      </c>
      <c r="I43" s="371">
        <f t="shared" si="0"/>
        <v>7.1342088994189048</v>
      </c>
      <c r="J43" s="223">
        <f t="shared" si="1"/>
        <v>0</v>
      </c>
      <c r="K43" s="42">
        <f t="shared" si="2"/>
        <v>0</v>
      </c>
      <c r="L43" s="237"/>
    </row>
    <row r="44" spans="1:12" x14ac:dyDescent="0.25">
      <c r="A44" s="38">
        <f>Données!A44</f>
        <v>5476</v>
      </c>
      <c r="B44" s="168" t="str">
        <f>Données!B44</f>
        <v>Chevilly</v>
      </c>
      <c r="C44" s="348">
        <f>VPI!R44</f>
        <v>13558.452965517243</v>
      </c>
      <c r="D44" s="206">
        <f>(PCS!I50-PCS!F50)/C44</f>
        <v>11.649011238089876</v>
      </c>
      <c r="E44" s="505">
        <f>'Péréquation directe'!E50/C44</f>
        <v>-3.149842541794813</v>
      </c>
      <c r="F44" s="206">
        <f>'Péréquation directe'!F50/Effort!C44</f>
        <v>-3.8360281969809193</v>
      </c>
      <c r="G44" s="206">
        <f>'Péréquation directe'!G50/Effort!C44</f>
        <v>0</v>
      </c>
      <c r="H44" s="206">
        <f>'Péréquation directe'!J50/Effort!C44</f>
        <v>19.207162141841813</v>
      </c>
      <c r="I44" s="371">
        <f t="shared" si="0"/>
        <v>23.870302641155959</v>
      </c>
      <c r="J44" s="223">
        <f t="shared" si="1"/>
        <v>0</v>
      </c>
      <c r="K44" s="42">
        <f t="shared" si="2"/>
        <v>0</v>
      </c>
      <c r="L44" s="237"/>
    </row>
    <row r="45" spans="1:12" x14ac:dyDescent="0.25">
      <c r="A45" s="38">
        <f>Données!A45</f>
        <v>5477</v>
      </c>
      <c r="B45" s="168" t="str">
        <f>Données!B45</f>
        <v>Cossonay</v>
      </c>
      <c r="C45" s="348">
        <f>VPI!R45</f>
        <v>151490.5288235294</v>
      </c>
      <c r="D45" s="206">
        <f>(PCS!I51-PCS!F51)/C45</f>
        <v>11.649011238089875</v>
      </c>
      <c r="E45" s="505">
        <f>'Péréquation directe'!E51/C45</f>
        <v>-10.356644826537643</v>
      </c>
      <c r="F45" s="206">
        <f>'Péréquation directe'!F51/Effort!C45</f>
        <v>-7.4622309796844331</v>
      </c>
      <c r="G45" s="206">
        <f>'Péréquation directe'!G51/Effort!C45</f>
        <v>0</v>
      </c>
      <c r="H45" s="206">
        <f>'Péréquation directe'!J51/Effort!C45</f>
        <v>19.207162141841813</v>
      </c>
      <c r="I45" s="371">
        <f t="shared" si="0"/>
        <v>13.037297573709612</v>
      </c>
      <c r="J45" s="223">
        <f t="shared" si="1"/>
        <v>0</v>
      </c>
      <c r="K45" s="42">
        <f t="shared" si="2"/>
        <v>0</v>
      </c>
      <c r="L45" s="237"/>
    </row>
    <row r="46" spans="1:12" x14ac:dyDescent="0.25">
      <c r="A46" s="38">
        <f>Données!A46</f>
        <v>5479</v>
      </c>
      <c r="B46" s="168" t="str">
        <f>Données!B46</f>
        <v>Cuarnens</v>
      </c>
      <c r="C46" s="348">
        <f>VPI!R46</f>
        <v>14331.337792207793</v>
      </c>
      <c r="D46" s="206">
        <f>(PCS!I52-PCS!F52)/C46</f>
        <v>11.649011238089876</v>
      </c>
      <c r="E46" s="505">
        <f>'Péréquation directe'!E52/C46</f>
        <v>-4.9066011821977691</v>
      </c>
      <c r="F46" s="206">
        <f>'Péréquation directe'!F52/Effort!C46</f>
        <v>-19.95666071993244</v>
      </c>
      <c r="G46" s="206">
        <f>'Péréquation directe'!G52/Effort!C46</f>
        <v>0</v>
      </c>
      <c r="H46" s="206">
        <f>'Péréquation directe'!J52/Effort!C46</f>
        <v>19.207162141841813</v>
      </c>
      <c r="I46" s="371">
        <f t="shared" si="0"/>
        <v>5.9929114778014814</v>
      </c>
      <c r="J46" s="223">
        <f t="shared" si="1"/>
        <v>0</v>
      </c>
      <c r="K46" s="42">
        <f t="shared" si="2"/>
        <v>0</v>
      </c>
      <c r="L46" s="237"/>
    </row>
    <row r="47" spans="1:12" x14ac:dyDescent="0.25">
      <c r="A47" s="38">
        <f>Données!A47</f>
        <v>5480</v>
      </c>
      <c r="B47" s="168" t="str">
        <f>Données!B47</f>
        <v>Daillens</v>
      </c>
      <c r="C47" s="348">
        <f>VPI!R47</f>
        <v>42720.265505050505</v>
      </c>
      <c r="D47" s="206">
        <f>(PCS!I53-PCS!F53)/C47</f>
        <v>11.649011238089876</v>
      </c>
      <c r="E47" s="505">
        <f>'Péréquation directe'!E53/C47</f>
        <v>-3.5022347502183466</v>
      </c>
      <c r="F47" s="206">
        <f>'Péréquation directe'!F53/Effort!C47</f>
        <v>-3.4569455742787505</v>
      </c>
      <c r="G47" s="206">
        <f>'Péréquation directe'!G53/Effort!C47</f>
        <v>0</v>
      </c>
      <c r="H47" s="206">
        <f>'Péréquation directe'!J53/Effort!C47</f>
        <v>19.207162141841813</v>
      </c>
      <c r="I47" s="371">
        <f t="shared" si="0"/>
        <v>23.896993055434592</v>
      </c>
      <c r="J47" s="223">
        <f t="shared" si="1"/>
        <v>0</v>
      </c>
      <c r="K47" s="42">
        <f t="shared" si="2"/>
        <v>0</v>
      </c>
      <c r="L47" s="237"/>
    </row>
    <row r="48" spans="1:12" x14ac:dyDescent="0.25">
      <c r="A48" s="38">
        <f>Données!A48</f>
        <v>5481</v>
      </c>
      <c r="B48" s="168" t="str">
        <f>Données!B48</f>
        <v>Dizy</v>
      </c>
      <c r="C48" s="348">
        <f>VPI!R48</f>
        <v>8552.7156000000014</v>
      </c>
      <c r="D48" s="206">
        <f>(PCS!I54-PCS!F54)/C48</f>
        <v>11.649011238089876</v>
      </c>
      <c r="E48" s="505">
        <f>'Péréquation directe'!E54/C48</f>
        <v>-3.4998944206279856</v>
      </c>
      <c r="F48" s="206">
        <f>'Péréquation directe'!F54/Effort!C48</f>
        <v>-7.0598258386382895</v>
      </c>
      <c r="G48" s="206">
        <f>'Péréquation directe'!G54/Effort!C48</f>
        <v>0</v>
      </c>
      <c r="H48" s="206">
        <f>'Péréquation directe'!J54/Effort!C48</f>
        <v>19.207162141841813</v>
      </c>
      <c r="I48" s="371">
        <f t="shared" si="0"/>
        <v>20.296453120665415</v>
      </c>
      <c r="J48" s="223">
        <f t="shared" si="1"/>
        <v>0</v>
      </c>
      <c r="K48" s="42">
        <f t="shared" si="2"/>
        <v>0</v>
      </c>
      <c r="L48" s="237"/>
    </row>
    <row r="49" spans="1:12" x14ac:dyDescent="0.25">
      <c r="A49" s="38">
        <f>Données!A49</f>
        <v>5482</v>
      </c>
      <c r="B49" s="168" t="str">
        <f>Données!B49</f>
        <v>Eclépens</v>
      </c>
      <c r="C49" s="348">
        <f>VPI!R49</f>
        <v>48314.544130434791</v>
      </c>
      <c r="D49" s="206">
        <f>(PCS!I55-PCS!F55)/C49</f>
        <v>11.649011238089876</v>
      </c>
      <c r="E49" s="505">
        <f>'Péréquation directe'!E55/C49</f>
        <v>-4.1585075882725491</v>
      </c>
      <c r="F49" s="206">
        <f>'Péréquation directe'!F55/Effort!C49</f>
        <v>-1.7096625130486962</v>
      </c>
      <c r="G49" s="206">
        <f>'Péréquation directe'!G55/Effort!C49</f>
        <v>0</v>
      </c>
      <c r="H49" s="206">
        <f>'Péréquation directe'!J55/Effort!C49</f>
        <v>19.207162141841813</v>
      </c>
      <c r="I49" s="371">
        <f t="shared" si="0"/>
        <v>24.988003278610442</v>
      </c>
      <c r="J49" s="223">
        <f t="shared" si="1"/>
        <v>0</v>
      </c>
      <c r="K49" s="42">
        <f t="shared" si="2"/>
        <v>0</v>
      </c>
      <c r="L49" s="237"/>
    </row>
    <row r="50" spans="1:12" x14ac:dyDescent="0.25">
      <c r="A50" s="38">
        <f>Données!A50</f>
        <v>5483</v>
      </c>
      <c r="B50" s="168" t="str">
        <f>Données!B50</f>
        <v>Ferreyres</v>
      </c>
      <c r="C50" s="348">
        <f>VPI!R50</f>
        <v>10284.283289473684</v>
      </c>
      <c r="D50" s="206">
        <f>(PCS!I56-PCS!F56)/C50</f>
        <v>11.649011238089876</v>
      </c>
      <c r="E50" s="505">
        <f>'Péréquation directe'!E56/C50</f>
        <v>-3.8640939286836815</v>
      </c>
      <c r="F50" s="206">
        <f>'Péréquation directe'!F56/Effort!C50</f>
        <v>-10.405963998952052</v>
      </c>
      <c r="G50" s="206">
        <f>'Péréquation directe'!G56/Effort!C50</f>
        <v>0</v>
      </c>
      <c r="H50" s="206">
        <f>'Péréquation directe'!J56/Effort!C50</f>
        <v>19.207162141841813</v>
      </c>
      <c r="I50" s="371">
        <f t="shared" si="0"/>
        <v>16.586115452295957</v>
      </c>
      <c r="J50" s="223">
        <f t="shared" si="1"/>
        <v>0</v>
      </c>
      <c r="K50" s="42">
        <f t="shared" si="2"/>
        <v>0</v>
      </c>
      <c r="L50" s="237"/>
    </row>
    <row r="51" spans="1:12" x14ac:dyDescent="0.25">
      <c r="A51" s="38">
        <f>Données!A51</f>
        <v>5484</v>
      </c>
      <c r="B51" s="168" t="str">
        <f>Données!B51</f>
        <v>Gollion</v>
      </c>
      <c r="C51" s="348">
        <f>VPI!R51</f>
        <v>32601.670945945945</v>
      </c>
      <c r="D51" s="206">
        <f>(PCS!I57-PCS!F57)/C51</f>
        <v>11.649011238089876</v>
      </c>
      <c r="E51" s="505">
        <f>'Péréquation directe'!E57/C51</f>
        <v>-4.3675996397163948</v>
      </c>
      <c r="F51" s="206">
        <f>'Péréquation directe'!F57/Effort!C51</f>
        <v>-11.837020499718047</v>
      </c>
      <c r="G51" s="206">
        <f>'Péréquation directe'!G57/Effort!C51</f>
        <v>0</v>
      </c>
      <c r="H51" s="206">
        <f>'Péréquation directe'!J57/Effort!C51</f>
        <v>19.207162141841813</v>
      </c>
      <c r="I51" s="371">
        <f t="shared" si="0"/>
        <v>14.651553240497247</v>
      </c>
      <c r="J51" s="416">
        <f t="shared" si="1"/>
        <v>0</v>
      </c>
      <c r="K51" s="42">
        <f t="shared" si="2"/>
        <v>0</v>
      </c>
      <c r="L51" s="237"/>
    </row>
    <row r="52" spans="1:12" x14ac:dyDescent="0.25">
      <c r="A52" s="38">
        <f>Données!A52</f>
        <v>5485</v>
      </c>
      <c r="B52" s="168" t="str">
        <f>Données!B52</f>
        <v>Grancy</v>
      </c>
      <c r="C52" s="348">
        <f>VPI!R52</f>
        <v>18961.380428571429</v>
      </c>
      <c r="D52" s="206">
        <f>(PCS!I58-PCS!F58)/C52</f>
        <v>11.649011238089876</v>
      </c>
      <c r="E52" s="505">
        <f>'Péréquation directe'!E58/C52</f>
        <v>-3.3342419991031571</v>
      </c>
      <c r="F52" s="206">
        <f>'Péréquation directe'!F58/Effort!C52</f>
        <v>-4.931885745713771</v>
      </c>
      <c r="G52" s="206">
        <f>'Péréquation directe'!G58/Effort!C52</f>
        <v>0</v>
      </c>
      <c r="H52" s="206">
        <f>'Péréquation directe'!J58/Effort!C52</f>
        <v>19.207162141841813</v>
      </c>
      <c r="I52" s="371">
        <f t="shared" si="0"/>
        <v>22.590045635114762</v>
      </c>
      <c r="J52" s="223">
        <f t="shared" si="1"/>
        <v>0</v>
      </c>
      <c r="K52" s="42">
        <f t="shared" si="2"/>
        <v>0</v>
      </c>
      <c r="L52" s="237"/>
    </row>
    <row r="53" spans="1:12" x14ac:dyDescent="0.25">
      <c r="A53" s="38">
        <f>Données!A53</f>
        <v>5486</v>
      </c>
      <c r="B53" s="168" t="str">
        <f>Données!B53</f>
        <v>L'Isle</v>
      </c>
      <c r="C53" s="31">
        <f>VPI!R53</f>
        <v>34756.215466666676</v>
      </c>
      <c r="D53" s="238">
        <f>(PCS!I59-PCS!F59)/C53</f>
        <v>11.649011238089878</v>
      </c>
      <c r="E53" s="411">
        <f>'Péréquation directe'!E59/C53</f>
        <v>-4.699722487365861</v>
      </c>
      <c r="F53" s="238">
        <f>'Péréquation directe'!F59/Effort!C53</f>
        <v>-11.829086300140291</v>
      </c>
      <c r="G53" s="238">
        <f>'Péréquation directe'!G59/Effort!C53</f>
        <v>0</v>
      </c>
      <c r="H53" s="238">
        <f>'Péréquation directe'!J59/Effort!C53</f>
        <v>19.207162141841813</v>
      </c>
      <c r="I53" s="540">
        <f t="shared" si="0"/>
        <v>14.327364592425539</v>
      </c>
      <c r="J53" s="240">
        <f t="shared" si="1"/>
        <v>0</v>
      </c>
      <c r="K53" s="42">
        <f t="shared" si="2"/>
        <v>0</v>
      </c>
      <c r="L53" s="541"/>
    </row>
    <row r="54" spans="1:12" x14ac:dyDescent="0.25">
      <c r="A54" s="38">
        <f>Données!A54</f>
        <v>5487</v>
      </c>
      <c r="B54" s="168" t="str">
        <f>Données!B54</f>
        <v>Lussery-Villars</v>
      </c>
      <c r="C54" s="348">
        <f>VPI!R54</f>
        <v>12042.619866666666</v>
      </c>
      <c r="D54" s="206">
        <f>(PCS!I60-PCS!F60)/C54</f>
        <v>11.649011238089875</v>
      </c>
      <c r="E54" s="505">
        <f>'Péréquation directe'!E60/C54</f>
        <v>-5.1641286128360973</v>
      </c>
      <c r="F54" s="206">
        <f>'Péréquation directe'!F60/Effort!C54</f>
        <v>-21.107126477136969</v>
      </c>
      <c r="G54" s="206">
        <f>'Péréquation directe'!G60/Effort!C54</f>
        <v>0</v>
      </c>
      <c r="H54" s="206">
        <f>'Péréquation directe'!J60/Effort!C54</f>
        <v>19.207162141841813</v>
      </c>
      <c r="I54" s="371">
        <f t="shared" si="0"/>
        <v>4.5849182899586225</v>
      </c>
      <c r="J54" s="223">
        <f t="shared" si="1"/>
        <v>0</v>
      </c>
      <c r="K54" s="42">
        <f t="shared" si="2"/>
        <v>0</v>
      </c>
      <c r="L54" s="237"/>
    </row>
    <row r="55" spans="1:12" x14ac:dyDescent="0.25">
      <c r="A55" s="38">
        <f>Données!A55</f>
        <v>5488</v>
      </c>
      <c r="B55" s="168" t="str">
        <f>Données!B55</f>
        <v>Mauraz</v>
      </c>
      <c r="C55" s="348">
        <f>VPI!R55</f>
        <v>2131.6062337662343</v>
      </c>
      <c r="D55" s="206">
        <f>(PCS!I61-PCS!F61)/C55</f>
        <v>11.649011238089878</v>
      </c>
      <c r="E55" s="505">
        <f>'Péréquation directe'!E61/C55</f>
        <v>-3.9343896089481594</v>
      </c>
      <c r="F55" s="206">
        <f>'Péréquation directe'!F61/Effort!C55</f>
        <v>-11.307018438673014</v>
      </c>
      <c r="G55" s="206">
        <f>'Péréquation directe'!G61/Effort!C55</f>
        <v>0</v>
      </c>
      <c r="H55" s="206">
        <f>'Péréquation directe'!J61/Effort!C55</f>
        <v>19.207162141841813</v>
      </c>
      <c r="I55" s="371">
        <f t="shared" si="0"/>
        <v>15.614765332310519</v>
      </c>
      <c r="J55" s="223">
        <f t="shared" si="1"/>
        <v>0</v>
      </c>
      <c r="K55" s="42">
        <f t="shared" si="2"/>
        <v>0</v>
      </c>
      <c r="L55" s="237"/>
    </row>
    <row r="56" spans="1:12" x14ac:dyDescent="0.25">
      <c r="A56" s="38">
        <f>Données!A56</f>
        <v>5489</v>
      </c>
      <c r="B56" s="168" t="str">
        <f>Données!B56</f>
        <v>Mex</v>
      </c>
      <c r="C56" s="348">
        <f>VPI!R56</f>
        <v>60740.368067226897</v>
      </c>
      <c r="D56" s="206">
        <f>(PCS!I62-PCS!F62)/C56</f>
        <v>17.227720477825464</v>
      </c>
      <c r="E56" s="505">
        <f>'Péréquation directe'!E62/C56</f>
        <v>-1.7354640696526402</v>
      </c>
      <c r="F56" s="206">
        <f>'Péréquation directe'!F62/Effort!C56</f>
        <v>0</v>
      </c>
      <c r="G56" s="206">
        <f>'Péréquation directe'!G62/Effort!C56</f>
        <v>0</v>
      </c>
      <c r="H56" s="206">
        <f>'Péréquation directe'!J62/Effort!C56</f>
        <v>19.207162141841813</v>
      </c>
      <c r="I56" s="371">
        <f t="shared" si="0"/>
        <v>34.699418550014641</v>
      </c>
      <c r="J56" s="223">
        <f t="shared" si="1"/>
        <v>0</v>
      </c>
      <c r="K56" s="42">
        <f t="shared" si="2"/>
        <v>0</v>
      </c>
      <c r="L56" s="237"/>
    </row>
    <row r="57" spans="1:12" x14ac:dyDescent="0.25">
      <c r="A57" s="38">
        <f>Données!A57</f>
        <v>5490</v>
      </c>
      <c r="B57" s="168" t="str">
        <f>Données!B57</f>
        <v>Moiry</v>
      </c>
      <c r="C57" s="348">
        <f>VPI!R57</f>
        <v>8460.9523376623383</v>
      </c>
      <c r="D57" s="206">
        <f>(PCS!I63-PCS!F63)/C57</f>
        <v>11.649011238089876</v>
      </c>
      <c r="E57" s="505">
        <f>'Péréquation directe'!E63/C57</f>
        <v>-4.513811844948826</v>
      </c>
      <c r="F57" s="206">
        <f>'Péréquation directe'!F63/Effort!C57</f>
        <v>-16.462064119173771</v>
      </c>
      <c r="G57" s="206">
        <f>'Péréquation directe'!G63/Effort!C57</f>
        <v>0</v>
      </c>
      <c r="H57" s="206">
        <f>'Péréquation directe'!J63/Effort!C57</f>
        <v>19.207162141841813</v>
      </c>
      <c r="I57" s="371">
        <f t="shared" si="0"/>
        <v>9.8802974158090926</v>
      </c>
      <c r="J57" s="223">
        <f t="shared" si="1"/>
        <v>0</v>
      </c>
      <c r="K57" s="42">
        <f t="shared" si="2"/>
        <v>0</v>
      </c>
      <c r="L57" s="237"/>
    </row>
    <row r="58" spans="1:12" x14ac:dyDescent="0.25">
      <c r="A58" s="38">
        <f>Données!A58</f>
        <v>5491</v>
      </c>
      <c r="B58" s="168" t="str">
        <f>Données!B58</f>
        <v>Mont-la-Ville</v>
      </c>
      <c r="C58" s="348">
        <f>VPI!R58</f>
        <v>13842.217236842105</v>
      </c>
      <c r="D58" s="206">
        <f>(PCS!I64-PCS!F64)/C58</f>
        <v>11.649011238089876</v>
      </c>
      <c r="E58" s="505">
        <f>'Péréquation directe'!E64/C58</f>
        <v>-4.6791723909631688</v>
      </c>
      <c r="F58" s="206">
        <f>'Péréquation directe'!F64/Effort!C58</f>
        <v>-17.4704816077952</v>
      </c>
      <c r="G58" s="206">
        <f>'Péréquation directe'!G64/Effort!C58</f>
        <v>0</v>
      </c>
      <c r="H58" s="206">
        <f>'Péréquation directe'!J64/Effort!C58</f>
        <v>19.207162141841813</v>
      </c>
      <c r="I58" s="371">
        <f t="shared" si="0"/>
        <v>8.7065193811733206</v>
      </c>
      <c r="J58" s="223">
        <f t="shared" si="1"/>
        <v>0</v>
      </c>
      <c r="K58" s="42">
        <f t="shared" si="2"/>
        <v>0</v>
      </c>
      <c r="L58" s="237"/>
    </row>
    <row r="59" spans="1:12" x14ac:dyDescent="0.25">
      <c r="A59" s="38">
        <f>Données!A59</f>
        <v>5492</v>
      </c>
      <c r="B59" s="168" t="str">
        <f>Données!B59</f>
        <v>Montricher</v>
      </c>
      <c r="C59" s="348">
        <f>VPI!R59</f>
        <v>149907.58062499994</v>
      </c>
      <c r="D59" s="206">
        <f>(PCS!I65-PCS!F65)/C59</f>
        <v>30.409508732927168</v>
      </c>
      <c r="E59" s="505">
        <f>'Péréquation directe'!E65/C59</f>
        <v>-0.8426167462667753</v>
      </c>
      <c r="F59" s="206">
        <f>'Péréquation directe'!F65/Effort!C59</f>
        <v>0</v>
      </c>
      <c r="G59" s="206">
        <f>'Péréquation directe'!G65/Effort!C59</f>
        <v>0</v>
      </c>
      <c r="H59" s="206">
        <f>'Péréquation directe'!J65/Effort!C59</f>
        <v>19.207162141841813</v>
      </c>
      <c r="I59" s="371">
        <f t="shared" si="0"/>
        <v>48.774054128502208</v>
      </c>
      <c r="J59" s="223">
        <f t="shared" si="1"/>
        <v>0.77405412850220756</v>
      </c>
      <c r="K59" s="42">
        <f t="shared" si="2"/>
        <v>-116036.58167655875</v>
      </c>
      <c r="L59" s="237"/>
    </row>
    <row r="60" spans="1:12" x14ac:dyDescent="0.25">
      <c r="A60" s="38">
        <f>Données!A60</f>
        <v>5493</v>
      </c>
      <c r="B60" s="168" t="str">
        <f>Données!B60</f>
        <v>Orny</v>
      </c>
      <c r="C60" s="348">
        <f>VPI!R60</f>
        <v>14635.830579557431</v>
      </c>
      <c r="D60" s="206">
        <f>(PCS!I66-PCS!F66)/C60</f>
        <v>11.649011238089878</v>
      </c>
      <c r="E60" s="505">
        <f>'Péréquation directe'!E66/C60</f>
        <v>-4.2667674907308557</v>
      </c>
      <c r="F60" s="206">
        <f>'Péréquation directe'!F66/Effort!C60</f>
        <v>-12.820646463347789</v>
      </c>
      <c r="G60" s="206">
        <f>'Péréquation directe'!G66/Effort!C60</f>
        <v>0</v>
      </c>
      <c r="H60" s="206">
        <f>'Péréquation directe'!J66/Effort!C60</f>
        <v>19.207162141841813</v>
      </c>
      <c r="I60" s="371">
        <f t="shared" si="0"/>
        <v>13.768759425853048</v>
      </c>
      <c r="J60" s="223">
        <f t="shared" si="1"/>
        <v>0</v>
      </c>
      <c r="K60" s="42">
        <f t="shared" si="2"/>
        <v>0</v>
      </c>
      <c r="L60" s="237"/>
    </row>
    <row r="61" spans="1:12" x14ac:dyDescent="0.25">
      <c r="A61" s="38">
        <f>Données!A61</f>
        <v>5495</v>
      </c>
      <c r="B61" s="168" t="str">
        <f>Données!B61</f>
        <v>Penthalaz</v>
      </c>
      <c r="C61" s="348">
        <f>VPI!R61</f>
        <v>103056.57202702702</v>
      </c>
      <c r="D61" s="206">
        <f>(PCS!I67-PCS!F67)/C61</f>
        <v>11.649011238089876</v>
      </c>
      <c r="E61" s="505">
        <f>'Péréquation directe'!E67/C61</f>
        <v>-9.3447336580462075</v>
      </c>
      <c r="F61" s="206">
        <f>'Péréquation directe'!F67/Effort!C61</f>
        <v>-11.198750516050996</v>
      </c>
      <c r="G61" s="206">
        <f>'Péréquation directe'!G67/Effort!C61</f>
        <v>0</v>
      </c>
      <c r="H61" s="206">
        <f>'Péréquation directe'!J67/Effort!C61</f>
        <v>19.207162141841813</v>
      </c>
      <c r="I61" s="371">
        <f t="shared" si="0"/>
        <v>10.312689205834486</v>
      </c>
      <c r="J61" s="223">
        <f t="shared" si="1"/>
        <v>0</v>
      </c>
      <c r="K61" s="42">
        <f t="shared" si="2"/>
        <v>0</v>
      </c>
      <c r="L61" s="237"/>
    </row>
    <row r="62" spans="1:12" x14ac:dyDescent="0.25">
      <c r="A62" s="38">
        <f>Données!A62</f>
        <v>5496</v>
      </c>
      <c r="B62" s="168" t="str">
        <f>Données!B62</f>
        <v>Penthaz</v>
      </c>
      <c r="C62" s="348">
        <f>VPI!R62</f>
        <v>61651.518705035967</v>
      </c>
      <c r="D62" s="206">
        <f>(PCS!I68-PCS!F68)/C62</f>
        <v>11.649011238089876</v>
      </c>
      <c r="E62" s="505">
        <f>'Péréquation directe'!E68/C62</f>
        <v>-7.5014233969136317</v>
      </c>
      <c r="F62" s="206">
        <f>'Péréquation directe'!F68/Effort!C62</f>
        <v>-9.8643911326433678</v>
      </c>
      <c r="G62" s="206">
        <f>'Péréquation directe'!G68/Effort!C62</f>
        <v>0</v>
      </c>
      <c r="H62" s="206">
        <f>'Péréquation directe'!J68/Effort!C62</f>
        <v>19.207162141841813</v>
      </c>
      <c r="I62" s="371">
        <f t="shared" si="0"/>
        <v>13.49035885037469</v>
      </c>
      <c r="J62" s="223">
        <f t="shared" si="1"/>
        <v>0</v>
      </c>
      <c r="K62" s="42">
        <f t="shared" si="2"/>
        <v>0</v>
      </c>
      <c r="L62" s="237"/>
    </row>
    <row r="63" spans="1:12" x14ac:dyDescent="0.25">
      <c r="A63" s="38">
        <f>Données!A63</f>
        <v>5497</v>
      </c>
      <c r="B63" s="168" t="str">
        <f>Données!B63</f>
        <v>Pompaples</v>
      </c>
      <c r="C63" s="348">
        <f>VPI!R63</f>
        <v>22949.830606060608</v>
      </c>
      <c r="D63" s="206">
        <f>(PCS!I69-PCS!F69)/C63</f>
        <v>11.649011238089878</v>
      </c>
      <c r="E63" s="505">
        <f>'Péréquation directe'!E69/C63</f>
        <v>-4.8349273897569658</v>
      </c>
      <c r="F63" s="206">
        <f>'Péréquation directe'!F69/Effort!C63</f>
        <v>-14.193542304369471</v>
      </c>
      <c r="G63" s="206">
        <f>'Péréquation directe'!G69/Effort!C63</f>
        <v>0</v>
      </c>
      <c r="H63" s="206">
        <f>'Péréquation directe'!J69/Effort!C63</f>
        <v>19.207162141841813</v>
      </c>
      <c r="I63" s="371">
        <f t="shared" si="0"/>
        <v>11.827703685805254</v>
      </c>
      <c r="J63" s="223">
        <f t="shared" si="1"/>
        <v>0</v>
      </c>
      <c r="K63" s="42">
        <f t="shared" si="2"/>
        <v>0</v>
      </c>
      <c r="L63" s="237"/>
    </row>
    <row r="64" spans="1:12" x14ac:dyDescent="0.25">
      <c r="A64" s="38">
        <f>Données!A64</f>
        <v>5498</v>
      </c>
      <c r="B64" s="168" t="str">
        <f>Données!B64</f>
        <v>La Sarraz</v>
      </c>
      <c r="C64" s="348">
        <f>VPI!R64</f>
        <v>73743.655606060609</v>
      </c>
      <c r="D64" s="206">
        <f>(PCS!I70-PCS!F70)/C64</f>
        <v>11.649011238089876</v>
      </c>
      <c r="E64" s="505">
        <f>'Péréquation directe'!E70/C64</f>
        <v>-9.6320655179945796</v>
      </c>
      <c r="F64" s="206">
        <f>'Péréquation directe'!F70/Effort!C64</f>
        <v>-12.427768016963947</v>
      </c>
      <c r="G64" s="206">
        <f>'Péréquation directe'!G70/Effort!C64</f>
        <v>0</v>
      </c>
      <c r="H64" s="206">
        <f>'Péréquation directe'!J70/Effort!C64</f>
        <v>19.207162141841813</v>
      </c>
      <c r="I64" s="371">
        <f t="shared" si="0"/>
        <v>8.7963398449731631</v>
      </c>
      <c r="J64" s="223">
        <f t="shared" si="1"/>
        <v>0</v>
      </c>
      <c r="K64" s="42">
        <f t="shared" si="2"/>
        <v>0</v>
      </c>
      <c r="L64" s="237"/>
    </row>
    <row r="65" spans="1:12" x14ac:dyDescent="0.25">
      <c r="A65" s="38">
        <f>Données!A65</f>
        <v>5499</v>
      </c>
      <c r="B65" s="168" t="str">
        <f>Données!B65</f>
        <v>Senarclens</v>
      </c>
      <c r="C65" s="348">
        <f>VPI!R65</f>
        <v>20491.103065693427</v>
      </c>
      <c r="D65" s="206">
        <f>(PCS!I71-PCS!F71)/C65</f>
        <v>11.649011238089876</v>
      </c>
      <c r="E65" s="505">
        <f>'Péréquation directe'!E71/C65</f>
        <v>-3.1231103396416944</v>
      </c>
      <c r="F65" s="206">
        <f>'Péréquation directe'!F71/Effort!C65</f>
        <v>-3.2361965692796333</v>
      </c>
      <c r="G65" s="206">
        <f>'Péréquation directe'!G71/Effort!C65</f>
        <v>0</v>
      </c>
      <c r="H65" s="206">
        <f>'Péréquation directe'!J71/Effort!C65</f>
        <v>19.207162141841813</v>
      </c>
      <c r="I65" s="371">
        <f t="shared" si="0"/>
        <v>24.496866471010364</v>
      </c>
      <c r="J65" s="223">
        <f t="shared" si="1"/>
        <v>0</v>
      </c>
      <c r="K65" s="42">
        <f t="shared" si="2"/>
        <v>0</v>
      </c>
      <c r="L65" s="237"/>
    </row>
    <row r="66" spans="1:12" x14ac:dyDescent="0.25">
      <c r="A66" s="38">
        <f>Données!A66</f>
        <v>5501</v>
      </c>
      <c r="B66" s="168" t="str">
        <f>Données!B66</f>
        <v>Sullens</v>
      </c>
      <c r="C66" s="348">
        <f>VPI!R66</f>
        <v>53840.673124999994</v>
      </c>
      <c r="D66" s="206">
        <f>(PCS!I72-PCS!F72)/C66</f>
        <v>11.649011238089876</v>
      </c>
      <c r="E66" s="505">
        <f>'Péréquation directe'!E72/C66</f>
        <v>-3.5370961537725343</v>
      </c>
      <c r="F66" s="206">
        <f>'Péréquation directe'!F72/Effort!C66</f>
        <v>-0.86235619453598633</v>
      </c>
      <c r="G66" s="206">
        <f>'Péréquation directe'!G72/Effort!C66</f>
        <v>0</v>
      </c>
      <c r="H66" s="206">
        <f>'Péréquation directe'!J72/Effort!C66</f>
        <v>19.207162141841813</v>
      </c>
      <c r="I66" s="371">
        <f t="shared" si="0"/>
        <v>26.456721031623168</v>
      </c>
      <c r="J66" s="223">
        <f t="shared" si="1"/>
        <v>0</v>
      </c>
      <c r="K66" s="42">
        <f t="shared" si="2"/>
        <v>0</v>
      </c>
      <c r="L66" s="237"/>
    </row>
    <row r="67" spans="1:12" x14ac:dyDescent="0.25">
      <c r="A67" s="38">
        <f>Données!A67</f>
        <v>5503</v>
      </c>
      <c r="B67" s="168" t="str">
        <f>Données!B67</f>
        <v>Vufflens-la-Ville</v>
      </c>
      <c r="C67" s="348">
        <f>VPI!R67</f>
        <v>75222.663980099518</v>
      </c>
      <c r="D67" s="206">
        <f>(PCS!I73-PCS!F73)/C67</f>
        <v>13.537519779428848</v>
      </c>
      <c r="E67" s="505">
        <f>'Péréquation directe'!E73/C67</f>
        <v>-3.3193124510581185</v>
      </c>
      <c r="F67" s="206">
        <f>'Péréquation directe'!F73/Effort!C67</f>
        <v>0</v>
      </c>
      <c r="G67" s="206">
        <f>'Péréquation directe'!G73/Effort!C67</f>
        <v>0</v>
      </c>
      <c r="H67" s="206">
        <f>'Péréquation directe'!J73/Effort!C67</f>
        <v>19.207162141841813</v>
      </c>
      <c r="I67" s="371">
        <f t="shared" si="0"/>
        <v>29.425369470212544</v>
      </c>
      <c r="J67" s="223">
        <f t="shared" si="1"/>
        <v>0</v>
      </c>
      <c r="K67" s="42">
        <f t="shared" si="2"/>
        <v>0</v>
      </c>
      <c r="L67" s="237"/>
    </row>
    <row r="68" spans="1:12" x14ac:dyDescent="0.25">
      <c r="A68" s="38">
        <f>Données!A68</f>
        <v>5511</v>
      </c>
      <c r="B68" s="168" t="str">
        <f>Données!B68</f>
        <v>Assens</v>
      </c>
      <c r="C68" s="348">
        <f>VPI!R68</f>
        <v>72835.778857142868</v>
      </c>
      <c r="D68" s="206">
        <f>(PCS!I74-PCS!F74)/C68</f>
        <v>11.649011238089876</v>
      </c>
      <c r="E68" s="505">
        <f>'Péréquation directe'!E74/C68</f>
        <v>-5.0896987559552169</v>
      </c>
      <c r="F68" s="206">
        <f>'Péréquation directe'!F74/Effort!C68</f>
        <v>-2.1546632167212834</v>
      </c>
      <c r="G68" s="206">
        <f>'Péréquation directe'!G74/Effort!C68</f>
        <v>0</v>
      </c>
      <c r="H68" s="206">
        <f>'Péréquation directe'!J74/Effort!C68</f>
        <v>19.207162141841813</v>
      </c>
      <c r="I68" s="371">
        <f t="shared" si="0"/>
        <v>23.611811407255189</v>
      </c>
      <c r="J68" s="223">
        <f t="shared" si="1"/>
        <v>0</v>
      </c>
      <c r="K68" s="42">
        <f t="shared" si="2"/>
        <v>0</v>
      </c>
      <c r="L68" s="237"/>
    </row>
    <row r="69" spans="1:12" x14ac:dyDescent="0.25">
      <c r="A69" s="38">
        <f>Données!A69</f>
        <v>5512</v>
      </c>
      <c r="B69" s="168" t="str">
        <f>Données!B69</f>
        <v>Bercher</v>
      </c>
      <c r="C69" s="348">
        <f>VPI!R69</f>
        <v>41198.7282278481</v>
      </c>
      <c r="D69" s="206">
        <f>(PCS!I75-PCS!F75)/C69</f>
        <v>11.649011238089878</v>
      </c>
      <c r="E69" s="505">
        <f>'Péréquation directe'!E75/C69</f>
        <v>-6.2797864502251874</v>
      </c>
      <c r="F69" s="206">
        <f>'Péréquation directe'!F75/Effort!C69</f>
        <v>-14.914382071962487</v>
      </c>
      <c r="G69" s="206">
        <f>'Péréquation directe'!G75/Effort!C69</f>
        <v>0</v>
      </c>
      <c r="H69" s="206">
        <f>'Péréquation directe'!J75/Effort!C69</f>
        <v>19.207162141841813</v>
      </c>
      <c r="I69" s="371">
        <f t="shared" si="0"/>
        <v>9.6620048577440159</v>
      </c>
      <c r="J69" s="223">
        <f t="shared" si="1"/>
        <v>0</v>
      </c>
      <c r="K69" s="42">
        <f t="shared" si="2"/>
        <v>0</v>
      </c>
      <c r="L69" s="237"/>
    </row>
    <row r="70" spans="1:12" x14ac:dyDescent="0.25">
      <c r="A70" s="38">
        <f>Données!A70</f>
        <v>5514</v>
      </c>
      <c r="B70" s="168" t="str">
        <f>Données!B70</f>
        <v>Bottens</v>
      </c>
      <c r="C70" s="348">
        <f>VPI!R70</f>
        <v>45712.235586206894</v>
      </c>
      <c r="D70" s="206">
        <f>(PCS!I76-PCS!F76)/C70</f>
        <v>11.649011238089876</v>
      </c>
      <c r="E70" s="505">
        <f>'Péréquation directe'!E76/C70</f>
        <v>-5.6360274042818279</v>
      </c>
      <c r="F70" s="206">
        <f>'Péréquation directe'!F76/Effort!C70</f>
        <v>-9.1797793021520366</v>
      </c>
      <c r="G70" s="206">
        <f>'Péréquation directe'!G76/Effort!C70</f>
        <v>0</v>
      </c>
      <c r="H70" s="206">
        <f>'Péréquation directe'!J76/Effort!C70</f>
        <v>19.207162141841813</v>
      </c>
      <c r="I70" s="371">
        <f t="shared" si="0"/>
        <v>16.040366673497825</v>
      </c>
      <c r="J70" s="223">
        <f t="shared" si="1"/>
        <v>0</v>
      </c>
      <c r="K70" s="42">
        <f t="shared" si="2"/>
        <v>0</v>
      </c>
      <c r="L70" s="237"/>
    </row>
    <row r="71" spans="1:12" x14ac:dyDescent="0.25">
      <c r="A71" s="38">
        <f>Données!A71</f>
        <v>5515</v>
      </c>
      <c r="B71" s="168" t="str">
        <f>Données!B71</f>
        <v>Bretigny-sur-Morrens</v>
      </c>
      <c r="C71" s="348">
        <f>VPI!R71</f>
        <v>29285.295897435899</v>
      </c>
      <c r="D71" s="206">
        <f>(PCS!I77-PCS!F77)/C71</f>
        <v>11.649011238089876</v>
      </c>
      <c r="E71" s="505">
        <f>'Péréquation directe'!E77/C71</f>
        <v>-3.8682620654377482</v>
      </c>
      <c r="F71" s="206">
        <f>'Péréquation directe'!F77/Effort!C71</f>
        <v>-10.99890550092633</v>
      </c>
      <c r="G71" s="206">
        <f>'Péréquation directe'!G77/Effort!C71</f>
        <v>0</v>
      </c>
      <c r="H71" s="206">
        <f>'Péréquation directe'!J77/Effort!C71</f>
        <v>19.20716214184181</v>
      </c>
      <c r="I71" s="371">
        <f t="shared" ref="I71:I134" si="3">SUM(D71:H71)</f>
        <v>15.989005813567609</v>
      </c>
      <c r="J71" s="223">
        <f t="shared" ref="J71:J134" si="4">IF(I71&gt;J$5,I71-J$5,0)</f>
        <v>0</v>
      </c>
      <c r="K71" s="42">
        <f t="shared" ref="K71:K134" si="5">-J71*C71</f>
        <v>0</v>
      </c>
      <c r="L71" s="237"/>
    </row>
    <row r="72" spans="1:12" x14ac:dyDescent="0.25">
      <c r="A72" s="38">
        <f>Données!A72</f>
        <v>5516</v>
      </c>
      <c r="B72" s="168" t="str">
        <f>Données!B72</f>
        <v>Cugy</v>
      </c>
      <c r="C72" s="348">
        <f>VPI!R72</f>
        <v>110290.24758771928</v>
      </c>
      <c r="D72" s="206">
        <f>(PCS!I78-PCS!F78)/C72</f>
        <v>11.649011238089876</v>
      </c>
      <c r="E72" s="505">
        <f>'Péréquation directe'!E78/C72</f>
        <v>-6.7351177741281836</v>
      </c>
      <c r="F72" s="206">
        <f>'Péréquation directe'!F78/Effort!C72</f>
        <v>-4.2812970964508574</v>
      </c>
      <c r="G72" s="206">
        <f>'Péréquation directe'!G78/Effort!C72</f>
        <v>0</v>
      </c>
      <c r="H72" s="206">
        <f>'Péréquation directe'!J78/Effort!C72</f>
        <v>19.207162141841813</v>
      </c>
      <c r="I72" s="371">
        <f t="shared" si="3"/>
        <v>19.839758509352649</v>
      </c>
      <c r="J72" s="223">
        <f t="shared" si="4"/>
        <v>0</v>
      </c>
      <c r="K72" s="42">
        <f t="shared" si="5"/>
        <v>0</v>
      </c>
      <c r="L72" s="237"/>
    </row>
    <row r="73" spans="1:12" x14ac:dyDescent="0.25">
      <c r="A73" s="38">
        <f>Données!A73</f>
        <v>5518</v>
      </c>
      <c r="B73" s="168" t="str">
        <f>Données!B73</f>
        <v>Echallens</v>
      </c>
      <c r="C73" s="348">
        <f>VPI!R73</f>
        <v>193282.28662068967</v>
      </c>
      <c r="D73" s="206">
        <f>(PCS!I79-PCS!F79)/C73</f>
        <v>11.649011238089878</v>
      </c>
      <c r="E73" s="505">
        <f>'Péréquation directe'!E79/C73</f>
        <v>-12.363955556359045</v>
      </c>
      <c r="F73" s="206">
        <f>'Péréquation directe'!F79/Effort!C73</f>
        <v>-9.6194565345189957</v>
      </c>
      <c r="G73" s="206">
        <f>'Péréquation directe'!G79/Effort!C73</f>
        <v>0</v>
      </c>
      <c r="H73" s="206">
        <f>'Péréquation directe'!J79/Effort!C73</f>
        <v>19.207162141841813</v>
      </c>
      <c r="I73" s="371">
        <f t="shared" si="3"/>
        <v>8.8727612890536509</v>
      </c>
      <c r="J73" s="223">
        <f t="shared" si="4"/>
        <v>0</v>
      </c>
      <c r="K73" s="42">
        <f t="shared" si="5"/>
        <v>0</v>
      </c>
      <c r="L73" s="237"/>
    </row>
    <row r="74" spans="1:12" x14ac:dyDescent="0.25">
      <c r="A74" s="38">
        <f>Données!A74</f>
        <v>5520</v>
      </c>
      <c r="B74" s="168" t="str">
        <f>Données!B74</f>
        <v>Essertines-sur-Yverdon</v>
      </c>
      <c r="C74" s="348">
        <f>VPI!R74</f>
        <v>31422.035945945943</v>
      </c>
      <c r="D74" s="206">
        <f>(PCS!I80-PCS!F80)/C74</f>
        <v>11.649011238089876</v>
      </c>
      <c r="E74" s="505">
        <f>'Péréquation directe'!E80/C74</f>
        <v>-5.0374463703703887</v>
      </c>
      <c r="F74" s="206">
        <f>'Péréquation directe'!F80/Effort!C74</f>
        <v>-14.587643717951423</v>
      </c>
      <c r="G74" s="206">
        <f>'Péréquation directe'!G80/Effort!C74</f>
        <v>0</v>
      </c>
      <c r="H74" s="206">
        <f>'Péréquation directe'!J80/Effort!C74</f>
        <v>19.207162141841813</v>
      </c>
      <c r="I74" s="371">
        <f t="shared" si="3"/>
        <v>11.231083291609878</v>
      </c>
      <c r="J74" s="223">
        <f t="shared" si="4"/>
        <v>0</v>
      </c>
      <c r="K74" s="42">
        <f t="shared" si="5"/>
        <v>0</v>
      </c>
      <c r="L74" s="237"/>
    </row>
    <row r="75" spans="1:12" x14ac:dyDescent="0.25">
      <c r="A75" s="38">
        <f>Données!A75</f>
        <v>5521</v>
      </c>
      <c r="B75" s="168" t="str">
        <f>Données!B75</f>
        <v>Etagnières</v>
      </c>
      <c r="C75" s="348">
        <f>VPI!R75</f>
        <v>47189.665890410972</v>
      </c>
      <c r="D75" s="206">
        <f>(PCS!I81-PCS!F81)/C75</f>
        <v>11.649011238089876</v>
      </c>
      <c r="E75" s="505">
        <f>'Péréquation directe'!E81/C75</f>
        <v>-3.8901642945775206</v>
      </c>
      <c r="F75" s="206">
        <f>'Péréquation directe'!F81/Effort!C75</f>
        <v>-3.8665454825226182</v>
      </c>
      <c r="G75" s="206">
        <f>'Péréquation directe'!G81/Effort!C75</f>
        <v>0</v>
      </c>
      <c r="H75" s="206">
        <f>'Péréquation directe'!J81/Effort!C75</f>
        <v>19.207162141841813</v>
      </c>
      <c r="I75" s="371">
        <f t="shared" si="3"/>
        <v>23.099463602831552</v>
      </c>
      <c r="J75" s="223">
        <f t="shared" si="4"/>
        <v>0</v>
      </c>
      <c r="K75" s="42">
        <f t="shared" si="5"/>
        <v>0</v>
      </c>
      <c r="L75" s="237"/>
    </row>
    <row r="76" spans="1:12" x14ac:dyDescent="0.25">
      <c r="A76" s="38">
        <f>Données!A76</f>
        <v>5522</v>
      </c>
      <c r="B76" s="168" t="str">
        <f>Données!B76</f>
        <v>Fey</v>
      </c>
      <c r="C76" s="348">
        <f>VPI!R76</f>
        <v>24172.463733333334</v>
      </c>
      <c r="D76" s="206">
        <f>(PCS!I82-PCS!F82)/C76</f>
        <v>11.649011238089875</v>
      </c>
      <c r="E76" s="505">
        <f>'Péréquation directe'!E82/C76</f>
        <v>-3.9285102119231681</v>
      </c>
      <c r="F76" s="206">
        <f>'Péréquation directe'!F82/Effort!C76</f>
        <v>-10.677642914456744</v>
      </c>
      <c r="G76" s="206">
        <f>'Péréquation directe'!G82/Effort!C76</f>
        <v>0</v>
      </c>
      <c r="H76" s="206">
        <f>'Péréquation directe'!J82/Effort!C76</f>
        <v>19.207162141841813</v>
      </c>
      <c r="I76" s="371">
        <f t="shared" si="3"/>
        <v>16.250020253551774</v>
      </c>
      <c r="J76" s="223">
        <f t="shared" si="4"/>
        <v>0</v>
      </c>
      <c r="K76" s="42">
        <f t="shared" si="5"/>
        <v>0</v>
      </c>
      <c r="L76" s="237"/>
    </row>
    <row r="77" spans="1:12" x14ac:dyDescent="0.25">
      <c r="A77" s="38">
        <f>Données!A77</f>
        <v>5523</v>
      </c>
      <c r="B77" s="168" t="str">
        <f>Données!B77</f>
        <v>Froideville</v>
      </c>
      <c r="C77" s="348">
        <f>VPI!R77</f>
        <v>92231.307222222211</v>
      </c>
      <c r="D77" s="206">
        <f>(PCS!I83-PCS!F83)/C77</f>
        <v>11.649011238089876</v>
      </c>
      <c r="E77" s="505">
        <f>'Péréquation directe'!E83/C77</f>
        <v>-8.1361139634650392</v>
      </c>
      <c r="F77" s="206">
        <f>'Péréquation directe'!F83/Effort!C77</f>
        <v>-8.8802042197051598</v>
      </c>
      <c r="G77" s="206">
        <f>'Péréquation directe'!G83/Effort!C77</f>
        <v>0</v>
      </c>
      <c r="H77" s="206">
        <f>'Péréquation directe'!J83/Effort!C77</f>
        <v>19.207162141841813</v>
      </c>
      <c r="I77" s="371">
        <f t="shared" si="3"/>
        <v>13.839855196761491</v>
      </c>
      <c r="J77" s="223">
        <f t="shared" si="4"/>
        <v>0</v>
      </c>
      <c r="K77" s="42">
        <f t="shared" si="5"/>
        <v>0</v>
      </c>
      <c r="L77" s="237"/>
    </row>
    <row r="78" spans="1:12" x14ac:dyDescent="0.25">
      <c r="A78" s="38">
        <f>Données!A78</f>
        <v>5527</v>
      </c>
      <c r="B78" s="168" t="str">
        <f>Données!B78</f>
        <v>Morrens</v>
      </c>
      <c r="C78" s="348">
        <f>VPI!R78</f>
        <v>40722.505675675682</v>
      </c>
      <c r="D78" s="206">
        <f>(PCS!I84-PCS!F84)/C78</f>
        <v>11.649011238089878</v>
      </c>
      <c r="E78" s="505">
        <f>'Péréquation directe'!E84/C78</f>
        <v>-4.6942635249582416</v>
      </c>
      <c r="F78" s="206">
        <f>'Péréquation directe'!F84/Effort!C78</f>
        <v>-8.6266830404919066</v>
      </c>
      <c r="G78" s="206">
        <f>'Péréquation directe'!G84/Effort!C78</f>
        <v>0</v>
      </c>
      <c r="H78" s="206">
        <f>'Péréquation directe'!J84/Effort!C78</f>
        <v>19.207162141841813</v>
      </c>
      <c r="I78" s="371">
        <f t="shared" si="3"/>
        <v>17.535226814481543</v>
      </c>
      <c r="J78" s="223">
        <f t="shared" si="4"/>
        <v>0</v>
      </c>
      <c r="K78" s="42">
        <f t="shared" si="5"/>
        <v>0</v>
      </c>
      <c r="L78" s="237"/>
    </row>
    <row r="79" spans="1:12" x14ac:dyDescent="0.25">
      <c r="A79" s="38">
        <f>Données!A79</f>
        <v>5529</v>
      </c>
      <c r="B79" s="168" t="str">
        <f>Données!B79</f>
        <v>Oulens-sous-Echallens</v>
      </c>
      <c r="C79" s="348">
        <f>VPI!R79</f>
        <v>22677.013380281693</v>
      </c>
      <c r="D79" s="206">
        <f>(PCS!I85-PCS!F85)/C79</f>
        <v>11.649011238089878</v>
      </c>
      <c r="E79" s="505">
        <f>'Péréquation directe'!E85/C79</f>
        <v>-3.4479245780545194</v>
      </c>
      <c r="F79" s="206">
        <f>'Péréquation directe'!F85/Effort!C79</f>
        <v>-5.933740054853593</v>
      </c>
      <c r="G79" s="206">
        <f>'Péréquation directe'!G85/Effort!C79</f>
        <v>0</v>
      </c>
      <c r="H79" s="206">
        <f>'Péréquation directe'!J85/Effort!C79</f>
        <v>19.207162141841813</v>
      </c>
      <c r="I79" s="371">
        <f t="shared" si="3"/>
        <v>21.474508747023577</v>
      </c>
      <c r="J79" s="223">
        <f t="shared" si="4"/>
        <v>0</v>
      </c>
      <c r="K79" s="42">
        <f t="shared" si="5"/>
        <v>0</v>
      </c>
      <c r="L79" s="237"/>
    </row>
    <row r="80" spans="1:12" x14ac:dyDescent="0.25">
      <c r="A80" s="38">
        <f>Données!A80</f>
        <v>5530</v>
      </c>
      <c r="B80" s="168" t="str">
        <f>Données!B80</f>
        <v>Pailly</v>
      </c>
      <c r="C80" s="348">
        <f>VPI!R80</f>
        <v>20112.17390350877</v>
      </c>
      <c r="D80" s="206">
        <f>(PCS!I86-PCS!F86)/C80</f>
        <v>11.649011238089875</v>
      </c>
      <c r="E80" s="505">
        <f>'Péréquation directe'!E86/C80</f>
        <v>-3.6310180265115664</v>
      </c>
      <c r="F80" s="206">
        <f>'Péréquation directe'!F86/Effort!C80</f>
        <v>-8.3858286484398619</v>
      </c>
      <c r="G80" s="206">
        <f>'Péréquation directe'!G86/Effort!C80</f>
        <v>0</v>
      </c>
      <c r="H80" s="206">
        <f>'Péréquation directe'!J86/Effort!C80</f>
        <v>19.207162141841813</v>
      </c>
      <c r="I80" s="371">
        <f t="shared" si="3"/>
        <v>18.839326704980259</v>
      </c>
      <c r="J80" s="223">
        <f t="shared" si="4"/>
        <v>0</v>
      </c>
      <c r="K80" s="42">
        <f t="shared" si="5"/>
        <v>0</v>
      </c>
      <c r="L80" s="237"/>
    </row>
    <row r="81" spans="1:12" x14ac:dyDescent="0.25">
      <c r="A81" s="38">
        <f>Données!A81</f>
        <v>5531</v>
      </c>
      <c r="B81" s="168" t="str">
        <f>Données!B81</f>
        <v>Penthéréaz</v>
      </c>
      <c r="C81" s="348">
        <f>VPI!R81</f>
        <v>17299.306216216217</v>
      </c>
      <c r="D81" s="206">
        <f>(PCS!I87-PCS!F87)/C81</f>
        <v>11.649011238089876</v>
      </c>
      <c r="E81" s="505">
        <f>'Péréquation directe'!E87/C81</f>
        <v>-3.2294621547308386</v>
      </c>
      <c r="F81" s="206">
        <f>'Péréquation directe'!F87/Effort!C81</f>
        <v>-4.6506459477210855</v>
      </c>
      <c r="G81" s="206">
        <f>'Péréquation directe'!G87/Effort!C81</f>
        <v>0</v>
      </c>
      <c r="H81" s="206">
        <f>'Péréquation directe'!J87/Effort!C81</f>
        <v>19.207162141841813</v>
      </c>
      <c r="I81" s="371">
        <f t="shared" si="3"/>
        <v>22.976065277479766</v>
      </c>
      <c r="J81" s="223">
        <f t="shared" si="4"/>
        <v>0</v>
      </c>
      <c r="K81" s="42">
        <f t="shared" si="5"/>
        <v>0</v>
      </c>
      <c r="L81" s="237"/>
    </row>
    <row r="82" spans="1:12" x14ac:dyDescent="0.25">
      <c r="A82" s="38">
        <f>Données!A82</f>
        <v>5533</v>
      </c>
      <c r="B82" s="168" t="str">
        <f>Données!B82</f>
        <v>Poliez-Pittet</v>
      </c>
      <c r="C82" s="348">
        <f>VPI!R82</f>
        <v>28012.381095890411</v>
      </c>
      <c r="D82" s="206">
        <f>(PCS!I88-PCS!F88)/C82</f>
        <v>11.649011238089876</v>
      </c>
      <c r="E82" s="505">
        <f>'Péréquation directe'!E88/C82</f>
        <v>-3.9012553174302589</v>
      </c>
      <c r="F82" s="206">
        <f>'Péréquation directe'!F88/Effort!C82</f>
        <v>-9.8978170049757672</v>
      </c>
      <c r="G82" s="206">
        <f>'Péréquation directe'!G88/Effort!C82</f>
        <v>0</v>
      </c>
      <c r="H82" s="206">
        <f>'Péréquation directe'!J88/Effort!C82</f>
        <v>19.20716214184181</v>
      </c>
      <c r="I82" s="371">
        <f t="shared" si="3"/>
        <v>17.05710105752566</v>
      </c>
      <c r="J82" s="223">
        <f t="shared" si="4"/>
        <v>0</v>
      </c>
      <c r="K82" s="42">
        <f t="shared" si="5"/>
        <v>0</v>
      </c>
      <c r="L82" s="237"/>
    </row>
    <row r="83" spans="1:12" x14ac:dyDescent="0.25">
      <c r="A83" s="38">
        <f>Données!A83</f>
        <v>5534</v>
      </c>
      <c r="B83" s="168" t="str">
        <f>Données!B83</f>
        <v>Rueyres</v>
      </c>
      <c r="C83" s="348">
        <f>VPI!R83</f>
        <v>15042.055228310503</v>
      </c>
      <c r="D83" s="206">
        <f>(PCS!I89-PCS!F89)/C83</f>
        <v>12.002517787810101</v>
      </c>
      <c r="E83" s="505">
        <f>'Péréquation directe'!E89/C83</f>
        <v>-2.5990009544568884</v>
      </c>
      <c r="F83" s="206">
        <f>'Péréquation directe'!F89/Effort!C83</f>
        <v>0</v>
      </c>
      <c r="G83" s="206">
        <f>'Péréquation directe'!G89/Effort!C83</f>
        <v>0</v>
      </c>
      <c r="H83" s="206">
        <f>'Péréquation directe'!J89/Effort!C83</f>
        <v>19.207162141841813</v>
      </c>
      <c r="I83" s="371">
        <f t="shared" si="3"/>
        <v>28.610678975195025</v>
      </c>
      <c r="J83" s="223">
        <f t="shared" si="4"/>
        <v>0</v>
      </c>
      <c r="K83" s="42">
        <f t="shared" si="5"/>
        <v>0</v>
      </c>
      <c r="L83" s="237"/>
    </row>
    <row r="84" spans="1:12" x14ac:dyDescent="0.25">
      <c r="A84" s="38">
        <f>Données!A84</f>
        <v>5535</v>
      </c>
      <c r="B84" s="168" t="str">
        <f>Données!B84</f>
        <v>Saint-Barthélemy</v>
      </c>
      <c r="C84" s="348">
        <f>VPI!R84</f>
        <v>25488.94373333333</v>
      </c>
      <c r="D84" s="206">
        <f>(PCS!I90-PCS!F90)/C84</f>
        <v>11.649011238089876</v>
      </c>
      <c r="E84" s="505">
        <f>'Péréquation directe'!E90/C84</f>
        <v>-4.1204396314859153</v>
      </c>
      <c r="F84" s="206">
        <f>'Péréquation directe'!F90/Effort!C84</f>
        <v>-12.297661461481834</v>
      </c>
      <c r="G84" s="206">
        <f>'Péréquation directe'!G90/Effort!C84</f>
        <v>0</v>
      </c>
      <c r="H84" s="206">
        <f>'Péréquation directe'!J90/Effort!C84</f>
        <v>19.207162141841813</v>
      </c>
      <c r="I84" s="371">
        <f t="shared" si="3"/>
        <v>14.438072286963941</v>
      </c>
      <c r="J84" s="223">
        <f t="shared" si="4"/>
        <v>0</v>
      </c>
      <c r="K84" s="42">
        <f t="shared" si="5"/>
        <v>0</v>
      </c>
      <c r="L84" s="237"/>
    </row>
    <row r="85" spans="1:12" x14ac:dyDescent="0.25">
      <c r="A85" s="38">
        <f>Données!A85</f>
        <v>5537</v>
      </c>
      <c r="B85" s="168" t="str">
        <f>Données!B85</f>
        <v>Villars-le-Terroir</v>
      </c>
      <c r="C85" s="348">
        <f>VPI!R85</f>
        <v>39164.122763157902</v>
      </c>
      <c r="D85" s="206">
        <f>(PCS!I91-PCS!F91)/C85</f>
        <v>11.649011238089876</v>
      </c>
      <c r="E85" s="505">
        <f>'Péréquation directe'!E91/C85</f>
        <v>-6.1540278604790144</v>
      </c>
      <c r="F85" s="206">
        <f>'Péréquation directe'!F91/Effort!C85</f>
        <v>-14.320389558305505</v>
      </c>
      <c r="G85" s="206">
        <f>'Péréquation directe'!G91/Effort!C85</f>
        <v>0</v>
      </c>
      <c r="H85" s="206">
        <f>'Péréquation directe'!J91/Effort!C85</f>
        <v>19.207162141841813</v>
      </c>
      <c r="I85" s="371">
        <f t="shared" si="3"/>
        <v>10.381755961147171</v>
      </c>
      <c r="J85" s="223">
        <f t="shared" si="4"/>
        <v>0</v>
      </c>
      <c r="K85" s="42">
        <f t="shared" si="5"/>
        <v>0</v>
      </c>
      <c r="L85" s="237"/>
    </row>
    <row r="86" spans="1:12" x14ac:dyDescent="0.25">
      <c r="A86" s="38">
        <f>Données!A86</f>
        <v>5539</v>
      </c>
      <c r="B86" s="168" t="str">
        <f>Données!B86</f>
        <v>Vuarrens</v>
      </c>
      <c r="C86" s="348">
        <f>VPI!R86</f>
        <v>34442.458945578233</v>
      </c>
      <c r="D86" s="206">
        <f>(PCS!I92-PCS!F92)/C86</f>
        <v>11.649011238089876</v>
      </c>
      <c r="E86" s="505">
        <f>'Péréquation directe'!E92/C86</f>
        <v>-4.8579142195037415</v>
      </c>
      <c r="F86" s="206">
        <f>'Péréquation directe'!F92/Effort!C86</f>
        <v>-11.994875793903553</v>
      </c>
      <c r="G86" s="206">
        <f>'Péréquation directe'!G92/Effort!C86</f>
        <v>0</v>
      </c>
      <c r="H86" s="206">
        <f>'Péréquation directe'!J92/Effort!C86</f>
        <v>19.207162141841813</v>
      </c>
      <c r="I86" s="371">
        <f t="shared" si="3"/>
        <v>14.003383366524396</v>
      </c>
      <c r="J86" s="223">
        <f t="shared" si="4"/>
        <v>0</v>
      </c>
      <c r="K86" s="42">
        <f t="shared" si="5"/>
        <v>0</v>
      </c>
      <c r="L86" s="237"/>
    </row>
    <row r="87" spans="1:12" x14ac:dyDescent="0.25">
      <c r="A87" s="38">
        <f>Données!A87</f>
        <v>5540</v>
      </c>
      <c r="B87" s="168" t="str">
        <f>Données!B87</f>
        <v>Montilliez</v>
      </c>
      <c r="C87" s="348">
        <f>VPI!R87</f>
        <v>67464.467689655183</v>
      </c>
      <c r="D87" s="206">
        <f>(PCS!I93-PCS!F93)/C87</f>
        <v>11.649011238089876</v>
      </c>
      <c r="E87" s="505">
        <f>'Péréquation directe'!E93/C87</f>
        <v>-6.7051392740897908</v>
      </c>
      <c r="F87" s="206">
        <f>'Péréquation directe'!F93/Effort!C87</f>
        <v>-7.5769944206711415</v>
      </c>
      <c r="G87" s="206">
        <f>'Péréquation directe'!G93/Effort!C87</f>
        <v>0</v>
      </c>
      <c r="H87" s="206">
        <f>'Péréquation directe'!J93/Effort!C87</f>
        <v>19.207162141841813</v>
      </c>
      <c r="I87" s="371">
        <f t="shared" si="3"/>
        <v>16.574039685170757</v>
      </c>
      <c r="J87" s="223">
        <f t="shared" si="4"/>
        <v>0</v>
      </c>
      <c r="K87" s="42">
        <f t="shared" si="5"/>
        <v>0</v>
      </c>
      <c r="L87" s="237"/>
    </row>
    <row r="88" spans="1:12" x14ac:dyDescent="0.25">
      <c r="A88" s="38">
        <f>Données!A88</f>
        <v>5541</v>
      </c>
      <c r="B88" s="168" t="str">
        <f>Données!B88</f>
        <v>Goumoëns</v>
      </c>
      <c r="C88" s="348">
        <f>VPI!R88</f>
        <v>41726.211258278148</v>
      </c>
      <c r="D88" s="206">
        <f>(PCS!I94-PCS!F94)/C88</f>
        <v>11.649011238089878</v>
      </c>
      <c r="E88" s="505">
        <f>'Péréquation directe'!E94/C88</f>
        <v>-4.6073192379044645</v>
      </c>
      <c r="F88" s="206">
        <f>'Péréquation directe'!F94/Effort!C88</f>
        <v>-8.2952738941580773</v>
      </c>
      <c r="G88" s="206">
        <f>'Péréquation directe'!G94/Effort!C88</f>
        <v>0</v>
      </c>
      <c r="H88" s="206">
        <f>'Péréquation directe'!J94/Effort!C88</f>
        <v>19.207162141841813</v>
      </c>
      <c r="I88" s="371">
        <f t="shared" si="3"/>
        <v>17.953580247869148</v>
      </c>
      <c r="J88" s="223">
        <f t="shared" si="4"/>
        <v>0</v>
      </c>
      <c r="K88" s="42">
        <f t="shared" si="5"/>
        <v>0</v>
      </c>
      <c r="L88" s="237"/>
    </row>
    <row r="89" spans="1:12" x14ac:dyDescent="0.25">
      <c r="A89" s="38">
        <f>Données!A89</f>
        <v>5551</v>
      </c>
      <c r="B89" s="168" t="str">
        <f>Données!B89</f>
        <v>Bonvillars</v>
      </c>
      <c r="C89" s="348">
        <f>VPI!R89</f>
        <v>18575.023035714283</v>
      </c>
      <c r="D89" s="206">
        <f>(PCS!I95-PCS!F95)/C89</f>
        <v>11.649011238089878</v>
      </c>
      <c r="E89" s="505">
        <f>'Péréquation directe'!E95/C89</f>
        <v>-3.4800008837238647</v>
      </c>
      <c r="F89" s="206">
        <f>'Péréquation directe'!F95/Effort!C89</f>
        <v>-3.8423166652249683</v>
      </c>
      <c r="G89" s="206">
        <f>'Péréquation directe'!G95/Effort!C89</f>
        <v>0</v>
      </c>
      <c r="H89" s="206">
        <f>'Péréquation directe'!J95/Effort!C89</f>
        <v>19.207162141841813</v>
      </c>
      <c r="I89" s="371">
        <f t="shared" si="3"/>
        <v>23.533855830982858</v>
      </c>
      <c r="J89" s="223">
        <f t="shared" si="4"/>
        <v>0</v>
      </c>
      <c r="K89" s="42">
        <f t="shared" si="5"/>
        <v>0</v>
      </c>
      <c r="L89" s="237"/>
    </row>
    <row r="90" spans="1:12" x14ac:dyDescent="0.25">
      <c r="A90" s="38">
        <f>Données!A90</f>
        <v>5552</v>
      </c>
      <c r="B90" s="168" t="str">
        <f>Données!B90</f>
        <v>Bullet</v>
      </c>
      <c r="C90" s="348">
        <f>VPI!R90</f>
        <v>19038.952167832165</v>
      </c>
      <c r="D90" s="206">
        <f>(PCS!I96-PCS!F96)/C90</f>
        <v>11.649011238089878</v>
      </c>
      <c r="E90" s="505">
        <f>'Péréquation directe'!E96/C90</f>
        <v>-4.4117300978241305</v>
      </c>
      <c r="F90" s="206">
        <f>'Péréquation directe'!F96/Effort!C90</f>
        <v>-13.411232845055387</v>
      </c>
      <c r="G90" s="206">
        <f>'Péréquation directe'!G96/Effort!C90</f>
        <v>0</v>
      </c>
      <c r="H90" s="206">
        <f>'Péréquation directe'!J96/Effort!C90</f>
        <v>19.207162141841813</v>
      </c>
      <c r="I90" s="371">
        <f t="shared" si="3"/>
        <v>13.033210437052173</v>
      </c>
      <c r="J90" s="223">
        <f t="shared" si="4"/>
        <v>0</v>
      </c>
      <c r="K90" s="42">
        <f t="shared" si="5"/>
        <v>0</v>
      </c>
      <c r="L90" s="237"/>
    </row>
    <row r="91" spans="1:12" x14ac:dyDescent="0.25">
      <c r="A91" s="38">
        <f>Données!A91</f>
        <v>5553</v>
      </c>
      <c r="B91" s="168" t="str">
        <f>Données!B91</f>
        <v>Champagne</v>
      </c>
      <c r="C91" s="348">
        <f>VPI!R91</f>
        <v>38263.796923076923</v>
      </c>
      <c r="D91" s="206">
        <f>(PCS!I97-PCS!F97)/C91</f>
        <v>11.649011238089875</v>
      </c>
      <c r="E91" s="505">
        <f>'Péréquation directe'!E97/C91</f>
        <v>-4.0989594111196714</v>
      </c>
      <c r="F91" s="206">
        <f>'Péréquation directe'!F97/Effort!C91</f>
        <v>-6.1377472386826604</v>
      </c>
      <c r="G91" s="206">
        <f>'Péréquation directe'!G97/Effort!C91</f>
        <v>0</v>
      </c>
      <c r="H91" s="206">
        <f>'Péréquation directe'!J97/Effort!C91</f>
        <v>19.207162141841813</v>
      </c>
      <c r="I91" s="371">
        <f t="shared" si="3"/>
        <v>20.619466730129357</v>
      </c>
      <c r="J91" s="223">
        <f t="shared" si="4"/>
        <v>0</v>
      </c>
      <c r="K91" s="42">
        <f t="shared" si="5"/>
        <v>0</v>
      </c>
      <c r="L91" s="237"/>
    </row>
    <row r="92" spans="1:12" x14ac:dyDescent="0.25">
      <c r="A92" s="38">
        <f>Données!A92</f>
        <v>5554</v>
      </c>
      <c r="B92" s="168" t="str">
        <f>Données!B92</f>
        <v>Concise</v>
      </c>
      <c r="C92" s="348">
        <f>VPI!R92</f>
        <v>33907.166000000005</v>
      </c>
      <c r="D92" s="206">
        <f>(PCS!I98-PCS!F98)/C92</f>
        <v>11.649011238089876</v>
      </c>
      <c r="E92" s="505">
        <f>'Péréquation directe'!E98/C92</f>
        <v>-3.8265268197431435</v>
      </c>
      <c r="F92" s="206">
        <f>'Péréquation directe'!F98/Effort!C92</f>
        <v>-9.7012044384332938</v>
      </c>
      <c r="G92" s="206">
        <f>'Péréquation directe'!G98/Effort!C92</f>
        <v>0</v>
      </c>
      <c r="H92" s="206">
        <f>'Péréquation directe'!J98/Effort!C92</f>
        <v>19.207162141841813</v>
      </c>
      <c r="I92" s="371">
        <f t="shared" si="3"/>
        <v>17.328442121755252</v>
      </c>
      <c r="J92" s="223">
        <f t="shared" si="4"/>
        <v>0</v>
      </c>
      <c r="K92" s="42">
        <f t="shared" si="5"/>
        <v>0</v>
      </c>
      <c r="L92" s="237"/>
    </row>
    <row r="93" spans="1:12" x14ac:dyDescent="0.25">
      <c r="A93" s="38">
        <f>Données!A93</f>
        <v>5555</v>
      </c>
      <c r="B93" s="168" t="str">
        <f>Données!B93</f>
        <v>Corcelles-près-Concise</v>
      </c>
      <c r="C93" s="348">
        <f>VPI!R93</f>
        <v>13425.201594202899</v>
      </c>
      <c r="D93" s="206">
        <f>(PCS!I99-PCS!F99)/C93</f>
        <v>11.649011238089876</v>
      </c>
      <c r="E93" s="505">
        <f>'Péréquation directe'!E99/C93</f>
        <v>-3.9595642056556293</v>
      </c>
      <c r="F93" s="206">
        <f>'Péréquation directe'!F99/Effort!C93</f>
        <v>-9.2594131538221696</v>
      </c>
      <c r="G93" s="206">
        <f>'Péréquation directe'!G99/Effort!C93</f>
        <v>0</v>
      </c>
      <c r="H93" s="206">
        <f>'Péréquation directe'!J99/Effort!C93</f>
        <v>19.207162141841813</v>
      </c>
      <c r="I93" s="371">
        <f t="shared" si="3"/>
        <v>17.637196020453892</v>
      </c>
      <c r="J93" s="223">
        <f t="shared" si="4"/>
        <v>0</v>
      </c>
      <c r="K93" s="42">
        <f t="shared" si="5"/>
        <v>0</v>
      </c>
      <c r="L93" s="237"/>
    </row>
    <row r="94" spans="1:12" x14ac:dyDescent="0.25">
      <c r="A94" s="38">
        <f>Données!A94</f>
        <v>5556</v>
      </c>
      <c r="B94" s="168" t="str">
        <f>Données!B94</f>
        <v>Fiez</v>
      </c>
      <c r="C94" s="348">
        <f>VPI!R94</f>
        <v>13304.241787439612</v>
      </c>
      <c r="D94" s="206">
        <f>(PCS!I100-PCS!F100)/C94</f>
        <v>11.649011238089878</v>
      </c>
      <c r="E94" s="505">
        <f>'Péréquation directe'!E100/C94</f>
        <v>-4.2283151540501267</v>
      </c>
      <c r="F94" s="206">
        <f>'Péréquation directe'!F100/Effort!C94</f>
        <v>-11.179425834287738</v>
      </c>
      <c r="G94" s="206">
        <f>'Péréquation directe'!G100/Effort!C94</f>
        <v>0</v>
      </c>
      <c r="H94" s="206">
        <f>'Péréquation directe'!J100/Effort!C94</f>
        <v>19.207162141841813</v>
      </c>
      <c r="I94" s="371">
        <f t="shared" si="3"/>
        <v>15.448432391593826</v>
      </c>
      <c r="J94" s="223">
        <f t="shared" si="4"/>
        <v>0</v>
      </c>
      <c r="K94" s="42">
        <f t="shared" si="5"/>
        <v>0</v>
      </c>
      <c r="L94" s="237"/>
    </row>
    <row r="95" spans="1:12" x14ac:dyDescent="0.25">
      <c r="A95" s="38">
        <f>Données!A95</f>
        <v>5557</v>
      </c>
      <c r="B95" s="168" t="str">
        <f>Données!B95</f>
        <v>Fontaines-sur-Grandson</v>
      </c>
      <c r="C95" s="348">
        <f>VPI!R95</f>
        <v>5098.7534782608691</v>
      </c>
      <c r="D95" s="206">
        <f>(PCS!I101-PCS!F101)/C95</f>
        <v>11.649011238089875</v>
      </c>
      <c r="E95" s="505">
        <f>'Péréquation directe'!E101/C95</f>
        <v>-5.4152778948296874</v>
      </c>
      <c r="F95" s="206">
        <f>'Péréquation directe'!F101/Effort!C95</f>
        <v>-19.6593345644762</v>
      </c>
      <c r="G95" s="206">
        <f>'Péréquation directe'!G101/Effort!C95</f>
        <v>0</v>
      </c>
      <c r="H95" s="206">
        <f>'Péréquation directe'!J101/Effort!C95</f>
        <v>19.207162141841813</v>
      </c>
      <c r="I95" s="371">
        <f t="shared" si="3"/>
        <v>5.7815609206258003</v>
      </c>
      <c r="J95" s="223">
        <f t="shared" si="4"/>
        <v>0</v>
      </c>
      <c r="K95" s="42">
        <f t="shared" si="5"/>
        <v>0</v>
      </c>
      <c r="L95" s="237"/>
    </row>
    <row r="96" spans="1:12" x14ac:dyDescent="0.25">
      <c r="A96" s="38">
        <f>Données!A96</f>
        <v>5559</v>
      </c>
      <c r="B96" s="168" t="str">
        <f>Données!B96</f>
        <v>Giez</v>
      </c>
      <c r="C96" s="348">
        <f>VPI!R96</f>
        <v>21011.030606060605</v>
      </c>
      <c r="D96" s="206">
        <f>(PCS!I102-PCS!F102)/C96</f>
        <v>11.649011238089876</v>
      </c>
      <c r="E96" s="505">
        <f>'Péréquation directe'!E102/C96</f>
        <v>-2.7633516070553572</v>
      </c>
      <c r="F96" s="206">
        <f>'Péréquation directe'!F102/Effort!C96</f>
        <v>-0.65273348462670933</v>
      </c>
      <c r="G96" s="206">
        <f>'Péréquation directe'!G102/Effort!C96</f>
        <v>0</v>
      </c>
      <c r="H96" s="206">
        <f>'Péréquation directe'!J102/Effort!C96</f>
        <v>19.207162141841813</v>
      </c>
      <c r="I96" s="371">
        <f t="shared" si="3"/>
        <v>27.440088288249623</v>
      </c>
      <c r="J96" s="223">
        <f t="shared" si="4"/>
        <v>0</v>
      </c>
      <c r="K96" s="42">
        <f t="shared" si="5"/>
        <v>0</v>
      </c>
      <c r="L96" s="237"/>
    </row>
    <row r="97" spans="1:12" x14ac:dyDescent="0.25">
      <c r="A97" s="38">
        <f>Données!A97</f>
        <v>5560</v>
      </c>
      <c r="B97" s="168" t="str">
        <f>Données!B97</f>
        <v>Grandevent</v>
      </c>
      <c r="C97" s="348">
        <f>VPI!R97</f>
        <v>8996.1449295774655</v>
      </c>
      <c r="D97" s="206">
        <f>(PCS!I103-PCS!F103)/C97</f>
        <v>11.649011238089876</v>
      </c>
      <c r="E97" s="505">
        <f>'Péréquation directe'!E103/C97</f>
        <v>-3.3990917858012155</v>
      </c>
      <c r="F97" s="206">
        <f>'Péréquation directe'!F103/Effort!C97</f>
        <v>-5.5643508789360903</v>
      </c>
      <c r="G97" s="206">
        <f>'Péréquation directe'!G103/Effort!C97</f>
        <v>0</v>
      </c>
      <c r="H97" s="206">
        <f>'Péréquation directe'!J103/Effort!C97</f>
        <v>19.207162141841813</v>
      </c>
      <c r="I97" s="371">
        <f t="shared" si="3"/>
        <v>21.892730715194386</v>
      </c>
      <c r="J97" s="223">
        <f t="shared" si="4"/>
        <v>0</v>
      </c>
      <c r="K97" s="42">
        <f t="shared" si="5"/>
        <v>0</v>
      </c>
      <c r="L97" s="237"/>
    </row>
    <row r="98" spans="1:12" x14ac:dyDescent="0.25">
      <c r="A98" s="38">
        <f>Données!A98</f>
        <v>5561</v>
      </c>
      <c r="B98" s="168" t="str">
        <f>Données!B98</f>
        <v>Grandson</v>
      </c>
      <c r="C98" s="348">
        <f>VPI!R98</f>
        <v>132376.08594202899</v>
      </c>
      <c r="D98" s="206">
        <f>(PCS!I104-PCS!F104)/C98</f>
        <v>11.649011238089876</v>
      </c>
      <c r="E98" s="505">
        <f>'Péréquation directe'!E104/C98</f>
        <v>-7.8325176393496987</v>
      </c>
      <c r="F98" s="206">
        <f>'Péréquation directe'!F104/Effort!C98</f>
        <v>-4.3612111328278882</v>
      </c>
      <c r="G98" s="206">
        <f>'Péréquation directe'!G104/Effort!C98</f>
        <v>0</v>
      </c>
      <c r="H98" s="206">
        <f>'Péréquation directe'!J104/Effort!C98</f>
        <v>19.207162141841813</v>
      </c>
      <c r="I98" s="371">
        <f t="shared" si="3"/>
        <v>18.662444607754104</v>
      </c>
      <c r="J98" s="223">
        <f t="shared" si="4"/>
        <v>0</v>
      </c>
      <c r="K98" s="42">
        <f t="shared" si="5"/>
        <v>0</v>
      </c>
      <c r="L98" s="237"/>
    </row>
    <row r="99" spans="1:12" x14ac:dyDescent="0.25">
      <c r="A99" s="38">
        <f>Données!A99</f>
        <v>5562</v>
      </c>
      <c r="B99" s="168" t="str">
        <f>Données!B99</f>
        <v>Mauborget</v>
      </c>
      <c r="C99" s="348">
        <f>VPI!R99</f>
        <v>4559.8505476190467</v>
      </c>
      <c r="D99" s="206">
        <f>(PCS!I105-PCS!F105)/C99</f>
        <v>11.649011238089876</v>
      </c>
      <c r="E99" s="505">
        <f>'Péréquation directe'!E105/C99</f>
        <v>-3.9048060470422361</v>
      </c>
      <c r="F99" s="206">
        <f>'Péréquation directe'!F105/Effort!C99</f>
        <v>-9.1271217059706728</v>
      </c>
      <c r="G99" s="206">
        <f>'Péréquation directe'!G105/Effort!C99</f>
        <v>0</v>
      </c>
      <c r="H99" s="206">
        <f>'Péréquation directe'!J105/Effort!C99</f>
        <v>19.207162141841813</v>
      </c>
      <c r="I99" s="371">
        <f t="shared" si="3"/>
        <v>17.824245626918781</v>
      </c>
      <c r="J99" s="223">
        <f t="shared" si="4"/>
        <v>0</v>
      </c>
      <c r="K99" s="42">
        <f t="shared" si="5"/>
        <v>0</v>
      </c>
      <c r="L99" s="237"/>
    </row>
    <row r="100" spans="1:12" x14ac:dyDescent="0.25">
      <c r="A100" s="38">
        <f>Données!A100</f>
        <v>5563</v>
      </c>
      <c r="B100" s="168" t="str">
        <f>Données!B100</f>
        <v>Mutrux</v>
      </c>
      <c r="C100" s="348">
        <f>VPI!R100</f>
        <v>2282.3142499999999</v>
      </c>
      <c r="D100" s="206">
        <f>(PCS!I106-PCS!F106)/C100</f>
        <v>11.649011238089878</v>
      </c>
      <c r="E100" s="505">
        <f>'Péréquation directe'!E106/C100</f>
        <v>-8.5363555326579181</v>
      </c>
      <c r="F100" s="206">
        <f>'Péréquation directe'!F106/Effort!C100</f>
        <v>-56.400873699631184</v>
      </c>
      <c r="G100" s="206">
        <f>'Péréquation directe'!G106/Effort!C100</f>
        <v>0</v>
      </c>
      <c r="H100" s="206">
        <f>'Péréquation directe'!J106/Effort!C100</f>
        <v>19.207162141841813</v>
      </c>
      <c r="I100" s="371">
        <f t="shared" si="3"/>
        <v>-34.081055852357409</v>
      </c>
      <c r="J100" s="223">
        <f t="shared" si="4"/>
        <v>0</v>
      </c>
      <c r="K100" s="42">
        <f t="shared" si="5"/>
        <v>0</v>
      </c>
      <c r="L100" s="237"/>
    </row>
    <row r="101" spans="1:12" x14ac:dyDescent="0.25">
      <c r="A101" s="38">
        <f>Données!A101</f>
        <v>5564</v>
      </c>
      <c r="B101" s="168" t="str">
        <f>Données!B101</f>
        <v>Novalles</v>
      </c>
      <c r="C101" s="348">
        <f>VPI!R101</f>
        <v>2548.8725328947371</v>
      </c>
      <c r="D101" s="206">
        <f>(PCS!I107-PCS!F107)/C101</f>
        <v>11.649011238089876</v>
      </c>
      <c r="E101" s="505">
        <f>'Péréquation directe'!E107/C101</f>
        <v>-5.0113884383012515</v>
      </c>
      <c r="F101" s="206">
        <f>'Péréquation directe'!F107/Effort!C101</f>
        <v>-20.349892885326163</v>
      </c>
      <c r="G101" s="206">
        <f>'Péréquation directe'!G107/Effort!C101</f>
        <v>0</v>
      </c>
      <c r="H101" s="206">
        <f>'Péréquation directe'!J107/Effort!C101</f>
        <v>19.207162141841813</v>
      </c>
      <c r="I101" s="371">
        <f t="shared" si="3"/>
        <v>5.4948920563042751</v>
      </c>
      <c r="J101" s="223">
        <f t="shared" si="4"/>
        <v>0</v>
      </c>
      <c r="K101" s="42">
        <f t="shared" si="5"/>
        <v>0</v>
      </c>
      <c r="L101" s="237"/>
    </row>
    <row r="102" spans="1:12" x14ac:dyDescent="0.25">
      <c r="A102" s="38">
        <f>Données!A102</f>
        <v>5565</v>
      </c>
      <c r="B102" s="168" t="str">
        <f>Données!B102</f>
        <v>Onnens</v>
      </c>
      <c r="C102" s="348">
        <f>VPI!R102</f>
        <v>11658.700944881888</v>
      </c>
      <c r="D102" s="206">
        <f>(PCS!I108-PCS!F108)/C102</f>
        <v>11.649011238089873</v>
      </c>
      <c r="E102" s="505">
        <f>'Péréquation directe'!E108/C102</f>
        <v>-5.4891171973344663</v>
      </c>
      <c r="F102" s="206">
        <f>'Péréquation directe'!F108/Effort!C102</f>
        <v>-17.096924548063722</v>
      </c>
      <c r="G102" s="206">
        <f>'Péréquation directe'!G108/Effort!C102</f>
        <v>0</v>
      </c>
      <c r="H102" s="206">
        <f>'Péréquation directe'!J108/Effort!C102</f>
        <v>19.207162141841813</v>
      </c>
      <c r="I102" s="371">
        <f t="shared" si="3"/>
        <v>8.2701316345334988</v>
      </c>
      <c r="J102" s="223">
        <f t="shared" si="4"/>
        <v>0</v>
      </c>
      <c r="K102" s="42">
        <f t="shared" si="5"/>
        <v>0</v>
      </c>
      <c r="L102" s="237"/>
    </row>
    <row r="103" spans="1:12" x14ac:dyDescent="0.25">
      <c r="A103" s="38">
        <f>Données!A103</f>
        <v>5566</v>
      </c>
      <c r="B103" s="168" t="str">
        <f>Données!B103</f>
        <v>Provence</v>
      </c>
      <c r="C103" s="348">
        <f>VPI!R103</f>
        <v>8528.9197942386818</v>
      </c>
      <c r="D103" s="206">
        <f>(PCS!I109-PCS!F109)/C103</f>
        <v>11.649011238089878</v>
      </c>
      <c r="E103" s="505">
        <f>'Péréquation directe'!E109/C103</f>
        <v>-6.0965200326327071</v>
      </c>
      <c r="F103" s="206">
        <f>'Péréquation directe'!F109/Effort!C103</f>
        <v>-33.798962020043056</v>
      </c>
      <c r="G103" s="206">
        <f>'Péréquation directe'!G109/Effort!C103</f>
        <v>0</v>
      </c>
      <c r="H103" s="206">
        <f>'Péréquation directe'!J109/Effort!C103</f>
        <v>19.207162141841813</v>
      </c>
      <c r="I103" s="371">
        <f t="shared" si="3"/>
        <v>-9.0393086727440703</v>
      </c>
      <c r="J103" s="223">
        <f t="shared" si="4"/>
        <v>0</v>
      </c>
      <c r="K103" s="42">
        <f t="shared" si="5"/>
        <v>0</v>
      </c>
      <c r="L103" s="237"/>
    </row>
    <row r="104" spans="1:12" x14ac:dyDescent="0.25">
      <c r="A104" s="38">
        <f>Données!A104</f>
        <v>5568</v>
      </c>
      <c r="B104" s="168" t="str">
        <f>Données!B104</f>
        <v>Sainte-Croix</v>
      </c>
      <c r="C104" s="348">
        <f>VPI!R104</f>
        <v>106004.96942857141</v>
      </c>
      <c r="D104" s="206">
        <f>(PCS!I110-PCS!F110)/C104</f>
        <v>11.649011238089878</v>
      </c>
      <c r="E104" s="505">
        <f>'Péréquation directe'!E110/C104</f>
        <v>-17.132629469817768</v>
      </c>
      <c r="F104" s="206">
        <f>'Péréquation directe'!F110/Effort!C104</f>
        <v>-23.990827263971887</v>
      </c>
      <c r="G104" s="206">
        <f>'Péréquation directe'!G110/Effort!C104</f>
        <v>0</v>
      </c>
      <c r="H104" s="206">
        <f>'Péréquation directe'!J110/Effort!C104</f>
        <v>19.207162141841813</v>
      </c>
      <c r="I104" s="371">
        <f t="shared" si="3"/>
        <v>-10.267283353857962</v>
      </c>
      <c r="J104" s="223">
        <f t="shared" si="4"/>
        <v>0</v>
      </c>
      <c r="K104" s="42">
        <f t="shared" si="5"/>
        <v>0</v>
      </c>
      <c r="L104" s="237"/>
    </row>
    <row r="105" spans="1:12" x14ac:dyDescent="0.25">
      <c r="A105" s="38">
        <f>Données!A105</f>
        <v>5571</v>
      </c>
      <c r="B105" s="168" t="str">
        <f>Données!B105</f>
        <v>Tévenon</v>
      </c>
      <c r="C105" s="348">
        <f>VPI!R105</f>
        <v>25907.008578088578</v>
      </c>
      <c r="D105" s="206">
        <f>(PCS!I111-PCS!F111)/C105</f>
        <v>11.64901123808988</v>
      </c>
      <c r="E105" s="505">
        <f>'Péréquation directe'!E111/C105</f>
        <v>-4.3179023646991421</v>
      </c>
      <c r="F105" s="206">
        <f>'Péréquation directe'!F111/Effort!C105</f>
        <v>-12.691453769157135</v>
      </c>
      <c r="G105" s="206">
        <f>'Péréquation directe'!G111/Effort!C105</f>
        <v>0</v>
      </c>
      <c r="H105" s="206">
        <f>'Péréquation directe'!J111/Effort!C105</f>
        <v>19.207162141841813</v>
      </c>
      <c r="I105" s="371">
        <f t="shared" si="3"/>
        <v>13.846817246075416</v>
      </c>
      <c r="J105" s="223">
        <f t="shared" si="4"/>
        <v>0</v>
      </c>
      <c r="K105" s="42">
        <f t="shared" si="5"/>
        <v>0</v>
      </c>
      <c r="L105" s="237"/>
    </row>
    <row r="106" spans="1:12" x14ac:dyDescent="0.25">
      <c r="A106" s="38">
        <f>Données!A106</f>
        <v>5581</v>
      </c>
      <c r="B106" s="168" t="str">
        <f>Données!B106</f>
        <v>Belmont-sur-Lausanne</v>
      </c>
      <c r="C106" s="348">
        <f>VPI!R106</f>
        <v>233711.86319444442</v>
      </c>
      <c r="D106" s="206">
        <f>(PCS!I112-PCS!F112)/C106</f>
        <v>14.920534831367753</v>
      </c>
      <c r="E106" s="505">
        <f>'Péréquation directe'!E112/C106</f>
        <v>-5.4941510977991008</v>
      </c>
      <c r="F106" s="206">
        <f>'Péréquation directe'!F112/Effort!C106</f>
        <v>0</v>
      </c>
      <c r="G106" s="206">
        <f>'Péréquation directe'!G112/Effort!C106</f>
        <v>0</v>
      </c>
      <c r="H106" s="206">
        <f>'Péréquation directe'!J112/Effort!C106</f>
        <v>19.20716214184181</v>
      </c>
      <c r="I106" s="371">
        <f t="shared" si="3"/>
        <v>28.633545875410462</v>
      </c>
      <c r="J106" s="223">
        <f t="shared" si="4"/>
        <v>0</v>
      </c>
      <c r="K106" s="42">
        <f t="shared" si="5"/>
        <v>0</v>
      </c>
      <c r="L106" s="237"/>
    </row>
    <row r="107" spans="1:12" x14ac:dyDescent="0.25">
      <c r="A107" s="38">
        <f>Données!A107</f>
        <v>5582</v>
      </c>
      <c r="B107" s="168" t="str">
        <f>Données!B107</f>
        <v>Cheseaux-sur-Lausanne</v>
      </c>
      <c r="C107" s="348">
        <f>VPI!R107</f>
        <v>170428.79082191776</v>
      </c>
      <c r="D107" s="206">
        <f>(PCS!I113-PCS!F113)/C107</f>
        <v>11.649011238089876</v>
      </c>
      <c r="E107" s="505">
        <f>'Péréquation directe'!E113/C107</f>
        <v>-9.620668110655421</v>
      </c>
      <c r="F107" s="206">
        <f>'Péréquation directe'!F113/Effort!C107</f>
        <v>-6.1069603596327626</v>
      </c>
      <c r="G107" s="206">
        <f>'Péréquation directe'!G113/Effort!C107</f>
        <v>0</v>
      </c>
      <c r="H107" s="206">
        <f>'Péréquation directe'!J113/Effort!C107</f>
        <v>19.207162141841813</v>
      </c>
      <c r="I107" s="371">
        <f t="shared" si="3"/>
        <v>15.128544909643505</v>
      </c>
      <c r="J107" s="223">
        <f t="shared" si="4"/>
        <v>0</v>
      </c>
      <c r="K107" s="42">
        <f t="shared" si="5"/>
        <v>0</v>
      </c>
      <c r="L107" s="237"/>
    </row>
    <row r="108" spans="1:12" x14ac:dyDescent="0.25">
      <c r="A108" s="38">
        <f>Données!A108</f>
        <v>5583</v>
      </c>
      <c r="B108" s="168" t="str">
        <f>Données!B108</f>
        <v>Crissier</v>
      </c>
      <c r="C108" s="348">
        <f>VPI!R108</f>
        <v>340496.54456692917</v>
      </c>
      <c r="D108" s="206">
        <f>(PCS!I114-PCS!F114)/C108</f>
        <v>11.649011238089876</v>
      </c>
      <c r="E108" s="505">
        <f>'Péréquation directe'!E114/C108</f>
        <v>-13.2329718436748</v>
      </c>
      <c r="F108" s="206">
        <f>'Péréquation directe'!F114/Effort!C108</f>
        <v>-4.8973886827855475</v>
      </c>
      <c r="G108" s="206">
        <f>'Péréquation directe'!G114/Effort!C108</f>
        <v>0</v>
      </c>
      <c r="H108" s="206">
        <f>'Péréquation directe'!J114/Effort!C108</f>
        <v>19.207162141841813</v>
      </c>
      <c r="I108" s="371">
        <f t="shared" si="3"/>
        <v>12.725812853471343</v>
      </c>
      <c r="J108" s="223">
        <f t="shared" si="4"/>
        <v>0</v>
      </c>
      <c r="K108" s="42">
        <f t="shared" si="5"/>
        <v>0</v>
      </c>
      <c r="L108" s="237"/>
    </row>
    <row r="109" spans="1:12" x14ac:dyDescent="0.25">
      <c r="A109" s="38">
        <f>Données!A109</f>
        <v>5584</v>
      </c>
      <c r="B109" s="168" t="str">
        <f>Données!B109</f>
        <v>Epalinges</v>
      </c>
      <c r="C109" s="348">
        <f>VPI!R109</f>
        <v>489766.22341085278</v>
      </c>
      <c r="D109" s="206">
        <f>(PCS!I115-PCS!F115)/C109</f>
        <v>12.009352871003166</v>
      </c>
      <c r="E109" s="505">
        <f>'Péréquation directe'!E115/C109</f>
        <v>-10.387555120523999</v>
      </c>
      <c r="F109" s="206">
        <f>'Péréquation directe'!F115/Effort!C109</f>
        <v>0</v>
      </c>
      <c r="G109" s="206">
        <f>'Péréquation directe'!G115/Effort!C109</f>
        <v>0</v>
      </c>
      <c r="H109" s="206">
        <f>'Péréquation directe'!J115/Effort!C109</f>
        <v>19.207162141841813</v>
      </c>
      <c r="I109" s="371">
        <f t="shared" si="3"/>
        <v>20.828959892320981</v>
      </c>
      <c r="J109" s="223">
        <f t="shared" si="4"/>
        <v>0</v>
      </c>
      <c r="K109" s="42">
        <f t="shared" si="5"/>
        <v>0</v>
      </c>
      <c r="L109" s="237"/>
    </row>
    <row r="110" spans="1:12" x14ac:dyDescent="0.25">
      <c r="A110" s="38">
        <f>Données!A110</f>
        <v>5585</v>
      </c>
      <c r="B110" s="168" t="str">
        <f>Données!B110</f>
        <v>Jouxtens-Mézery</v>
      </c>
      <c r="C110" s="348">
        <f>VPI!R110</f>
        <v>252946.52254237281</v>
      </c>
      <c r="D110" s="206">
        <f>(PCS!I116-PCS!F116)/C110</f>
        <v>30.94861716774458</v>
      </c>
      <c r="E110" s="505">
        <f>'Péréquation directe'!E116/C110</f>
        <v>-1.1799278713605241</v>
      </c>
      <c r="F110" s="206">
        <f>'Péréquation directe'!F116/Effort!C110</f>
        <v>0</v>
      </c>
      <c r="G110" s="206">
        <f>'Péréquation directe'!G116/Effort!C110</f>
        <v>0</v>
      </c>
      <c r="H110" s="206">
        <f>'Péréquation directe'!J116/Effort!C110</f>
        <v>19.207162141841813</v>
      </c>
      <c r="I110" s="371">
        <f t="shared" si="3"/>
        <v>48.975851438225874</v>
      </c>
      <c r="J110" s="223">
        <f t="shared" si="4"/>
        <v>0.97585143822587384</v>
      </c>
      <c r="K110" s="42">
        <f t="shared" si="5"/>
        <v>-246838.22781720792</v>
      </c>
      <c r="L110" s="237"/>
    </row>
    <row r="111" spans="1:12" x14ac:dyDescent="0.25">
      <c r="A111" s="38">
        <f>Données!A111</f>
        <v>5586</v>
      </c>
      <c r="B111" s="168" t="str">
        <f>Données!B111</f>
        <v>Lausanne</v>
      </c>
      <c r="C111" s="348">
        <f>VPI!R111</f>
        <v>6671451.3923142245</v>
      </c>
      <c r="D111" s="206">
        <f>(PCS!I117-PCS!F117)/C111</f>
        <v>11.649011238089876</v>
      </c>
      <c r="E111" s="505">
        <f>'Péréquation directe'!E117/C111</f>
        <v>-22.081621663807031</v>
      </c>
      <c r="F111" s="206">
        <f>'Péréquation directe'!F117/Effort!C111</f>
        <v>-0.69652439369774211</v>
      </c>
      <c r="G111" s="206">
        <f>'Péréquation directe'!G117/Effort!C111</f>
        <v>0</v>
      </c>
      <c r="H111" s="206">
        <f>'Péréquation directe'!J117/Effort!C111</f>
        <v>19.207162141841813</v>
      </c>
      <c r="I111" s="371">
        <f t="shared" si="3"/>
        <v>8.0780273224269159</v>
      </c>
      <c r="J111" s="223">
        <f t="shared" si="4"/>
        <v>0</v>
      </c>
      <c r="K111" s="42">
        <f t="shared" si="5"/>
        <v>0</v>
      </c>
      <c r="L111" s="237"/>
    </row>
    <row r="112" spans="1:12" x14ac:dyDescent="0.25">
      <c r="A112" s="38">
        <f>Données!A112</f>
        <v>5587</v>
      </c>
      <c r="B112" s="168" t="str">
        <f>Données!B112</f>
        <v>Le Mont-sur-Lausanne</v>
      </c>
      <c r="C112" s="348">
        <f>VPI!R112</f>
        <v>484050.33068027202</v>
      </c>
      <c r="D112" s="206">
        <f>(PCS!I118-PCS!F118)/C112</f>
        <v>12.666174805607406</v>
      </c>
      <c r="E112" s="505">
        <f>'Péréquation directe'!E118/C112</f>
        <v>-9.5550037323552353</v>
      </c>
      <c r="F112" s="206">
        <f>'Péréquation directe'!F118/Effort!C112</f>
        <v>0</v>
      </c>
      <c r="G112" s="206">
        <f>'Péréquation directe'!G118/Effort!C112</f>
        <v>0</v>
      </c>
      <c r="H112" s="206">
        <f>'Péréquation directe'!J118/Effort!C112</f>
        <v>19.207162141841813</v>
      </c>
      <c r="I112" s="371">
        <f t="shared" si="3"/>
        <v>22.318333215093986</v>
      </c>
      <c r="J112" s="223">
        <f t="shared" si="4"/>
        <v>0</v>
      </c>
      <c r="K112" s="42">
        <f t="shared" si="5"/>
        <v>0</v>
      </c>
      <c r="L112" s="237"/>
    </row>
    <row r="113" spans="1:12" x14ac:dyDescent="0.25">
      <c r="A113" s="38">
        <f>Données!A113</f>
        <v>5588</v>
      </c>
      <c r="B113" s="168" t="str">
        <f>Données!B113</f>
        <v>Paudex</v>
      </c>
      <c r="C113" s="348">
        <f>VPI!R113</f>
        <v>137556.51114930178</v>
      </c>
      <c r="D113" s="206">
        <f>(PCS!I119-PCS!F119)/C113</f>
        <v>21.199597649613924</v>
      </c>
      <c r="E113" s="505">
        <f>'Péréquation directe'!E119/C113</f>
        <v>-2.3798223553871711</v>
      </c>
      <c r="F113" s="206">
        <f>'Péréquation directe'!F119/Effort!C113</f>
        <v>0</v>
      </c>
      <c r="G113" s="206">
        <f>'Péréquation directe'!G119/Effort!C113</f>
        <v>0</v>
      </c>
      <c r="H113" s="206">
        <f>'Péréquation directe'!J119/Effort!C113</f>
        <v>19.207162141841813</v>
      </c>
      <c r="I113" s="371">
        <f t="shared" si="3"/>
        <v>38.026937436068565</v>
      </c>
      <c r="J113" s="223">
        <f t="shared" si="4"/>
        <v>0</v>
      </c>
      <c r="K113" s="42">
        <f t="shared" si="5"/>
        <v>0</v>
      </c>
      <c r="L113" s="237"/>
    </row>
    <row r="114" spans="1:12" x14ac:dyDescent="0.25">
      <c r="A114" s="38">
        <f>Données!A114</f>
        <v>5589</v>
      </c>
      <c r="B114" s="168" t="str">
        <f>Données!B114</f>
        <v>Prilly</v>
      </c>
      <c r="C114" s="348">
        <f>VPI!R114</f>
        <v>404219.10002122016</v>
      </c>
      <c r="D114" s="206">
        <f>(PCS!I120-PCS!F120)/C114</f>
        <v>11.649011238089875</v>
      </c>
      <c r="E114" s="505">
        <f>'Péréquation directe'!E120/C114</f>
        <v>-18.125088700333315</v>
      </c>
      <c r="F114" s="206">
        <f>'Péréquation directe'!F120/Effort!C114</f>
        <v>-10.016409777510006</v>
      </c>
      <c r="G114" s="206">
        <f>'Péréquation directe'!G120/Effort!C114</f>
        <v>0</v>
      </c>
      <c r="H114" s="206">
        <f>'Péréquation directe'!J120/Effort!C114</f>
        <v>19.207162141841813</v>
      </c>
      <c r="I114" s="371">
        <f t="shared" si="3"/>
        <v>2.7146749020883689</v>
      </c>
      <c r="J114" s="223">
        <f t="shared" si="4"/>
        <v>0</v>
      </c>
      <c r="K114" s="42">
        <f t="shared" si="5"/>
        <v>0</v>
      </c>
      <c r="L114" s="237"/>
    </row>
    <row r="115" spans="1:12" x14ac:dyDescent="0.25">
      <c r="A115" s="38">
        <f>Données!A115</f>
        <v>5590</v>
      </c>
      <c r="B115" s="168" t="str">
        <f>Données!B115</f>
        <v>Pully</v>
      </c>
      <c r="C115" s="348">
        <f>VPI!R115</f>
        <v>1396472.1616393442</v>
      </c>
      <c r="D115" s="206">
        <f>(PCS!I121-PCS!F121)/C115</f>
        <v>17.139139752163395</v>
      </c>
      <c r="E115" s="505">
        <f>'Péréquation directe'!E121/C115</f>
        <v>-10.340394196518334</v>
      </c>
      <c r="F115" s="206">
        <f>'Péréquation directe'!F121/Effort!C115</f>
        <v>0</v>
      </c>
      <c r="G115" s="206">
        <f>'Péréquation directe'!G121/Effort!C115</f>
        <v>0</v>
      </c>
      <c r="H115" s="206">
        <f>'Péréquation directe'!J121/Effort!C115</f>
        <v>19.207162141841813</v>
      </c>
      <c r="I115" s="371">
        <f t="shared" si="3"/>
        <v>26.005907697486876</v>
      </c>
      <c r="J115" s="223">
        <f t="shared" si="4"/>
        <v>0</v>
      </c>
      <c r="K115" s="42">
        <f t="shared" si="5"/>
        <v>0</v>
      </c>
      <c r="L115" s="237"/>
    </row>
    <row r="116" spans="1:12" x14ac:dyDescent="0.25">
      <c r="A116" s="38">
        <f>Données!A116</f>
        <v>5591</v>
      </c>
      <c r="B116" s="168" t="str">
        <f>Données!B116</f>
        <v>Renens</v>
      </c>
      <c r="C116" s="348">
        <f>VPI!R116</f>
        <v>592907.73419294995</v>
      </c>
      <c r="D116" s="206">
        <f>(PCS!I122-PCS!F122)/C116</f>
        <v>11.649011238089876</v>
      </c>
      <c r="E116" s="505">
        <f>'Péréquation directe'!E122/C116</f>
        <v>-28.218946770054476</v>
      </c>
      <c r="F116" s="206">
        <f>'Péréquation directe'!F122/Effort!C116</f>
        <v>-17.208560033522105</v>
      </c>
      <c r="G116" s="206">
        <f>'Péréquation directe'!G122/Effort!C116</f>
        <v>0</v>
      </c>
      <c r="H116" s="206">
        <f>'Péréquation directe'!J122/Effort!C116</f>
        <v>19.207162141841813</v>
      </c>
      <c r="I116" s="371">
        <f t="shared" si="3"/>
        <v>-14.571333423644894</v>
      </c>
      <c r="J116" s="223">
        <f t="shared" si="4"/>
        <v>0</v>
      </c>
      <c r="K116" s="42">
        <f t="shared" si="5"/>
        <v>0</v>
      </c>
      <c r="L116" s="237"/>
    </row>
    <row r="117" spans="1:12" x14ac:dyDescent="0.25">
      <c r="A117" s="38">
        <f>Données!A117</f>
        <v>5592</v>
      </c>
      <c r="B117" s="168" t="str">
        <f>Données!B117</f>
        <v>Romanel-sur-Lausanne</v>
      </c>
      <c r="C117" s="348">
        <f>VPI!R117</f>
        <v>113604.64354609928</v>
      </c>
      <c r="D117" s="206">
        <f>(PCS!I123-PCS!F123)/C117</f>
        <v>11.649011238089876</v>
      </c>
      <c r="E117" s="505">
        <f>'Péréquation directe'!E123/C117</f>
        <v>-11.111977415677977</v>
      </c>
      <c r="F117" s="206">
        <f>'Péréquation directe'!F123/Effort!C117</f>
        <v>-12.289160646199383</v>
      </c>
      <c r="G117" s="206">
        <f>'Péréquation directe'!G123/Effort!C117</f>
        <v>0</v>
      </c>
      <c r="H117" s="206">
        <f>'Péréquation directe'!J123/Effort!C117</f>
        <v>19.207162141841813</v>
      </c>
      <c r="I117" s="371">
        <f t="shared" si="3"/>
        <v>7.4550353180543301</v>
      </c>
      <c r="J117" s="223">
        <f t="shared" si="4"/>
        <v>0</v>
      </c>
      <c r="K117" s="42">
        <f t="shared" si="5"/>
        <v>0</v>
      </c>
      <c r="L117" s="237"/>
    </row>
    <row r="118" spans="1:12" x14ac:dyDescent="0.25">
      <c r="A118" s="38">
        <f>Données!A118</f>
        <v>5601</v>
      </c>
      <c r="B118" s="168" t="str">
        <f>Données!B118</f>
        <v>Chexbres</v>
      </c>
      <c r="C118" s="348">
        <f>VPI!R118</f>
        <v>106015.29511111112</v>
      </c>
      <c r="D118" s="206">
        <f>(PCS!I124-PCS!F124)/C118</f>
        <v>11.649011238089876</v>
      </c>
      <c r="E118" s="505">
        <f>'Péréquation directe'!E124/C118</f>
        <v>-5.3301190576037136</v>
      </c>
      <c r="F118" s="206">
        <f>'Péréquation directe'!F124/Effort!C118</f>
        <v>-0.15383872741994598</v>
      </c>
      <c r="G118" s="206">
        <f>'Péréquation directe'!G124/Effort!C118</f>
        <v>0</v>
      </c>
      <c r="H118" s="206">
        <f>'Péréquation directe'!J124/Effort!C118</f>
        <v>19.207162141841813</v>
      </c>
      <c r="I118" s="371">
        <f t="shared" si="3"/>
        <v>25.372215594908031</v>
      </c>
      <c r="J118" s="223">
        <f t="shared" si="4"/>
        <v>0</v>
      </c>
      <c r="K118" s="42">
        <f t="shared" si="5"/>
        <v>0</v>
      </c>
      <c r="L118" s="237"/>
    </row>
    <row r="119" spans="1:12" x14ac:dyDescent="0.25">
      <c r="A119" s="38">
        <f>Données!A119</f>
        <v>5604</v>
      </c>
      <c r="B119" s="168" t="str">
        <f>Données!B119</f>
        <v>Forel (Lavaux)</v>
      </c>
      <c r="C119" s="348">
        <f>VPI!R119</f>
        <v>70961.315942029003</v>
      </c>
      <c r="D119" s="206">
        <f>(PCS!I125-PCS!F125)/C119</f>
        <v>11.649011238089876</v>
      </c>
      <c r="E119" s="505">
        <f>'Péréquation directe'!E125/C119</f>
        <v>-7.2707466547620179</v>
      </c>
      <c r="F119" s="206">
        <f>'Péréquation directe'!F125/Effort!C119</f>
        <v>-7.8733978085412071</v>
      </c>
      <c r="G119" s="206">
        <f>'Péréquation directe'!G125/Effort!C119</f>
        <v>0</v>
      </c>
      <c r="H119" s="206">
        <f>'Péréquation directe'!J125/Effort!C119</f>
        <v>19.207162141841813</v>
      </c>
      <c r="I119" s="371">
        <f t="shared" si="3"/>
        <v>15.712028916628466</v>
      </c>
      <c r="J119" s="223">
        <f t="shared" si="4"/>
        <v>0</v>
      </c>
      <c r="K119" s="42">
        <f t="shared" si="5"/>
        <v>0</v>
      </c>
      <c r="L119" s="237"/>
    </row>
    <row r="120" spans="1:12" x14ac:dyDescent="0.25">
      <c r="A120" s="38">
        <f>Données!A120</f>
        <v>5606</v>
      </c>
      <c r="B120" s="168" t="str">
        <f>Données!B120</f>
        <v>Lutry</v>
      </c>
      <c r="C120" s="348">
        <f>VPI!R120</f>
        <v>1212171.2253174603</v>
      </c>
      <c r="D120" s="206">
        <f>(PCS!I126-PCS!F126)/C120</f>
        <v>23.152354181338076</v>
      </c>
      <c r="E120" s="505">
        <f>'Péréquation directe'!E126/C120</f>
        <v>-4.8411706564497239</v>
      </c>
      <c r="F120" s="206">
        <f>'Péréquation directe'!F126/Effort!C120</f>
        <v>0</v>
      </c>
      <c r="G120" s="206">
        <f>'Péréquation directe'!G126/Effort!C120</f>
        <v>0</v>
      </c>
      <c r="H120" s="206">
        <f>'Péréquation directe'!J126/Effort!C120</f>
        <v>19.207162141841813</v>
      </c>
      <c r="I120" s="371">
        <f t="shared" si="3"/>
        <v>37.51834566673017</v>
      </c>
      <c r="J120" s="223">
        <f t="shared" si="4"/>
        <v>0</v>
      </c>
      <c r="K120" s="42">
        <f t="shared" si="5"/>
        <v>0</v>
      </c>
      <c r="L120" s="237"/>
    </row>
    <row r="121" spans="1:12" x14ac:dyDescent="0.25">
      <c r="A121" s="38">
        <f>Données!A121</f>
        <v>5607</v>
      </c>
      <c r="B121" s="168" t="str">
        <f>Données!B121</f>
        <v>Puidoux</v>
      </c>
      <c r="C121" s="348">
        <f>VPI!R121</f>
        <v>117496.04099650904</v>
      </c>
      <c r="D121" s="206">
        <f>(PCS!I127-PCS!F127)/C121</f>
        <v>11.649011238089876</v>
      </c>
      <c r="E121" s="505">
        <f>'Péréquation directe'!E127/C121</f>
        <v>-7.2291095367907294</v>
      </c>
      <c r="F121" s="206">
        <f>'Péréquation directe'!F127/Effort!C121</f>
        <v>-4.3954724544376464</v>
      </c>
      <c r="G121" s="206">
        <f>'Péréquation directe'!G127/Effort!C121</f>
        <v>0</v>
      </c>
      <c r="H121" s="206">
        <f>'Péréquation directe'!J127/Effort!C121</f>
        <v>19.207162141841813</v>
      </c>
      <c r="I121" s="371">
        <f t="shared" si="3"/>
        <v>19.231591388703315</v>
      </c>
      <c r="J121" s="223">
        <f t="shared" si="4"/>
        <v>0</v>
      </c>
      <c r="K121" s="42">
        <f t="shared" si="5"/>
        <v>0</v>
      </c>
      <c r="L121" s="237"/>
    </row>
    <row r="122" spans="1:12" x14ac:dyDescent="0.25">
      <c r="A122" s="38">
        <f>Données!A122</f>
        <v>5609</v>
      </c>
      <c r="B122" s="168" t="str">
        <f>Données!B122</f>
        <v>Rivaz</v>
      </c>
      <c r="C122" s="348">
        <f>VPI!R122</f>
        <v>14930.201612903227</v>
      </c>
      <c r="D122" s="206">
        <f>(PCS!I128-PCS!F128)/C122</f>
        <v>11.649011238089876</v>
      </c>
      <c r="E122" s="505">
        <f>'Péréquation directe'!E128/C122</f>
        <v>-2.869084906365833</v>
      </c>
      <c r="F122" s="206">
        <f>'Péréquation directe'!F128/Effort!C122</f>
        <v>-1.1859012091296441</v>
      </c>
      <c r="G122" s="206">
        <f>'Péréquation directe'!G128/Effort!C122</f>
        <v>0</v>
      </c>
      <c r="H122" s="206">
        <f>'Péréquation directe'!J128/Effort!C122</f>
        <v>19.207162141841813</v>
      </c>
      <c r="I122" s="371">
        <f t="shared" si="3"/>
        <v>26.801187264436212</v>
      </c>
      <c r="J122" s="223">
        <f t="shared" si="4"/>
        <v>0</v>
      </c>
      <c r="K122" s="42">
        <f t="shared" si="5"/>
        <v>0</v>
      </c>
      <c r="L122" s="237"/>
    </row>
    <row r="123" spans="1:12" x14ac:dyDescent="0.25">
      <c r="A123" s="38">
        <f>Données!A123</f>
        <v>5610</v>
      </c>
      <c r="B123" s="168" t="str">
        <f>Données!B123</f>
        <v>St-Saphorin (Lavaux)</v>
      </c>
      <c r="C123" s="348">
        <f>VPI!R123</f>
        <v>21326.679629629627</v>
      </c>
      <c r="D123" s="206">
        <f>(PCS!I129-PCS!F129)/C123</f>
        <v>12.900245814631457</v>
      </c>
      <c r="E123" s="505">
        <f>'Péréquation directe'!E129/C123</f>
        <v>-2.4320572699635616</v>
      </c>
      <c r="F123" s="206">
        <f>'Péréquation directe'!F129/Effort!C123</f>
        <v>0</v>
      </c>
      <c r="G123" s="206">
        <f>'Péréquation directe'!G129/Effort!C123</f>
        <v>0</v>
      </c>
      <c r="H123" s="206">
        <f>'Péréquation directe'!J129/Effort!C123</f>
        <v>19.207162141841813</v>
      </c>
      <c r="I123" s="371">
        <f t="shared" si="3"/>
        <v>29.675350686509709</v>
      </c>
      <c r="J123" s="223">
        <f t="shared" si="4"/>
        <v>0</v>
      </c>
      <c r="K123" s="42">
        <f t="shared" si="5"/>
        <v>0</v>
      </c>
      <c r="L123" s="237"/>
    </row>
    <row r="124" spans="1:12" x14ac:dyDescent="0.25">
      <c r="A124" s="38">
        <f>Données!A124</f>
        <v>5611</v>
      </c>
      <c r="B124" s="168" t="str">
        <f>Données!B124</f>
        <v>Savigny</v>
      </c>
      <c r="C124" s="348">
        <f>VPI!R124</f>
        <v>139629.67036231884</v>
      </c>
      <c r="D124" s="206">
        <f>(PCS!I130-PCS!F130)/C124</f>
        <v>11.649011238089876</v>
      </c>
      <c r="E124" s="505">
        <f>'Péréquation directe'!E130/C124</f>
        <v>-7.6547915161806532</v>
      </c>
      <c r="F124" s="206">
        <f>'Péréquation directe'!F130/Effort!C124</f>
        <v>-3.5554408170966951</v>
      </c>
      <c r="G124" s="206">
        <f>'Péréquation directe'!G130/Effort!C124</f>
        <v>0</v>
      </c>
      <c r="H124" s="206">
        <f>'Péréquation directe'!J130/Effort!C124</f>
        <v>19.207162141841813</v>
      </c>
      <c r="I124" s="371">
        <f t="shared" si="3"/>
        <v>19.645941046654343</v>
      </c>
      <c r="J124" s="223">
        <f t="shared" si="4"/>
        <v>0</v>
      </c>
      <c r="K124" s="42">
        <f t="shared" si="5"/>
        <v>0</v>
      </c>
      <c r="L124" s="237"/>
    </row>
    <row r="125" spans="1:12" x14ac:dyDescent="0.25">
      <c r="A125" s="38">
        <f>Données!A125</f>
        <v>5613</v>
      </c>
      <c r="B125" s="168" t="str">
        <f>Données!B125</f>
        <v>Bourg-en-Lavaux</v>
      </c>
      <c r="C125" s="348">
        <f>VPI!R125</f>
        <v>367206.35685333336</v>
      </c>
      <c r="D125" s="206">
        <f>(PCS!I131-PCS!F131)/C125</f>
        <v>16.1675195227409</v>
      </c>
      <c r="E125" s="505">
        <f>'Péréquation directe'!E131/C125</f>
        <v>-5.7944611746388066</v>
      </c>
      <c r="F125" s="206">
        <f>'Péréquation directe'!F131/Effort!C125</f>
        <v>0</v>
      </c>
      <c r="G125" s="206">
        <f>'Péréquation directe'!G131/Effort!C125</f>
        <v>0</v>
      </c>
      <c r="H125" s="206">
        <f>'Péréquation directe'!J131/Effort!C125</f>
        <v>19.207162141841813</v>
      </c>
      <c r="I125" s="371">
        <f t="shared" si="3"/>
        <v>29.580220489943905</v>
      </c>
      <c r="J125" s="223">
        <f t="shared" si="4"/>
        <v>0</v>
      </c>
      <c r="K125" s="42">
        <f t="shared" si="5"/>
        <v>0</v>
      </c>
      <c r="L125" s="237"/>
    </row>
    <row r="126" spans="1:12" x14ac:dyDescent="0.25">
      <c r="A126" s="38">
        <f>Données!A126</f>
        <v>5621</v>
      </c>
      <c r="B126" s="168" t="str">
        <f>Données!B126</f>
        <v>Aclens</v>
      </c>
      <c r="C126" s="348">
        <f>VPI!R126</f>
        <v>39203.094076246336</v>
      </c>
      <c r="D126" s="206">
        <f>(PCS!I132-PCS!F132)/C126</f>
        <v>16.59387002813779</v>
      </c>
      <c r="E126" s="505">
        <f>'Péréquation directe'!E132/C126</f>
        <v>-1.8331830786717858</v>
      </c>
      <c r="F126" s="206">
        <f>'Péréquation directe'!F132/Effort!C126</f>
        <v>0</v>
      </c>
      <c r="G126" s="206">
        <f>'Péréquation directe'!G132/Effort!C126</f>
        <v>0</v>
      </c>
      <c r="H126" s="206">
        <f>'Péréquation directe'!J132/Effort!C126</f>
        <v>19.207162141841813</v>
      </c>
      <c r="I126" s="371">
        <f t="shared" si="3"/>
        <v>33.967849091307819</v>
      </c>
      <c r="J126" s="223">
        <f t="shared" si="4"/>
        <v>0</v>
      </c>
      <c r="K126" s="42">
        <f t="shared" si="5"/>
        <v>0</v>
      </c>
      <c r="L126" s="237"/>
    </row>
    <row r="127" spans="1:12" x14ac:dyDescent="0.25">
      <c r="A127" s="38">
        <f>Données!A127</f>
        <v>5622</v>
      </c>
      <c r="B127" s="168" t="str">
        <f>Données!B127</f>
        <v>Bremblens</v>
      </c>
      <c r="C127" s="348">
        <f>VPI!R127</f>
        <v>30852.761617647058</v>
      </c>
      <c r="D127" s="206">
        <f>(PCS!I133-PCS!F133)/C127</f>
        <v>12.351631685280461</v>
      </c>
      <c r="E127" s="505">
        <f>'Péréquation directe'!E133/C127</f>
        <v>-2.5258868060754587</v>
      </c>
      <c r="F127" s="206">
        <f>'Péréquation directe'!F133/Effort!C127</f>
        <v>0</v>
      </c>
      <c r="G127" s="206">
        <f>'Péréquation directe'!G133/Effort!C127</f>
        <v>0</v>
      </c>
      <c r="H127" s="206">
        <f>'Péréquation directe'!J133/Effort!C127</f>
        <v>19.207162141841813</v>
      </c>
      <c r="I127" s="371">
        <f t="shared" si="3"/>
        <v>29.032907021046817</v>
      </c>
      <c r="J127" s="223">
        <f t="shared" si="4"/>
        <v>0</v>
      </c>
      <c r="K127" s="42">
        <f t="shared" si="5"/>
        <v>0</v>
      </c>
      <c r="L127" s="237"/>
    </row>
    <row r="128" spans="1:12" x14ac:dyDescent="0.25">
      <c r="A128" s="38">
        <f>Données!A128</f>
        <v>5623</v>
      </c>
      <c r="B128" s="168" t="str">
        <f>Données!B128</f>
        <v>Buchillon</v>
      </c>
      <c r="C128" s="348">
        <f>VPI!R128</f>
        <v>88403.083461538452</v>
      </c>
      <c r="D128" s="206">
        <f>(PCS!I134-PCS!F134)/C128</f>
        <v>24.857990203531266</v>
      </c>
      <c r="E128" s="505">
        <f>'Péréquation directe'!E134/C128</f>
        <v>-0.97786382191051491</v>
      </c>
      <c r="F128" s="206">
        <f>'Péréquation directe'!F134/Effort!C128</f>
        <v>0</v>
      </c>
      <c r="G128" s="206">
        <f>'Péréquation directe'!G134/Effort!C128</f>
        <v>0</v>
      </c>
      <c r="H128" s="206">
        <f>'Péréquation directe'!J134/Effort!C128</f>
        <v>19.207162141841813</v>
      </c>
      <c r="I128" s="371">
        <f t="shared" si="3"/>
        <v>43.087288523462561</v>
      </c>
      <c r="J128" s="223">
        <f t="shared" si="4"/>
        <v>0</v>
      </c>
      <c r="K128" s="42">
        <f t="shared" si="5"/>
        <v>0</v>
      </c>
      <c r="L128" s="237"/>
    </row>
    <row r="129" spans="1:12" x14ac:dyDescent="0.25">
      <c r="A129" s="38">
        <f>Données!A129</f>
        <v>5624</v>
      </c>
      <c r="B129" s="168" t="str">
        <f>Données!B129</f>
        <v>Bussigny</v>
      </c>
      <c r="C129" s="348">
        <f>VPI!R129</f>
        <v>522747.79375999991</v>
      </c>
      <c r="D129" s="206">
        <f>(PCS!I135-PCS!F135)/C129</f>
        <v>12.105710656627284</v>
      </c>
      <c r="E129" s="505">
        <f>'Péréquation directe'!E135/C129</f>
        <v>-10.687168707103131</v>
      </c>
      <c r="F129" s="206">
        <f>'Péréquation directe'!F135/Effort!C129</f>
        <v>0</v>
      </c>
      <c r="G129" s="206">
        <f>'Péréquation directe'!G135/Effort!C129</f>
        <v>0</v>
      </c>
      <c r="H129" s="206">
        <f>'Péréquation directe'!J135/Effort!C129</f>
        <v>19.207162141841813</v>
      </c>
      <c r="I129" s="371">
        <f t="shared" si="3"/>
        <v>20.625704091365968</v>
      </c>
      <c r="J129" s="223">
        <f t="shared" si="4"/>
        <v>0</v>
      </c>
      <c r="K129" s="42">
        <f t="shared" si="5"/>
        <v>0</v>
      </c>
      <c r="L129" s="237"/>
    </row>
    <row r="130" spans="1:12" x14ac:dyDescent="0.25">
      <c r="A130" s="38">
        <f>Données!A130</f>
        <v>5627</v>
      </c>
      <c r="B130" s="168" t="str">
        <f>Données!B130</f>
        <v>Chavannes-près-Renens</v>
      </c>
      <c r="C130" s="348">
        <f>VPI!R130</f>
        <v>188690.75535483871</v>
      </c>
      <c r="D130" s="206">
        <f>(PCS!I136-PCS!F136)/C130</f>
        <v>11.649011238089876</v>
      </c>
      <c r="E130" s="505">
        <f>'Péréquation directe'!E136/C130</f>
        <v>-22.238917113449638</v>
      </c>
      <c r="F130" s="206">
        <f>'Péréquation directe'!F136/Effort!C130</f>
        <v>-29.820601563364342</v>
      </c>
      <c r="G130" s="206">
        <f>'Péréquation directe'!G136/Effort!C130</f>
        <v>0</v>
      </c>
      <c r="H130" s="206">
        <f>'Péréquation directe'!J136/Effort!C130</f>
        <v>19.207162141841813</v>
      </c>
      <c r="I130" s="371">
        <f t="shared" si="3"/>
        <v>-21.20334529688229</v>
      </c>
      <c r="J130" s="223">
        <f t="shared" si="4"/>
        <v>0</v>
      </c>
      <c r="K130" s="42">
        <f t="shared" si="5"/>
        <v>0</v>
      </c>
      <c r="L130" s="237"/>
    </row>
    <row r="131" spans="1:12" x14ac:dyDescent="0.25">
      <c r="A131" s="38">
        <f>Données!A131</f>
        <v>5628</v>
      </c>
      <c r="B131" s="168" t="str">
        <f>Données!B131</f>
        <v>Chigny</v>
      </c>
      <c r="C131" s="348">
        <f>VPI!R131</f>
        <v>27627.379193548386</v>
      </c>
      <c r="D131" s="206">
        <f>(PCS!I137-PCS!F137)/C131</f>
        <v>15.673101185897385</v>
      </c>
      <c r="E131" s="505">
        <f>'Péréquation directe'!E137/C131</f>
        <v>-1.9567949721711453</v>
      </c>
      <c r="F131" s="206">
        <f>'Péréquation directe'!F137/Effort!C131</f>
        <v>0</v>
      </c>
      <c r="G131" s="206">
        <f>'Péréquation directe'!G137/Effort!C131</f>
        <v>0</v>
      </c>
      <c r="H131" s="206">
        <f>'Péréquation directe'!J137/Effort!C131</f>
        <v>19.207162141841813</v>
      </c>
      <c r="I131" s="371">
        <f t="shared" si="3"/>
        <v>32.923468355568055</v>
      </c>
      <c r="J131" s="223">
        <f t="shared" si="4"/>
        <v>0</v>
      </c>
      <c r="K131" s="42">
        <f t="shared" si="5"/>
        <v>0</v>
      </c>
      <c r="L131" s="237"/>
    </row>
    <row r="132" spans="1:12" x14ac:dyDescent="0.25">
      <c r="A132" s="38">
        <f>Données!A132</f>
        <v>5629</v>
      </c>
      <c r="B132" s="168" t="str">
        <f>Données!B132</f>
        <v>Clarmont</v>
      </c>
      <c r="C132" s="348">
        <f>VPI!R132</f>
        <v>9964.7430555555547</v>
      </c>
      <c r="D132" s="206">
        <f>(PCS!I138-PCS!F138)/C132</f>
        <v>11.649011238089875</v>
      </c>
      <c r="E132" s="505">
        <f>'Péréquation directe'!E138/C132</f>
        <v>-2.822678259205829</v>
      </c>
      <c r="F132" s="206">
        <f>'Péréquation directe'!F138/Effort!C132</f>
        <v>-1.2383057703403757</v>
      </c>
      <c r="G132" s="206">
        <f>'Péréquation directe'!G138/Effort!C132</f>
        <v>0</v>
      </c>
      <c r="H132" s="206">
        <f>'Péréquation directe'!J138/Effort!C132</f>
        <v>19.207162141841813</v>
      </c>
      <c r="I132" s="371">
        <f t="shared" si="3"/>
        <v>26.795189350385485</v>
      </c>
      <c r="J132" s="223">
        <f t="shared" si="4"/>
        <v>0</v>
      </c>
      <c r="K132" s="42">
        <f t="shared" si="5"/>
        <v>0</v>
      </c>
      <c r="L132" s="237"/>
    </row>
    <row r="133" spans="1:12" x14ac:dyDescent="0.25">
      <c r="A133" s="38">
        <f>Données!A133</f>
        <v>5631</v>
      </c>
      <c r="B133" s="168" t="str">
        <f>Données!B133</f>
        <v>Denens</v>
      </c>
      <c r="C133" s="348">
        <f>VPI!R133</f>
        <v>41694.310588235297</v>
      </c>
      <c r="D133" s="206">
        <f>(PCS!I139-PCS!F139)/C133</f>
        <v>13.947501699168516</v>
      </c>
      <c r="E133" s="505">
        <f>'Péréquation directe'!E139/C133</f>
        <v>-2.2156809028142308</v>
      </c>
      <c r="F133" s="206">
        <f>'Péréquation directe'!F139/Effort!C133</f>
        <v>0</v>
      </c>
      <c r="G133" s="206">
        <f>'Péréquation directe'!G139/Effort!C133</f>
        <v>0</v>
      </c>
      <c r="H133" s="206">
        <f>'Péréquation directe'!J139/Effort!C133</f>
        <v>19.207162141841813</v>
      </c>
      <c r="I133" s="371">
        <f t="shared" si="3"/>
        <v>30.938982938196098</v>
      </c>
      <c r="J133" s="223">
        <f t="shared" si="4"/>
        <v>0</v>
      </c>
      <c r="K133" s="42">
        <f t="shared" si="5"/>
        <v>0</v>
      </c>
      <c r="L133" s="237"/>
    </row>
    <row r="134" spans="1:12" x14ac:dyDescent="0.25">
      <c r="A134" s="38">
        <f>Données!A134</f>
        <v>5632</v>
      </c>
      <c r="B134" s="168" t="str">
        <f>Données!B134</f>
        <v>Denges</v>
      </c>
      <c r="C134" s="348">
        <f>VPI!R134</f>
        <v>81642.531612903229</v>
      </c>
      <c r="D134" s="206">
        <f>(PCS!I140-PCS!F140)/C134</f>
        <v>11.649011238089876</v>
      </c>
      <c r="E134" s="505">
        <f>'Péréquation directe'!E140/C134</f>
        <v>-5.0185738530176129</v>
      </c>
      <c r="F134" s="206">
        <f>'Péréquation directe'!F140/Effort!C134</f>
        <v>-0.83522487811407753</v>
      </c>
      <c r="G134" s="206">
        <f>'Péréquation directe'!G140/Effort!C134</f>
        <v>0</v>
      </c>
      <c r="H134" s="206">
        <f>'Péréquation directe'!J140/Effort!C134</f>
        <v>19.207162141841813</v>
      </c>
      <c r="I134" s="371">
        <f t="shared" si="3"/>
        <v>25.0023746488</v>
      </c>
      <c r="J134" s="223">
        <f t="shared" si="4"/>
        <v>0</v>
      </c>
      <c r="K134" s="42">
        <f t="shared" si="5"/>
        <v>0</v>
      </c>
      <c r="L134" s="237"/>
    </row>
    <row r="135" spans="1:12" x14ac:dyDescent="0.25">
      <c r="A135" s="38">
        <f>Données!A135</f>
        <v>5633</v>
      </c>
      <c r="B135" s="168" t="str">
        <f>Données!B135</f>
        <v>Echandens</v>
      </c>
      <c r="C135" s="348">
        <f>VPI!R135</f>
        <v>149835.3479338843</v>
      </c>
      <c r="D135" s="206">
        <f>(PCS!I141-PCS!F141)/C135</f>
        <v>12.439629626224024</v>
      </c>
      <c r="E135" s="505">
        <f>'Péréquation directe'!E141/C135</f>
        <v>-5.4204912146706254</v>
      </c>
      <c r="F135" s="206">
        <f>'Péréquation directe'!F141/Effort!C135</f>
        <v>0</v>
      </c>
      <c r="G135" s="206">
        <f>'Péréquation directe'!G141/Effort!C135</f>
        <v>0</v>
      </c>
      <c r="H135" s="206">
        <f>'Péréquation directe'!J141/Effort!C135</f>
        <v>19.207162141841813</v>
      </c>
      <c r="I135" s="371">
        <f t="shared" ref="I135:I198" si="6">SUM(D135:H135)</f>
        <v>26.226300553395212</v>
      </c>
      <c r="J135" s="223">
        <f t="shared" ref="J135:J198" si="7">IF(I135&gt;J$5,I135-J$5,0)</f>
        <v>0</v>
      </c>
      <c r="K135" s="42">
        <f t="shared" ref="K135:K198" si="8">-J135*C135</f>
        <v>0</v>
      </c>
      <c r="L135" s="237"/>
    </row>
    <row r="136" spans="1:12" x14ac:dyDescent="0.25">
      <c r="A136" s="38">
        <f>Données!A136</f>
        <v>5634</v>
      </c>
      <c r="B136" s="168" t="str">
        <f>Données!B136</f>
        <v>Echichens</v>
      </c>
      <c r="C136" s="348">
        <f>VPI!R136</f>
        <v>183137.63424242428</v>
      </c>
      <c r="D136" s="206">
        <f>(PCS!I142-PCS!F142)/C136</f>
        <v>13.627227851245291</v>
      </c>
      <c r="E136" s="505">
        <f>'Péréquation directe'!E142/C136</f>
        <v>-5.2529018851004601</v>
      </c>
      <c r="F136" s="206">
        <f>'Péréquation directe'!F142/Effort!C136</f>
        <v>0</v>
      </c>
      <c r="G136" s="206">
        <f>'Péréquation directe'!G142/Effort!C136</f>
        <v>0</v>
      </c>
      <c r="H136" s="206">
        <f>'Péréquation directe'!J142/Effort!C136</f>
        <v>19.207162141841813</v>
      </c>
      <c r="I136" s="371">
        <f t="shared" si="6"/>
        <v>27.581488107986644</v>
      </c>
      <c r="J136" s="223">
        <f t="shared" si="7"/>
        <v>0</v>
      </c>
      <c r="K136" s="42">
        <f t="shared" si="8"/>
        <v>0</v>
      </c>
      <c r="L136" s="237"/>
    </row>
    <row r="137" spans="1:12" x14ac:dyDescent="0.25">
      <c r="A137" s="38">
        <f>Données!A137</f>
        <v>5635</v>
      </c>
      <c r="B137" s="168" t="str">
        <f>Données!B137</f>
        <v>Ecublens</v>
      </c>
      <c r="C137" s="348">
        <f>VPI!R137</f>
        <v>516165.47293333331</v>
      </c>
      <c r="D137" s="206">
        <f>(PCS!I143-PCS!F143)/C137</f>
        <v>11.649011238089876</v>
      </c>
      <c r="E137" s="505">
        <f>'Péréquation directe'!E143/C137</f>
        <v>-15.831886609920687</v>
      </c>
      <c r="F137" s="206">
        <f>'Péréquation directe'!F143/Effort!C137</f>
        <v>-3.6433927392779686</v>
      </c>
      <c r="G137" s="206">
        <f>'Péréquation directe'!G143/Effort!C137</f>
        <v>0</v>
      </c>
      <c r="H137" s="206">
        <f>'Péréquation directe'!J143/Effort!C137</f>
        <v>19.207162141841813</v>
      </c>
      <c r="I137" s="371">
        <f t="shared" si="6"/>
        <v>11.380894030733034</v>
      </c>
      <c r="J137" s="223">
        <f t="shared" si="7"/>
        <v>0</v>
      </c>
      <c r="K137" s="42">
        <f t="shared" si="8"/>
        <v>0</v>
      </c>
      <c r="L137" s="237"/>
    </row>
    <row r="138" spans="1:12" x14ac:dyDescent="0.25">
      <c r="A138" s="38">
        <f>Données!A138</f>
        <v>5636</v>
      </c>
      <c r="B138" s="168" t="str">
        <f>Données!B138</f>
        <v>Etoy</v>
      </c>
      <c r="C138" s="348">
        <f>VPI!R138</f>
        <v>189458.35050000003</v>
      </c>
      <c r="D138" s="206">
        <f>(PCS!I144-PCS!F144)/C138</f>
        <v>15.211172764705475</v>
      </c>
      <c r="E138" s="505">
        <f>'Péréquation directe'!E144/C138</f>
        <v>-4.3822009703627511</v>
      </c>
      <c r="F138" s="206">
        <f>'Péréquation directe'!F144/Effort!C138</f>
        <v>0</v>
      </c>
      <c r="G138" s="206">
        <f>'Péréquation directe'!G144/Effort!C138</f>
        <v>0</v>
      </c>
      <c r="H138" s="206">
        <f>'Péréquation directe'!J144/Effort!C138</f>
        <v>19.207162141841813</v>
      </c>
      <c r="I138" s="371">
        <f t="shared" si="6"/>
        <v>30.036133936184537</v>
      </c>
      <c r="J138" s="223">
        <f t="shared" si="7"/>
        <v>0</v>
      </c>
      <c r="K138" s="42">
        <f t="shared" si="8"/>
        <v>0</v>
      </c>
      <c r="L138" s="237"/>
    </row>
    <row r="139" spans="1:12" x14ac:dyDescent="0.25">
      <c r="A139" s="38">
        <f>Données!A139</f>
        <v>5637</v>
      </c>
      <c r="B139" s="168" t="str">
        <f>Données!B139</f>
        <v>Lavigny</v>
      </c>
      <c r="C139" s="348">
        <f>VPI!R139</f>
        <v>36293.809863013703</v>
      </c>
      <c r="D139" s="206">
        <f>(PCS!I145-PCS!F145)/C139</f>
        <v>11.649011238089876</v>
      </c>
      <c r="E139" s="505">
        <f>'Péréquation directe'!E145/C139</f>
        <v>-3.9332413549886311</v>
      </c>
      <c r="F139" s="206">
        <f>'Péréquation directe'!F145/Effort!C139</f>
        <v>-8.2091471178832016</v>
      </c>
      <c r="G139" s="206">
        <f>'Péréquation directe'!G145/Effort!C139</f>
        <v>0</v>
      </c>
      <c r="H139" s="206">
        <f>'Péréquation directe'!J145/Effort!C139</f>
        <v>19.207162141841813</v>
      </c>
      <c r="I139" s="371">
        <f t="shared" si="6"/>
        <v>18.713784907059857</v>
      </c>
      <c r="J139" s="223">
        <f t="shared" si="7"/>
        <v>0</v>
      </c>
      <c r="K139" s="42">
        <f t="shared" si="8"/>
        <v>0</v>
      </c>
      <c r="L139" s="237"/>
    </row>
    <row r="140" spans="1:12" x14ac:dyDescent="0.25">
      <c r="A140" s="38">
        <f>Données!A140</f>
        <v>5638</v>
      </c>
      <c r="B140" s="168" t="str">
        <f>Données!B140</f>
        <v>Lonay</v>
      </c>
      <c r="C140" s="348">
        <f>VPI!R140</f>
        <v>153893.84090909091</v>
      </c>
      <c r="D140" s="206">
        <f>(PCS!I146-PCS!F146)/C140</f>
        <v>13.379870107086422</v>
      </c>
      <c r="E140" s="505">
        <f>'Péréquation directe'!E146/C140</f>
        <v>-4.7751743356071614</v>
      </c>
      <c r="F140" s="206">
        <f>'Péréquation directe'!F146/Effort!C140</f>
        <v>0</v>
      </c>
      <c r="G140" s="206">
        <f>'Péréquation directe'!G146/Effort!C140</f>
        <v>0</v>
      </c>
      <c r="H140" s="206">
        <f>'Péréquation directe'!J146/Effort!C140</f>
        <v>19.207162141841813</v>
      </c>
      <c r="I140" s="371">
        <f t="shared" si="6"/>
        <v>27.811857913321074</v>
      </c>
      <c r="J140" s="223">
        <f t="shared" si="7"/>
        <v>0</v>
      </c>
      <c r="K140" s="42">
        <f t="shared" si="8"/>
        <v>0</v>
      </c>
      <c r="L140" s="237"/>
    </row>
    <row r="141" spans="1:12" x14ac:dyDescent="0.25">
      <c r="A141" s="38">
        <f>Données!A141</f>
        <v>5639</v>
      </c>
      <c r="B141" s="168" t="str">
        <f>Données!B141</f>
        <v>Lully</v>
      </c>
      <c r="C141" s="348">
        <f>VPI!R141</f>
        <v>52242.173114754092</v>
      </c>
      <c r="D141" s="206">
        <f>(PCS!I147-PCS!F147)/C141</f>
        <v>14.980322203144611</v>
      </c>
      <c r="E141" s="505">
        <f>'Péréquation directe'!E147/C141</f>
        <v>-2.0424680185577171</v>
      </c>
      <c r="F141" s="206">
        <f>'Péréquation directe'!F147/Effort!C141</f>
        <v>0</v>
      </c>
      <c r="G141" s="206">
        <f>'Péréquation directe'!G147/Effort!C141</f>
        <v>0</v>
      </c>
      <c r="H141" s="206">
        <f>'Péréquation directe'!J147/Effort!C141</f>
        <v>19.207162141841813</v>
      </c>
      <c r="I141" s="371">
        <f t="shared" si="6"/>
        <v>32.14501632642871</v>
      </c>
      <c r="J141" s="223">
        <f t="shared" si="7"/>
        <v>0</v>
      </c>
      <c r="K141" s="42">
        <f t="shared" si="8"/>
        <v>0</v>
      </c>
      <c r="L141" s="237"/>
    </row>
    <row r="142" spans="1:12" x14ac:dyDescent="0.25">
      <c r="A142" s="38">
        <f>Données!A142</f>
        <v>5640</v>
      </c>
      <c r="B142" s="168" t="str">
        <f>Données!B142</f>
        <v>Lussy-sur-Morges</v>
      </c>
      <c r="C142" s="348">
        <f>VPI!R142</f>
        <v>57771.49271317829</v>
      </c>
      <c r="D142" s="206">
        <f>(PCS!I148-PCS!F148)/C142</f>
        <v>18.89291907079831</v>
      </c>
      <c r="E142" s="505">
        <f>'Péréquation directe'!E148/C142</f>
        <v>-1.6303477949262326</v>
      </c>
      <c r="F142" s="206">
        <f>'Péréquation directe'!F148/Effort!C142</f>
        <v>0</v>
      </c>
      <c r="G142" s="206">
        <f>'Péréquation directe'!G148/Effort!C142</f>
        <v>0</v>
      </c>
      <c r="H142" s="206">
        <f>'Péréquation directe'!J148/Effort!C142</f>
        <v>19.207162141841813</v>
      </c>
      <c r="I142" s="371">
        <f t="shared" si="6"/>
        <v>36.46973341771389</v>
      </c>
      <c r="J142" s="223">
        <f t="shared" si="7"/>
        <v>0</v>
      </c>
      <c r="K142" s="42">
        <f t="shared" si="8"/>
        <v>0</v>
      </c>
      <c r="L142" s="237"/>
    </row>
    <row r="143" spans="1:12" x14ac:dyDescent="0.25">
      <c r="A143" s="38">
        <f>Données!A143</f>
        <v>5642</v>
      </c>
      <c r="B143" s="168" t="str">
        <f>Données!B143</f>
        <v>Morges</v>
      </c>
      <c r="C143" s="348">
        <f>VPI!R143</f>
        <v>980547.23447761196</v>
      </c>
      <c r="D143" s="206">
        <f>(PCS!I149-PCS!F149)/C143</f>
        <v>13.440895573604587</v>
      </c>
      <c r="E143" s="505">
        <f>'Péréquation directe'!E149/C143</f>
        <v>-13.09179998499175</v>
      </c>
      <c r="F143" s="206">
        <f>'Péréquation directe'!F149/Effort!C143</f>
        <v>0</v>
      </c>
      <c r="G143" s="206">
        <f>'Péréquation directe'!G149/Effort!C143</f>
        <v>0</v>
      </c>
      <c r="H143" s="206">
        <f>'Péréquation directe'!J149/Effort!C143</f>
        <v>19.207162141841813</v>
      </c>
      <c r="I143" s="371">
        <f t="shared" si="6"/>
        <v>19.55625773045465</v>
      </c>
      <c r="J143" s="223">
        <f t="shared" si="7"/>
        <v>0</v>
      </c>
      <c r="K143" s="42">
        <f t="shared" si="8"/>
        <v>0</v>
      </c>
      <c r="L143" s="237"/>
    </row>
    <row r="144" spans="1:12" x14ac:dyDescent="0.25">
      <c r="A144" s="38">
        <f>Données!A144</f>
        <v>5643</v>
      </c>
      <c r="B144" s="168" t="str">
        <f>Données!B144</f>
        <v>Préverenges</v>
      </c>
      <c r="C144" s="348">
        <f>VPI!R144</f>
        <v>252724.38943999997</v>
      </c>
      <c r="D144" s="206">
        <f>(PCS!I150-PCS!F150)/C144</f>
        <v>11.649011238089875</v>
      </c>
      <c r="E144" s="505">
        <f>'Péréquation directe'!E150/C144</f>
        <v>-7.9880037884549724</v>
      </c>
      <c r="F144" s="206">
        <f>'Péréquation directe'!F150/Effort!C144</f>
        <v>-2.7537727169977639E-3</v>
      </c>
      <c r="G144" s="206">
        <f>'Péréquation directe'!G150/Effort!C144</f>
        <v>0</v>
      </c>
      <c r="H144" s="206">
        <f>'Péréquation directe'!J150/Effort!C144</f>
        <v>19.207162141841813</v>
      </c>
      <c r="I144" s="371">
        <f t="shared" si="6"/>
        <v>22.865415818759718</v>
      </c>
      <c r="J144" s="223">
        <f t="shared" si="7"/>
        <v>0</v>
      </c>
      <c r="K144" s="42">
        <f t="shared" si="8"/>
        <v>0</v>
      </c>
      <c r="L144" s="237"/>
    </row>
    <row r="145" spans="1:12" x14ac:dyDescent="0.25">
      <c r="A145" s="38">
        <f>Données!A145</f>
        <v>5645</v>
      </c>
      <c r="B145" s="168" t="str">
        <f>Données!B145</f>
        <v>Romanel-sur-Morges</v>
      </c>
      <c r="C145" s="348">
        <f>VPI!R145</f>
        <v>23768.997321428575</v>
      </c>
      <c r="D145" s="206">
        <f>(PCS!I151-PCS!F151)/C145</f>
        <v>12.394774842096947</v>
      </c>
      <c r="E145" s="505">
        <f>'Péréquation directe'!E151/C145</f>
        <v>-2.4861401409148272</v>
      </c>
      <c r="F145" s="206">
        <f>'Péréquation directe'!F151/Effort!C145</f>
        <v>0</v>
      </c>
      <c r="G145" s="206">
        <f>'Péréquation directe'!G151/Effort!C145</f>
        <v>0</v>
      </c>
      <c r="H145" s="206">
        <f>'Péréquation directe'!J151/Effort!C145</f>
        <v>19.207162141841813</v>
      </c>
      <c r="I145" s="371">
        <f t="shared" si="6"/>
        <v>29.115796843023933</v>
      </c>
      <c r="J145" s="223">
        <f t="shared" si="7"/>
        <v>0</v>
      </c>
      <c r="K145" s="42">
        <f t="shared" si="8"/>
        <v>0</v>
      </c>
      <c r="L145" s="237"/>
    </row>
    <row r="146" spans="1:12" x14ac:dyDescent="0.25">
      <c r="A146" s="38">
        <f>Données!A146</f>
        <v>5646</v>
      </c>
      <c r="B146" s="168" t="str">
        <f>Données!B146</f>
        <v>Saint-Prex</v>
      </c>
      <c r="C146" s="348">
        <f>VPI!R146</f>
        <v>515578.26330508466</v>
      </c>
      <c r="D146" s="206">
        <f>(PCS!I152-PCS!F152)/C146</f>
        <v>19.937056439637285</v>
      </c>
      <c r="E146" s="505">
        <f>'Péréquation directe'!E152/C146</f>
        <v>-4.7071273714577044</v>
      </c>
      <c r="F146" s="206">
        <f>'Péréquation directe'!F152/Effort!C146</f>
        <v>0</v>
      </c>
      <c r="G146" s="206">
        <f>'Péréquation directe'!G152/Effort!C146</f>
        <v>0</v>
      </c>
      <c r="H146" s="206">
        <f>'Péréquation directe'!J152/Effort!C146</f>
        <v>19.207162141841813</v>
      </c>
      <c r="I146" s="371">
        <f t="shared" si="6"/>
        <v>34.437091210021393</v>
      </c>
      <c r="J146" s="223">
        <f t="shared" si="7"/>
        <v>0</v>
      </c>
      <c r="K146" s="42">
        <f t="shared" si="8"/>
        <v>0</v>
      </c>
      <c r="L146" s="237"/>
    </row>
    <row r="147" spans="1:12" x14ac:dyDescent="0.25">
      <c r="A147" s="38">
        <f>Données!A147</f>
        <v>5648</v>
      </c>
      <c r="B147" s="168" t="str">
        <f>Données!B147</f>
        <v>Saint-Sulpice</v>
      </c>
      <c r="C147" s="348">
        <f>VPI!R147</f>
        <v>417040.44568181824</v>
      </c>
      <c r="D147" s="206">
        <f>(PCS!I153-PCS!F153)/C147</f>
        <v>18.506740152046977</v>
      </c>
      <c r="E147" s="505">
        <f>'Péréquation directe'!E153/C147</f>
        <v>-4.5808101309413018</v>
      </c>
      <c r="F147" s="206">
        <f>'Péréquation directe'!F153/Effort!C147</f>
        <v>0</v>
      </c>
      <c r="G147" s="206">
        <f>'Péréquation directe'!G153/Effort!C147</f>
        <v>0</v>
      </c>
      <c r="H147" s="206">
        <f>'Péréquation directe'!J153/Effort!C147</f>
        <v>19.207162141841813</v>
      </c>
      <c r="I147" s="371">
        <f t="shared" si="6"/>
        <v>33.133092162947491</v>
      </c>
      <c r="J147" s="223">
        <f t="shared" si="7"/>
        <v>0</v>
      </c>
      <c r="K147" s="42">
        <f t="shared" si="8"/>
        <v>0</v>
      </c>
      <c r="L147" s="237"/>
    </row>
    <row r="148" spans="1:12" x14ac:dyDescent="0.25">
      <c r="A148" s="38">
        <f>Données!A148</f>
        <v>5649</v>
      </c>
      <c r="B148" s="168" t="str">
        <f>Données!B148</f>
        <v>Tolochenaz</v>
      </c>
      <c r="C148" s="348">
        <f>VPI!R148</f>
        <v>173464.05234375002</v>
      </c>
      <c r="D148" s="206">
        <f>(PCS!I154-PCS!F154)/C148</f>
        <v>21.372691905861981</v>
      </c>
      <c r="E148" s="505">
        <f>'Péréquation directe'!E154/C148</f>
        <v>-2.5973814620129465</v>
      </c>
      <c r="F148" s="206">
        <f>'Péréquation directe'!F154/Effort!C148</f>
        <v>0</v>
      </c>
      <c r="G148" s="206">
        <f>'Péréquation directe'!G154/Effort!C148</f>
        <v>0</v>
      </c>
      <c r="H148" s="206">
        <f>'Péréquation directe'!J154/Effort!C148</f>
        <v>19.207162141841813</v>
      </c>
      <c r="I148" s="371">
        <f t="shared" si="6"/>
        <v>37.982472585690843</v>
      </c>
      <c r="J148" s="223">
        <f t="shared" si="7"/>
        <v>0</v>
      </c>
      <c r="K148" s="42">
        <f t="shared" si="8"/>
        <v>0</v>
      </c>
      <c r="L148" s="237"/>
    </row>
    <row r="149" spans="1:12" x14ac:dyDescent="0.25">
      <c r="A149" s="38">
        <f>Données!A149</f>
        <v>5650</v>
      </c>
      <c r="B149" s="168" t="str">
        <f>Données!B149</f>
        <v>Vaux-sur-Morges</v>
      </c>
      <c r="C149" s="348">
        <f>VPI!R149</f>
        <v>90407.863928571445</v>
      </c>
      <c r="D149" s="206">
        <f>(PCS!I155-PCS!F155)/C149</f>
        <v>39.806305722399252</v>
      </c>
      <c r="E149" s="505">
        <f>'Péréquation directe'!E155/C149</f>
        <v>-0.26687407535262286</v>
      </c>
      <c r="F149" s="206">
        <f>'Péréquation directe'!F155/Effort!C149</f>
        <v>0</v>
      </c>
      <c r="G149" s="206">
        <f>'Péréquation directe'!G155/Effort!C149</f>
        <v>0</v>
      </c>
      <c r="H149" s="206">
        <f>'Péréquation directe'!J155/Effort!C149</f>
        <v>19.207162141841813</v>
      </c>
      <c r="I149" s="371">
        <f t="shared" si="6"/>
        <v>58.74659378888844</v>
      </c>
      <c r="J149" s="223">
        <f t="shared" si="7"/>
        <v>10.74659378888844</v>
      </c>
      <c r="K149" s="42">
        <f t="shared" si="8"/>
        <v>-971576.58896145714</v>
      </c>
      <c r="L149" s="237"/>
    </row>
    <row r="150" spans="1:12" x14ac:dyDescent="0.25">
      <c r="A150" s="38">
        <f>Données!A150</f>
        <v>5651</v>
      </c>
      <c r="B150" s="168" t="str">
        <f>Données!B150</f>
        <v>Villars-Sainte-Croix</v>
      </c>
      <c r="C150" s="348">
        <f>VPI!R150</f>
        <v>56008.147272727285</v>
      </c>
      <c r="D150" s="206">
        <f>(PCS!I156-PCS!F156)/C150</f>
        <v>13.513896964618553</v>
      </c>
      <c r="E150" s="505">
        <f>'Péréquation directe'!E156/C150</f>
        <v>-2.2529867497248492</v>
      </c>
      <c r="F150" s="206">
        <f>'Péréquation directe'!F156/Effort!C150</f>
        <v>0</v>
      </c>
      <c r="G150" s="206">
        <f>'Péréquation directe'!G156/Effort!C150</f>
        <v>0</v>
      </c>
      <c r="H150" s="206">
        <f>'Péréquation directe'!J156/Effort!C150</f>
        <v>19.207162141841813</v>
      </c>
      <c r="I150" s="371">
        <f t="shared" si="6"/>
        <v>30.468072356735519</v>
      </c>
      <c r="J150" s="223">
        <f t="shared" si="7"/>
        <v>0</v>
      </c>
      <c r="K150" s="42">
        <f t="shared" si="8"/>
        <v>0</v>
      </c>
      <c r="L150" s="237"/>
    </row>
    <row r="151" spans="1:12" x14ac:dyDescent="0.25">
      <c r="A151" s="38">
        <f>Données!A151</f>
        <v>5652</v>
      </c>
      <c r="B151" s="168" t="str">
        <f>Données!B151</f>
        <v>Villars-sous-Yens</v>
      </c>
      <c r="C151" s="348">
        <f>VPI!R151</f>
        <v>25957.212521929825</v>
      </c>
      <c r="D151" s="206">
        <f>(PCS!I157-PCS!F157)/C151</f>
        <v>11.649011238089876</v>
      </c>
      <c r="E151" s="505">
        <f>'Péréquation directe'!E157/C151</f>
        <v>-3.0569480073227835</v>
      </c>
      <c r="F151" s="206">
        <f>'Péréquation directe'!F157/Effort!C151</f>
        <v>-3.4101999857388563</v>
      </c>
      <c r="G151" s="206">
        <f>'Péréquation directe'!G157/Effort!C151</f>
        <v>0</v>
      </c>
      <c r="H151" s="206">
        <f>'Péréquation directe'!J157/Effort!C151</f>
        <v>19.207162141841813</v>
      </c>
      <c r="I151" s="371">
        <f t="shared" si="6"/>
        <v>24.389025386870049</v>
      </c>
      <c r="J151" s="223">
        <f t="shared" si="7"/>
        <v>0</v>
      </c>
      <c r="K151" s="42">
        <f t="shared" si="8"/>
        <v>0</v>
      </c>
      <c r="L151" s="237"/>
    </row>
    <row r="152" spans="1:12" x14ac:dyDescent="0.25">
      <c r="A152" s="38">
        <f>Données!A152</f>
        <v>5653</v>
      </c>
      <c r="B152" s="168" t="str">
        <f>Données!B152</f>
        <v>Vufflens-le-Château</v>
      </c>
      <c r="C152" s="348">
        <f>VPI!R152</f>
        <v>71315.778290598289</v>
      </c>
      <c r="D152" s="206">
        <f>(PCS!I158-PCS!F158)/C152</f>
        <v>18.501926264587613</v>
      </c>
      <c r="E152" s="505">
        <f>'Péréquation directe'!E158/C152</f>
        <v>-1.602946712413502</v>
      </c>
      <c r="F152" s="206">
        <f>'Péréquation directe'!F158/Effort!C152</f>
        <v>0</v>
      </c>
      <c r="G152" s="206">
        <f>'Péréquation directe'!G158/Effort!C152</f>
        <v>0</v>
      </c>
      <c r="H152" s="206">
        <f>'Péréquation directe'!J158/Effort!C152</f>
        <v>19.207162141841813</v>
      </c>
      <c r="I152" s="371">
        <f t="shared" si="6"/>
        <v>36.106141694015925</v>
      </c>
      <c r="J152" s="223">
        <f t="shared" si="7"/>
        <v>0</v>
      </c>
      <c r="K152" s="42">
        <f t="shared" si="8"/>
        <v>0</v>
      </c>
      <c r="L152" s="237"/>
    </row>
    <row r="153" spans="1:12" x14ac:dyDescent="0.25">
      <c r="A153" s="38">
        <f>Données!A153</f>
        <v>5654</v>
      </c>
      <c r="B153" s="168" t="str">
        <f>Données!B153</f>
        <v>Vullierens</v>
      </c>
      <c r="C153" s="348">
        <f>VPI!R153</f>
        <v>20741.31131578947</v>
      </c>
      <c r="D153" s="206">
        <f>(PCS!I159-PCS!F159)/C153</f>
        <v>11.649011238089878</v>
      </c>
      <c r="E153" s="505">
        <f>'Péréquation directe'!E159/C153</f>
        <v>-3.5022179868671097</v>
      </c>
      <c r="F153" s="206">
        <f>'Péréquation directe'!F159/Effort!C153</f>
        <v>-7.2694819527570127</v>
      </c>
      <c r="G153" s="206">
        <f>'Péréquation directe'!G159/Effort!C153</f>
        <v>0</v>
      </c>
      <c r="H153" s="206">
        <f>'Péréquation directe'!J159/Effort!C153</f>
        <v>19.207162141841813</v>
      </c>
      <c r="I153" s="371">
        <f t="shared" si="6"/>
        <v>20.084473440307569</v>
      </c>
      <c r="J153" s="223">
        <f t="shared" si="7"/>
        <v>0</v>
      </c>
      <c r="K153" s="42">
        <f t="shared" si="8"/>
        <v>0</v>
      </c>
      <c r="L153" s="237"/>
    </row>
    <row r="154" spans="1:12" x14ac:dyDescent="0.25">
      <c r="A154" s="38">
        <f>Données!A154</f>
        <v>5655</v>
      </c>
      <c r="B154" s="168" t="str">
        <f>Données!B154</f>
        <v>Yens</v>
      </c>
      <c r="C154" s="348">
        <f>VPI!R154</f>
        <v>81488.710349650341</v>
      </c>
      <c r="D154" s="206">
        <f>(PCS!I160-PCS!F160)/C154</f>
        <v>13.053343021266565</v>
      </c>
      <c r="E154" s="505">
        <f>'Péréquation directe'!E160/C154</f>
        <v>-3.8753772838822003</v>
      </c>
      <c r="F154" s="206">
        <f>'Péréquation directe'!F160/Effort!C154</f>
        <v>0</v>
      </c>
      <c r="G154" s="206">
        <f>'Péréquation directe'!G160/Effort!C154</f>
        <v>0</v>
      </c>
      <c r="H154" s="206">
        <f>'Péréquation directe'!J160/Effort!C154</f>
        <v>19.207162141841813</v>
      </c>
      <c r="I154" s="371">
        <f t="shared" si="6"/>
        <v>28.385127879226179</v>
      </c>
      <c r="J154" s="223">
        <f t="shared" si="7"/>
        <v>0</v>
      </c>
      <c r="K154" s="42">
        <f t="shared" si="8"/>
        <v>0</v>
      </c>
      <c r="L154" s="237"/>
    </row>
    <row r="155" spans="1:12" x14ac:dyDescent="0.25">
      <c r="A155" s="38">
        <f>Données!A155</f>
        <v>5656</v>
      </c>
      <c r="B155" s="168" t="str">
        <f>Données!B155</f>
        <v>Hautemorges</v>
      </c>
      <c r="C155" s="348">
        <f>VPI!R155</f>
        <v>168934.99020689653</v>
      </c>
      <c r="D155" s="206">
        <f>(PCS!I161-PCS!F161)/C155</f>
        <v>11.649011238089878</v>
      </c>
      <c r="E155" s="505">
        <f>'Péréquation directe'!E161/C155</f>
        <v>-8.8992181795783036</v>
      </c>
      <c r="F155" s="206">
        <f>'Péréquation directe'!F161/Effort!C155</f>
        <v>-4.6722850269912097</v>
      </c>
      <c r="G155" s="206">
        <f>'Péréquation directe'!G161/Effort!C155</f>
        <v>0</v>
      </c>
      <c r="H155" s="206">
        <f>'Péréquation directe'!J161/Effort!C155</f>
        <v>19.207162141841813</v>
      </c>
      <c r="I155" s="371">
        <f t="shared" si="6"/>
        <v>17.28467017336218</v>
      </c>
      <c r="J155" s="223">
        <f t="shared" si="7"/>
        <v>0</v>
      </c>
      <c r="K155" s="42">
        <f t="shared" si="8"/>
        <v>0</v>
      </c>
      <c r="L155" s="237"/>
    </row>
    <row r="156" spans="1:12" x14ac:dyDescent="0.25">
      <c r="A156" s="38">
        <f>Données!A156</f>
        <v>5661</v>
      </c>
      <c r="B156" s="168" t="str">
        <f>Données!B156</f>
        <v>Boulens</v>
      </c>
      <c r="C156" s="348">
        <f>VPI!R156</f>
        <v>11008.776923076925</v>
      </c>
      <c r="D156" s="206">
        <f>(PCS!I162-PCS!F162)/C156</f>
        <v>11.649011238089876</v>
      </c>
      <c r="E156" s="505">
        <f>'Péréquation directe'!E162/C156</f>
        <v>-4.4888045084573962</v>
      </c>
      <c r="F156" s="206">
        <f>'Péréquation directe'!F162/Effort!C156</f>
        <v>-14.002492446170491</v>
      </c>
      <c r="G156" s="206">
        <f>'Péréquation directe'!G162/Effort!C156</f>
        <v>0</v>
      </c>
      <c r="H156" s="206">
        <f>'Péréquation directe'!J162/Effort!C156</f>
        <v>19.207162141841813</v>
      </c>
      <c r="I156" s="371">
        <f t="shared" si="6"/>
        <v>12.364876425303802</v>
      </c>
      <c r="J156" s="223">
        <f t="shared" si="7"/>
        <v>0</v>
      </c>
      <c r="K156" s="42">
        <f t="shared" si="8"/>
        <v>0</v>
      </c>
      <c r="L156" s="237"/>
    </row>
    <row r="157" spans="1:12" x14ac:dyDescent="0.25">
      <c r="A157" s="38">
        <f>Données!A157</f>
        <v>5663</v>
      </c>
      <c r="B157" s="168" t="str">
        <f>Données!B157</f>
        <v>Bussy-sur-Moudon</v>
      </c>
      <c r="C157" s="348">
        <f>VPI!R157</f>
        <v>6460.7661146496821</v>
      </c>
      <c r="D157" s="206">
        <f>(PCS!I163-PCS!F163)/C157</f>
        <v>11.649011238089876</v>
      </c>
      <c r="E157" s="505">
        <f>'Péréquation directe'!E163/C157</f>
        <v>-4.9127207322761857</v>
      </c>
      <c r="F157" s="206">
        <f>'Péréquation directe'!F163/Effort!C157</f>
        <v>-20.798353067169533</v>
      </c>
      <c r="G157" s="206">
        <f>'Péréquation directe'!G163/Effort!C157</f>
        <v>0</v>
      </c>
      <c r="H157" s="206">
        <f>'Péréquation directe'!J163/Effort!C157</f>
        <v>19.207162141841813</v>
      </c>
      <c r="I157" s="371">
        <f t="shared" si="6"/>
        <v>5.1450995804859723</v>
      </c>
      <c r="J157" s="223">
        <f t="shared" si="7"/>
        <v>0</v>
      </c>
      <c r="K157" s="42">
        <f t="shared" si="8"/>
        <v>0</v>
      </c>
      <c r="L157" s="237"/>
    </row>
    <row r="158" spans="1:12" x14ac:dyDescent="0.25">
      <c r="A158" s="38">
        <f>Données!A158</f>
        <v>5665</v>
      </c>
      <c r="B158" s="168" t="str">
        <f>Données!B158</f>
        <v>Chavannes-sur-Moudon</v>
      </c>
      <c r="C158" s="348">
        <f>VPI!R158</f>
        <v>5786.5608571428584</v>
      </c>
      <c r="D158" s="206">
        <f>(PCS!I164-PCS!F164)/C158</f>
        <v>11.64901123808988</v>
      </c>
      <c r="E158" s="505">
        <f>'Péréquation directe'!E164/C158</f>
        <v>-4.8607911116615989</v>
      </c>
      <c r="F158" s="206">
        <f>'Péréquation directe'!F164/Effort!C158</f>
        <v>-16.156276338209064</v>
      </c>
      <c r="G158" s="206">
        <f>'Péréquation directe'!G164/Effort!C158</f>
        <v>0</v>
      </c>
      <c r="H158" s="206">
        <f>'Péréquation directe'!J164/Effort!C158</f>
        <v>19.207162141841813</v>
      </c>
      <c r="I158" s="371">
        <f t="shared" si="6"/>
        <v>9.8391059300610308</v>
      </c>
      <c r="J158" s="223">
        <f t="shared" si="7"/>
        <v>0</v>
      </c>
      <c r="K158" s="42">
        <f t="shared" si="8"/>
        <v>0</v>
      </c>
      <c r="L158" s="237"/>
    </row>
    <row r="159" spans="1:12" x14ac:dyDescent="0.25">
      <c r="A159" s="38">
        <f>Données!A159</f>
        <v>5669</v>
      </c>
      <c r="B159" s="168" t="str">
        <f>Données!B159</f>
        <v>Curtilles</v>
      </c>
      <c r="C159" s="348">
        <f>VPI!R159</f>
        <v>8428.0279452054765</v>
      </c>
      <c r="D159" s="206">
        <f>(PCS!I165-PCS!F165)/C159</f>
        <v>11.649011238089876</v>
      </c>
      <c r="E159" s="505">
        <f>'Péréquation directe'!E165/C159</f>
        <v>-4.5008273392269196</v>
      </c>
      <c r="F159" s="206">
        <f>'Péréquation directe'!F165/Effort!C159</f>
        <v>-14.692313319279757</v>
      </c>
      <c r="G159" s="206">
        <f>'Péréquation directe'!G165/Effort!C159</f>
        <v>0</v>
      </c>
      <c r="H159" s="206">
        <f>'Péréquation directe'!J165/Effort!C159</f>
        <v>19.207162141841813</v>
      </c>
      <c r="I159" s="371">
        <f t="shared" si="6"/>
        <v>11.663032721425013</v>
      </c>
      <c r="J159" s="223">
        <f t="shared" si="7"/>
        <v>0</v>
      </c>
      <c r="K159" s="42">
        <f t="shared" si="8"/>
        <v>0</v>
      </c>
      <c r="L159" s="237"/>
    </row>
    <row r="160" spans="1:12" x14ac:dyDescent="0.25">
      <c r="A160" s="38">
        <f>Données!A160</f>
        <v>5671</v>
      </c>
      <c r="B160" s="168" t="str">
        <f>Données!B160</f>
        <v>Dompierre</v>
      </c>
      <c r="C160" s="348">
        <f>VPI!R160</f>
        <v>6751.3758974358971</v>
      </c>
      <c r="D160" s="206">
        <f>(PCS!I166-PCS!F166)/C160</f>
        <v>11.649011238089878</v>
      </c>
      <c r="E160" s="505">
        <f>'Péréquation directe'!E166/C160</f>
        <v>-4.7394765768734475</v>
      </c>
      <c r="F160" s="206">
        <f>'Péréquation directe'!F166/Effort!C160</f>
        <v>-18.952623996325425</v>
      </c>
      <c r="G160" s="206">
        <f>'Péréquation directe'!G166/Effort!C160</f>
        <v>0</v>
      </c>
      <c r="H160" s="206">
        <f>'Péréquation directe'!J166/Effort!C160</f>
        <v>19.207162141841813</v>
      </c>
      <c r="I160" s="371">
        <f t="shared" si="6"/>
        <v>7.1640728067328183</v>
      </c>
      <c r="J160" s="223">
        <f t="shared" si="7"/>
        <v>0</v>
      </c>
      <c r="K160" s="42">
        <f t="shared" si="8"/>
        <v>0</v>
      </c>
      <c r="L160" s="237"/>
    </row>
    <row r="161" spans="1:12" x14ac:dyDescent="0.25">
      <c r="A161" s="38">
        <f>Données!A161</f>
        <v>5673</v>
      </c>
      <c r="B161" s="168" t="str">
        <f>Données!B161</f>
        <v>Hermenches</v>
      </c>
      <c r="C161" s="348">
        <f>VPI!R161</f>
        <v>9675.0074829931946</v>
      </c>
      <c r="D161" s="206">
        <f>(PCS!I167-PCS!F167)/C161</f>
        <v>11.649011238089876</v>
      </c>
      <c r="E161" s="505">
        <f>'Péréquation directe'!E167/C161</f>
        <v>-4.9875961611305817</v>
      </c>
      <c r="F161" s="206">
        <f>'Péréquation directe'!F167/Effort!C161</f>
        <v>-18.84023317161796</v>
      </c>
      <c r="G161" s="206">
        <f>'Péréquation directe'!G167/Effort!C161</f>
        <v>0</v>
      </c>
      <c r="H161" s="206">
        <f>'Péréquation directe'!J167/Effort!C161</f>
        <v>19.207162141841813</v>
      </c>
      <c r="I161" s="371">
        <f t="shared" si="6"/>
        <v>7.0283440471831469</v>
      </c>
      <c r="J161" s="223">
        <f t="shared" si="7"/>
        <v>0</v>
      </c>
      <c r="K161" s="42">
        <f t="shared" si="8"/>
        <v>0</v>
      </c>
      <c r="L161" s="237"/>
    </row>
    <row r="162" spans="1:12" x14ac:dyDescent="0.25">
      <c r="A162" s="38">
        <f>Données!A162</f>
        <v>5674</v>
      </c>
      <c r="B162" s="168" t="str">
        <f>Données!B162</f>
        <v>Lovatens</v>
      </c>
      <c r="C162" s="348">
        <f>VPI!R162</f>
        <v>3538.9463999999998</v>
      </c>
      <c r="D162" s="206">
        <f>(PCS!I168-PCS!F168)/C162</f>
        <v>11.649011238089878</v>
      </c>
      <c r="E162" s="505">
        <f>'Péréquation directe'!E168/C162</f>
        <v>-5.2135439848136116</v>
      </c>
      <c r="F162" s="206">
        <f>'Péréquation directe'!F168/Effort!C162</f>
        <v>-21.524226780436454</v>
      </c>
      <c r="G162" s="206">
        <f>'Péréquation directe'!G168/Effort!C162</f>
        <v>0</v>
      </c>
      <c r="H162" s="206">
        <f>'Péréquation directe'!J168/Effort!C162</f>
        <v>19.207162141841813</v>
      </c>
      <c r="I162" s="371">
        <f t="shared" si="6"/>
        <v>4.1184026146816262</v>
      </c>
      <c r="J162" s="223">
        <f t="shared" si="7"/>
        <v>0</v>
      </c>
      <c r="K162" s="42">
        <f t="shared" si="8"/>
        <v>0</v>
      </c>
      <c r="L162" s="237"/>
    </row>
    <row r="163" spans="1:12" x14ac:dyDescent="0.25">
      <c r="A163" s="38">
        <f>Données!A163</f>
        <v>5675</v>
      </c>
      <c r="B163" s="168" t="str">
        <f>Données!B163</f>
        <v>Lucens</v>
      </c>
      <c r="C163" s="348">
        <f>VPI!R163</f>
        <v>92803.818404185746</v>
      </c>
      <c r="D163" s="206">
        <f>(PCS!I169-PCS!F169)/C163</f>
        <v>11.649011238089876</v>
      </c>
      <c r="E163" s="505">
        <f>'Péréquation directe'!E169/C163</f>
        <v>-17.122801577931448</v>
      </c>
      <c r="F163" s="206">
        <f>'Péréquation directe'!F169/Effort!C163</f>
        <v>-25.325659507759912</v>
      </c>
      <c r="G163" s="206">
        <f>'Péréquation directe'!G169/Effort!C163</f>
        <v>0</v>
      </c>
      <c r="H163" s="206">
        <f>'Péréquation directe'!J169/Effort!C163</f>
        <v>19.207162141841813</v>
      </c>
      <c r="I163" s="371">
        <f t="shared" si="6"/>
        <v>-11.59228770575967</v>
      </c>
      <c r="J163" s="223">
        <f t="shared" si="7"/>
        <v>0</v>
      </c>
      <c r="K163" s="42">
        <f t="shared" si="8"/>
        <v>0</v>
      </c>
      <c r="L163" s="237"/>
    </row>
    <row r="164" spans="1:12" x14ac:dyDescent="0.25">
      <c r="A164" s="38">
        <f>Données!A164</f>
        <v>5678</v>
      </c>
      <c r="B164" s="168" t="str">
        <f>Données!B164</f>
        <v>Moudon</v>
      </c>
      <c r="C164" s="348">
        <f>VPI!R164</f>
        <v>130675.7416551724</v>
      </c>
      <c r="D164" s="206">
        <f>(PCS!I170-PCS!F170)/C164</f>
        <v>11.649011238089878</v>
      </c>
      <c r="E164" s="505">
        <f>'Péréquation directe'!E170/C164</f>
        <v>-19.799354795787302</v>
      </c>
      <c r="F164" s="206">
        <f>'Péréquation directe'!F170/Effort!C164</f>
        <v>-26.777258273390952</v>
      </c>
      <c r="G164" s="206">
        <f>'Péréquation directe'!G170/Effort!C164</f>
        <v>0</v>
      </c>
      <c r="H164" s="206">
        <f>'Péréquation directe'!J170/Effort!C164</f>
        <v>19.207162141841813</v>
      </c>
      <c r="I164" s="371">
        <f t="shared" si="6"/>
        <v>-15.720439689246561</v>
      </c>
      <c r="J164" s="223">
        <f t="shared" si="7"/>
        <v>0</v>
      </c>
      <c r="K164" s="42">
        <f t="shared" si="8"/>
        <v>0</v>
      </c>
      <c r="L164" s="237"/>
    </row>
    <row r="165" spans="1:12" x14ac:dyDescent="0.25">
      <c r="A165" s="38">
        <f>Données!A165</f>
        <v>5680</v>
      </c>
      <c r="B165" s="168" t="str">
        <f>Données!B165</f>
        <v>Ogens</v>
      </c>
      <c r="C165" s="348">
        <f>VPI!R165</f>
        <v>10088.612863247865</v>
      </c>
      <c r="D165" s="206">
        <f>(PCS!I171-PCS!F171)/C165</f>
        <v>11.649011238089876</v>
      </c>
      <c r="E165" s="505">
        <f>'Péréquation directe'!E171/C165</f>
        <v>-4.1436640997410308</v>
      </c>
      <c r="F165" s="206">
        <f>'Péréquation directe'!F171/Effort!C165</f>
        <v>-13.513177503006292</v>
      </c>
      <c r="G165" s="206">
        <f>'Péréquation directe'!G171/Effort!C165</f>
        <v>0</v>
      </c>
      <c r="H165" s="206">
        <f>'Péréquation directe'!J171/Effort!C165</f>
        <v>19.207162141841813</v>
      </c>
      <c r="I165" s="371">
        <f t="shared" si="6"/>
        <v>13.199331777184367</v>
      </c>
      <c r="J165" s="223">
        <f t="shared" si="7"/>
        <v>0</v>
      </c>
      <c r="K165" s="42">
        <f t="shared" si="8"/>
        <v>0</v>
      </c>
      <c r="L165" s="237"/>
    </row>
    <row r="166" spans="1:12" x14ac:dyDescent="0.25">
      <c r="A166" s="38">
        <f>Données!A166</f>
        <v>5683</v>
      </c>
      <c r="B166" s="168" t="str">
        <f>Données!B166</f>
        <v>Prévonloup</v>
      </c>
      <c r="C166" s="348">
        <f>VPI!R166</f>
        <v>5181.5891034482765</v>
      </c>
      <c r="D166" s="206">
        <f>(PCS!I172-PCS!F172)/C166</f>
        <v>11.649011238089875</v>
      </c>
      <c r="E166" s="505">
        <f>'Péréquation directe'!E172/C166</f>
        <v>-5.4781093800620591</v>
      </c>
      <c r="F166" s="206">
        <f>'Péréquation directe'!F172/Effort!C166</f>
        <v>-22.199917898592712</v>
      </c>
      <c r="G166" s="206">
        <f>'Péréquation directe'!G172/Effort!C166</f>
        <v>0</v>
      </c>
      <c r="H166" s="206">
        <f>'Péréquation directe'!J172/Effort!C166</f>
        <v>19.207162141841813</v>
      </c>
      <c r="I166" s="371">
        <f t="shared" si="6"/>
        <v>3.1781461012769157</v>
      </c>
      <c r="J166" s="223">
        <f t="shared" si="7"/>
        <v>0</v>
      </c>
      <c r="K166" s="42">
        <f t="shared" si="8"/>
        <v>0</v>
      </c>
      <c r="L166" s="237"/>
    </row>
    <row r="167" spans="1:12" x14ac:dyDescent="0.25">
      <c r="A167" s="38">
        <f>Données!A167</f>
        <v>5684</v>
      </c>
      <c r="B167" s="168" t="str">
        <f>Données!B167</f>
        <v>Rossenges</v>
      </c>
      <c r="C167" s="348">
        <f>VPI!R167</f>
        <v>7033.3142000000007</v>
      </c>
      <c r="D167" s="206">
        <f>(PCS!I173-PCS!F173)/C167</f>
        <v>19.070165931505873</v>
      </c>
      <c r="E167" s="505">
        <f>'Péréquation directe'!E173/C167</f>
        <v>-1.7060584998231727</v>
      </c>
      <c r="F167" s="206">
        <f>'Péréquation directe'!F173/Effort!C167</f>
        <v>0</v>
      </c>
      <c r="G167" s="206">
        <f>'Péréquation directe'!G173/Effort!C167</f>
        <v>0</v>
      </c>
      <c r="H167" s="206">
        <f>'Péréquation directe'!J173/Effort!C167</f>
        <v>19.207162141841813</v>
      </c>
      <c r="I167" s="371">
        <f t="shared" si="6"/>
        <v>36.571269573524518</v>
      </c>
      <c r="J167" s="223">
        <f t="shared" si="7"/>
        <v>0</v>
      </c>
      <c r="K167" s="42">
        <f t="shared" si="8"/>
        <v>0</v>
      </c>
      <c r="L167" s="237"/>
    </row>
    <row r="168" spans="1:12" x14ac:dyDescent="0.25">
      <c r="A168" s="38">
        <f>Données!A168</f>
        <v>5688</v>
      </c>
      <c r="B168" s="168" t="str">
        <f>Données!B168</f>
        <v>Syens</v>
      </c>
      <c r="C168" s="348">
        <f>VPI!R168</f>
        <v>5277.0104615384616</v>
      </c>
      <c r="D168" s="206">
        <f>(PCS!I174-PCS!F174)/C168</f>
        <v>11.649011238089875</v>
      </c>
      <c r="E168" s="505">
        <f>'Péréquation directe'!E174/C168</f>
        <v>-4.0098385085221757</v>
      </c>
      <c r="F168" s="206">
        <f>'Péréquation directe'!F174/Effort!C168</f>
        <v>-8.535709756984021</v>
      </c>
      <c r="G168" s="206">
        <f>'Péréquation directe'!G174/Effort!C168</f>
        <v>0</v>
      </c>
      <c r="H168" s="206">
        <f>'Péréquation directe'!J174/Effort!C168</f>
        <v>19.207162141841813</v>
      </c>
      <c r="I168" s="371">
        <f t="shared" si="6"/>
        <v>18.310625114425491</v>
      </c>
      <c r="J168" s="223">
        <f t="shared" si="7"/>
        <v>0</v>
      </c>
      <c r="K168" s="42">
        <f t="shared" si="8"/>
        <v>0</v>
      </c>
      <c r="L168" s="237"/>
    </row>
    <row r="169" spans="1:12" x14ac:dyDescent="0.25">
      <c r="A169" s="38">
        <f>Données!A169</f>
        <v>5690</v>
      </c>
      <c r="B169" s="168" t="str">
        <f>Données!B169</f>
        <v>Villars-le-Comte</v>
      </c>
      <c r="C169" s="348">
        <f>VPI!R169</f>
        <v>4331.3836666666666</v>
      </c>
      <c r="D169" s="206">
        <f>(PCS!I175-PCS!F175)/C169</f>
        <v>11.649011238089878</v>
      </c>
      <c r="E169" s="505">
        <f>'Péréquation directe'!E175/C169</f>
        <v>-4.1107722986946289</v>
      </c>
      <c r="F169" s="206">
        <f>'Péréquation directe'!F175/Effort!C169</f>
        <v>-10.64154770012953</v>
      </c>
      <c r="G169" s="206">
        <f>'Péréquation directe'!G175/Effort!C169</f>
        <v>0</v>
      </c>
      <c r="H169" s="206">
        <f>'Péréquation directe'!J175/Effort!C169</f>
        <v>19.207162141841813</v>
      </c>
      <c r="I169" s="371">
        <f t="shared" si="6"/>
        <v>16.103853381107534</v>
      </c>
      <c r="J169" s="223">
        <f t="shared" si="7"/>
        <v>0</v>
      </c>
      <c r="K169" s="42">
        <f t="shared" si="8"/>
        <v>0</v>
      </c>
      <c r="L169" s="237"/>
    </row>
    <row r="170" spans="1:12" x14ac:dyDescent="0.25">
      <c r="A170" s="38">
        <f>Données!A170</f>
        <v>5692</v>
      </c>
      <c r="B170" s="168" t="str">
        <f>Données!B170</f>
        <v>Vucherens</v>
      </c>
      <c r="C170" s="348">
        <f>VPI!R170</f>
        <v>18948.300519480523</v>
      </c>
      <c r="D170" s="206">
        <f>(PCS!I176-PCS!F176)/C170</f>
        <v>11.649011238089878</v>
      </c>
      <c r="E170" s="505">
        <f>'Péréquation directe'!E176/C170</f>
        <v>-4.344315963425311</v>
      </c>
      <c r="F170" s="206">
        <f>'Péréquation directe'!F176/Effort!C170</f>
        <v>-14.954080894468083</v>
      </c>
      <c r="G170" s="206">
        <f>'Péréquation directe'!G176/Effort!C170</f>
        <v>0</v>
      </c>
      <c r="H170" s="206">
        <f>'Péréquation directe'!J176/Effort!C170</f>
        <v>19.207162141841813</v>
      </c>
      <c r="I170" s="371">
        <f t="shared" si="6"/>
        <v>11.557776522038298</v>
      </c>
      <c r="J170" s="223">
        <f t="shared" si="7"/>
        <v>0</v>
      </c>
      <c r="K170" s="42">
        <f t="shared" si="8"/>
        <v>0</v>
      </c>
      <c r="L170" s="237"/>
    </row>
    <row r="171" spans="1:12" x14ac:dyDescent="0.25">
      <c r="A171" s="38">
        <f>Données!A171</f>
        <v>5693</v>
      </c>
      <c r="B171" s="168" t="str">
        <f>Données!B171</f>
        <v>Montanaire</v>
      </c>
      <c r="C171" s="348">
        <f>VPI!R171</f>
        <v>80078.044999999984</v>
      </c>
      <c r="D171" s="206">
        <f>(PCS!I177-PCS!F177)/C171</f>
        <v>11.649011238089875</v>
      </c>
      <c r="E171" s="505">
        <f>'Péréquation directe'!E177/C171</f>
        <v>-9.8220578077641196</v>
      </c>
      <c r="F171" s="206">
        <f>'Péréquation directe'!F177/Effort!C171</f>
        <v>-13.824541105563362</v>
      </c>
      <c r="G171" s="206">
        <f>'Péréquation directe'!G177/Effort!C171</f>
        <v>0</v>
      </c>
      <c r="H171" s="206">
        <f>'Péréquation directe'!J177/Effort!C171</f>
        <v>19.207162141841813</v>
      </c>
      <c r="I171" s="371">
        <f t="shared" si="6"/>
        <v>7.2095744666042059</v>
      </c>
      <c r="J171" s="223">
        <f t="shared" si="7"/>
        <v>0</v>
      </c>
      <c r="K171" s="42">
        <f t="shared" si="8"/>
        <v>0</v>
      </c>
      <c r="L171" s="237"/>
    </row>
    <row r="172" spans="1:12" x14ac:dyDescent="0.25">
      <c r="A172" s="38">
        <f>Données!A172</f>
        <v>5701</v>
      </c>
      <c r="B172" s="168" t="str">
        <f>Données!B172</f>
        <v>Arnex-sur-Nyon</v>
      </c>
      <c r="C172" s="348">
        <f>VPI!R172</f>
        <v>12996.826285714285</v>
      </c>
      <c r="D172" s="206">
        <f>(PCS!I178-PCS!F178)/C172</f>
        <v>13.125628878305449</v>
      </c>
      <c r="E172" s="505">
        <f>'Péréquation directe'!E178/C172</f>
        <v>-2.3825658732277062</v>
      </c>
      <c r="F172" s="206">
        <f>'Péréquation directe'!F178/Effort!C172</f>
        <v>0</v>
      </c>
      <c r="G172" s="206">
        <f>'Péréquation directe'!G178/Effort!C172</f>
        <v>0</v>
      </c>
      <c r="H172" s="206">
        <f>'Péréquation directe'!J178/Effort!C172</f>
        <v>19.207162141841813</v>
      </c>
      <c r="I172" s="371">
        <f t="shared" si="6"/>
        <v>29.950225146919557</v>
      </c>
      <c r="J172" s="223">
        <f t="shared" si="7"/>
        <v>0</v>
      </c>
      <c r="K172" s="42">
        <f t="shared" si="8"/>
        <v>0</v>
      </c>
      <c r="L172" s="237"/>
    </row>
    <row r="173" spans="1:12" x14ac:dyDescent="0.25">
      <c r="A173" s="38">
        <f>Données!A173</f>
        <v>5702</v>
      </c>
      <c r="B173" s="168" t="str">
        <f>Données!B173</f>
        <v>Arzier-Le Muids</v>
      </c>
      <c r="C173" s="348">
        <f>VPI!R173</f>
        <v>187984.45531250001</v>
      </c>
      <c r="D173" s="206">
        <f>(PCS!I179-PCS!F179)/C173</f>
        <v>15.254018511627525</v>
      </c>
      <c r="E173" s="505">
        <f>'Péréquation directe'!E179/C173</f>
        <v>-4.4434648199752314</v>
      </c>
      <c r="F173" s="206">
        <f>'Péréquation directe'!F179/Effort!C173</f>
        <v>0</v>
      </c>
      <c r="G173" s="206">
        <f>'Péréquation directe'!G179/Effort!C173</f>
        <v>0</v>
      </c>
      <c r="H173" s="206">
        <f>'Péréquation directe'!J179/Effort!C173</f>
        <v>19.207162141841813</v>
      </c>
      <c r="I173" s="371">
        <f t="shared" si="6"/>
        <v>30.017715833494108</v>
      </c>
      <c r="J173" s="223">
        <f t="shared" si="7"/>
        <v>0</v>
      </c>
      <c r="K173" s="42">
        <f t="shared" si="8"/>
        <v>0</v>
      </c>
      <c r="L173" s="237"/>
    </row>
    <row r="174" spans="1:12" x14ac:dyDescent="0.25">
      <c r="A174" s="38">
        <f>Données!A174</f>
        <v>5703</v>
      </c>
      <c r="B174" s="168" t="str">
        <f>Données!B174</f>
        <v>Bassins</v>
      </c>
      <c r="C174" s="348">
        <f>VPI!R174</f>
        <v>65441.246975369453</v>
      </c>
      <c r="D174" s="206">
        <f>(PCS!I180-PCS!F180)/C174</f>
        <v>11.649011238089878</v>
      </c>
      <c r="E174" s="505">
        <f>'Péréquation directe'!E180/C174</f>
        <v>-4.6103959552563172</v>
      </c>
      <c r="F174" s="206">
        <f>'Péréquation directe'!F180/Effort!C174</f>
        <v>-1.9760801419763401</v>
      </c>
      <c r="G174" s="206">
        <f>'Péréquation directe'!G180/Effort!C174</f>
        <v>0</v>
      </c>
      <c r="H174" s="206">
        <f>'Péréquation directe'!J180/Effort!C174</f>
        <v>19.207162141841813</v>
      </c>
      <c r="I174" s="371">
        <f t="shared" si="6"/>
        <v>24.269697282699035</v>
      </c>
      <c r="J174" s="223">
        <f t="shared" si="7"/>
        <v>0</v>
      </c>
      <c r="K174" s="42">
        <f t="shared" si="8"/>
        <v>0</v>
      </c>
      <c r="L174" s="237"/>
    </row>
    <row r="175" spans="1:12" x14ac:dyDescent="0.25">
      <c r="A175" s="38">
        <f>Données!A175</f>
        <v>5704</v>
      </c>
      <c r="B175" s="168" t="str">
        <f>Données!B175</f>
        <v>Begnins</v>
      </c>
      <c r="C175" s="348">
        <f>VPI!R175</f>
        <v>129730.03685333332</v>
      </c>
      <c r="D175" s="206">
        <f>(PCS!I181-PCS!F181)/C175</f>
        <v>15.918398449932543</v>
      </c>
      <c r="E175" s="505">
        <f>'Péréquation directe'!E181/C175</f>
        <v>-3.6094526596700383</v>
      </c>
      <c r="F175" s="206">
        <f>'Péréquation directe'!F181/Effort!C175</f>
        <v>0</v>
      </c>
      <c r="G175" s="206">
        <f>'Péréquation directe'!G181/Effort!C175</f>
        <v>0</v>
      </c>
      <c r="H175" s="206">
        <f>'Péréquation directe'!J181/Effort!C175</f>
        <v>19.207162141841813</v>
      </c>
      <c r="I175" s="371">
        <f t="shared" si="6"/>
        <v>31.516107932104319</v>
      </c>
      <c r="J175" s="223">
        <f t="shared" si="7"/>
        <v>0</v>
      </c>
      <c r="K175" s="42">
        <f t="shared" si="8"/>
        <v>0</v>
      </c>
      <c r="L175" s="237"/>
    </row>
    <row r="176" spans="1:12" x14ac:dyDescent="0.25">
      <c r="A176" s="38">
        <f>Données!A176</f>
        <v>5705</v>
      </c>
      <c r="B176" s="168" t="str">
        <f>Données!B176</f>
        <v>Bogis-Bossey</v>
      </c>
      <c r="C176" s="348">
        <f>VPI!R176</f>
        <v>51044.070201342278</v>
      </c>
      <c r="D176" s="206">
        <f>(PCS!I182-PCS!F182)/C176</f>
        <v>13.497453483368316</v>
      </c>
      <c r="E176" s="505">
        <f>'Péréquation directe'!E182/C176</f>
        <v>-2.3330679791901479</v>
      </c>
      <c r="F176" s="206">
        <f>'Péréquation directe'!F182/Effort!C176</f>
        <v>0</v>
      </c>
      <c r="G176" s="206">
        <f>'Péréquation directe'!G182/Effort!C176</f>
        <v>0</v>
      </c>
      <c r="H176" s="206">
        <f>'Péréquation directe'!J182/Effort!C176</f>
        <v>19.207162141841813</v>
      </c>
      <c r="I176" s="371">
        <f t="shared" si="6"/>
        <v>30.371547646019984</v>
      </c>
      <c r="J176" s="223">
        <f t="shared" si="7"/>
        <v>0</v>
      </c>
      <c r="K176" s="42">
        <f t="shared" si="8"/>
        <v>0</v>
      </c>
      <c r="L176" s="237"/>
    </row>
    <row r="177" spans="1:12" x14ac:dyDescent="0.25">
      <c r="A177" s="38">
        <f>Données!A177</f>
        <v>5706</v>
      </c>
      <c r="B177" s="168" t="str">
        <f>Données!B177</f>
        <v>Borex</v>
      </c>
      <c r="C177" s="348">
        <f>VPI!R177</f>
        <v>156857.9796491228</v>
      </c>
      <c r="D177" s="206">
        <f>(PCS!I183-PCS!F183)/C177</f>
        <v>26.809948237777732</v>
      </c>
      <c r="E177" s="505">
        <f>'Péréquation directe'!E183/C177</f>
        <v>-1.1242666876222871</v>
      </c>
      <c r="F177" s="206">
        <f>'Péréquation directe'!F183/Effort!C177</f>
        <v>0</v>
      </c>
      <c r="G177" s="206">
        <f>'Péréquation directe'!G183/Effort!C177</f>
        <v>0</v>
      </c>
      <c r="H177" s="206">
        <f>'Péréquation directe'!J183/Effort!C177</f>
        <v>19.207162141841813</v>
      </c>
      <c r="I177" s="371">
        <f t="shared" si="6"/>
        <v>44.892843691997257</v>
      </c>
      <c r="J177" s="223">
        <f t="shared" si="7"/>
        <v>0</v>
      </c>
      <c r="K177" s="42">
        <f t="shared" si="8"/>
        <v>0</v>
      </c>
      <c r="L177" s="237"/>
    </row>
    <row r="178" spans="1:12" x14ac:dyDescent="0.25">
      <c r="A178" s="38">
        <f>Données!A178</f>
        <v>5707</v>
      </c>
      <c r="B178" s="168" t="str">
        <f>Données!B178</f>
        <v>Chavannes-de-Bogis</v>
      </c>
      <c r="C178" s="348">
        <f>VPI!R178</f>
        <v>86804.197126436775</v>
      </c>
      <c r="D178" s="206">
        <f>(PCS!I184-PCS!F184)/C178</f>
        <v>15.439194103537789</v>
      </c>
      <c r="E178" s="505">
        <f>'Péréquation directe'!E184/C178</f>
        <v>-2.7932079446004798</v>
      </c>
      <c r="F178" s="206">
        <f>'Péréquation directe'!F184/Effort!C178</f>
        <v>0</v>
      </c>
      <c r="G178" s="206">
        <f>'Péréquation directe'!G184/Effort!C178</f>
        <v>0</v>
      </c>
      <c r="H178" s="206">
        <f>'Péréquation directe'!J184/Effort!C178</f>
        <v>19.207162141841813</v>
      </c>
      <c r="I178" s="371">
        <f t="shared" si="6"/>
        <v>31.853148300779122</v>
      </c>
      <c r="J178" s="223">
        <f t="shared" si="7"/>
        <v>0</v>
      </c>
      <c r="K178" s="42">
        <f t="shared" si="8"/>
        <v>0</v>
      </c>
      <c r="L178" s="237"/>
    </row>
    <row r="179" spans="1:12" x14ac:dyDescent="0.25">
      <c r="A179" s="38">
        <f>Données!A179</f>
        <v>5708</v>
      </c>
      <c r="B179" s="168" t="str">
        <f>Données!B179</f>
        <v>Chavannes-des-Bois</v>
      </c>
      <c r="C179" s="348">
        <f>VPI!R179</f>
        <v>68806.761617647047</v>
      </c>
      <c r="D179" s="206">
        <f>(PCS!I185-PCS!F185)/C179</f>
        <v>16.423018366595869</v>
      </c>
      <c r="E179" s="505">
        <f>'Péréquation directe'!E185/C179</f>
        <v>-1.9801759853053025</v>
      </c>
      <c r="F179" s="206">
        <f>'Péréquation directe'!F185/Effort!C179</f>
        <v>0</v>
      </c>
      <c r="G179" s="206">
        <f>'Péréquation directe'!G185/Effort!C179</f>
        <v>0</v>
      </c>
      <c r="H179" s="206">
        <f>'Péréquation directe'!J185/Effort!C179</f>
        <v>19.207162141841813</v>
      </c>
      <c r="I179" s="371">
        <f t="shared" si="6"/>
        <v>33.650004523132381</v>
      </c>
      <c r="J179" s="223">
        <f t="shared" si="7"/>
        <v>0</v>
      </c>
      <c r="K179" s="42">
        <f t="shared" si="8"/>
        <v>0</v>
      </c>
      <c r="L179" s="237"/>
    </row>
    <row r="180" spans="1:12" x14ac:dyDescent="0.25">
      <c r="A180" s="38">
        <f>Données!A180</f>
        <v>5709</v>
      </c>
      <c r="B180" s="168" t="str">
        <f>Données!B180</f>
        <v>Chéserex</v>
      </c>
      <c r="C180" s="348">
        <f>VPI!R180</f>
        <v>90983.63491228073</v>
      </c>
      <c r="D180" s="206">
        <f>(PCS!I186-PCS!F186)/C180</f>
        <v>16.605249434423889</v>
      </c>
      <c r="E180" s="505">
        <f>'Péréquation directe'!E186/C180</f>
        <v>-2.4147454000394628</v>
      </c>
      <c r="F180" s="206">
        <f>'Péréquation directe'!F186/Effort!C180</f>
        <v>0</v>
      </c>
      <c r="G180" s="206">
        <f>'Péréquation directe'!G186/Effort!C180</f>
        <v>0</v>
      </c>
      <c r="H180" s="206">
        <f>'Péréquation directe'!J186/Effort!C180</f>
        <v>19.207162141841813</v>
      </c>
      <c r="I180" s="371">
        <f t="shared" si="6"/>
        <v>33.397666176226238</v>
      </c>
      <c r="J180" s="223">
        <f t="shared" si="7"/>
        <v>0</v>
      </c>
      <c r="K180" s="42">
        <f t="shared" si="8"/>
        <v>0</v>
      </c>
      <c r="L180" s="237"/>
    </row>
    <row r="181" spans="1:12" x14ac:dyDescent="0.25">
      <c r="A181" s="38">
        <f>Données!A181</f>
        <v>5710</v>
      </c>
      <c r="B181" s="168" t="str">
        <f>Données!B181</f>
        <v>Coinsins</v>
      </c>
      <c r="C181" s="348">
        <f>VPI!R181</f>
        <v>33549.646470588232</v>
      </c>
      <c r="D181" s="206">
        <f>(PCS!I187-PCS!F187)/C181</f>
        <v>15.190497544726021</v>
      </c>
      <c r="E181" s="505">
        <f>'Péréquation directe'!E187/C181</f>
        <v>-1.9190380544301924</v>
      </c>
      <c r="F181" s="206">
        <f>'Péréquation directe'!F187/Effort!C181</f>
        <v>0</v>
      </c>
      <c r="G181" s="206">
        <f>'Péréquation directe'!G187/Effort!C181</f>
        <v>0</v>
      </c>
      <c r="H181" s="206">
        <f>'Péréquation directe'!J187/Effort!C181</f>
        <v>19.207162141841813</v>
      </c>
      <c r="I181" s="371">
        <f t="shared" si="6"/>
        <v>32.478621632137646</v>
      </c>
      <c r="J181" s="223">
        <f t="shared" si="7"/>
        <v>0</v>
      </c>
      <c r="K181" s="42">
        <f t="shared" si="8"/>
        <v>0</v>
      </c>
      <c r="L181" s="237"/>
    </row>
    <row r="182" spans="1:12" x14ac:dyDescent="0.25">
      <c r="A182" s="38">
        <f>Données!A182</f>
        <v>5711</v>
      </c>
      <c r="B182" s="168" t="str">
        <f>Données!B182</f>
        <v>Commugny</v>
      </c>
      <c r="C182" s="348">
        <f>VPI!R182</f>
        <v>305461.09360323887</v>
      </c>
      <c r="D182" s="206">
        <f>(PCS!I188-PCS!F188)/C182</f>
        <v>22.046478210599982</v>
      </c>
      <c r="E182" s="505">
        <f>'Péréquation directe'!E188/C182</f>
        <v>-2.774773711691648</v>
      </c>
      <c r="F182" s="206">
        <f>'Péréquation directe'!F188/Effort!C182</f>
        <v>0</v>
      </c>
      <c r="G182" s="206">
        <f>'Péréquation directe'!G188/Effort!C182</f>
        <v>0</v>
      </c>
      <c r="H182" s="206">
        <f>'Péréquation directe'!J188/Effort!C182</f>
        <v>19.207162141841813</v>
      </c>
      <c r="I182" s="371">
        <f t="shared" si="6"/>
        <v>38.478866640750148</v>
      </c>
      <c r="J182" s="223">
        <f t="shared" si="7"/>
        <v>0</v>
      </c>
      <c r="K182" s="42">
        <f t="shared" si="8"/>
        <v>0</v>
      </c>
      <c r="L182" s="237"/>
    </row>
    <row r="183" spans="1:12" x14ac:dyDescent="0.25">
      <c r="A183" s="38">
        <f>Données!A183</f>
        <v>5712</v>
      </c>
      <c r="B183" s="168" t="str">
        <f>Données!B183</f>
        <v>Coppet</v>
      </c>
      <c r="C183" s="348">
        <f>VPI!R183</f>
        <v>422782.58779874217</v>
      </c>
      <c r="D183" s="206">
        <f>(PCS!I189-PCS!F189)/C183</f>
        <v>25.194342384708332</v>
      </c>
      <c r="E183" s="505">
        <f>'Péréquation directe'!E189/C183</f>
        <v>-2.238789283373082</v>
      </c>
      <c r="F183" s="206">
        <f>'Péréquation directe'!F189/Effort!C183</f>
        <v>0</v>
      </c>
      <c r="G183" s="206">
        <f>'Péréquation directe'!G189/Effort!C183</f>
        <v>0</v>
      </c>
      <c r="H183" s="206">
        <f>'Péréquation directe'!J189/Effort!C183</f>
        <v>19.207162141841813</v>
      </c>
      <c r="I183" s="371">
        <f t="shared" si="6"/>
        <v>42.162715243177061</v>
      </c>
      <c r="J183" s="223">
        <f t="shared" si="7"/>
        <v>0</v>
      </c>
      <c r="K183" s="42">
        <f t="shared" si="8"/>
        <v>0</v>
      </c>
      <c r="L183" s="237"/>
    </row>
    <row r="184" spans="1:12" x14ac:dyDescent="0.25">
      <c r="A184" s="38">
        <f>Données!A184</f>
        <v>5713</v>
      </c>
      <c r="B184" s="168" t="str">
        <f>Données!B184</f>
        <v>Crans</v>
      </c>
      <c r="C184" s="348">
        <f>VPI!R184</f>
        <v>284269.17355932208</v>
      </c>
      <c r="D184" s="206">
        <f>(PCS!I190-PCS!F190)/C184</f>
        <v>25.251515113778083</v>
      </c>
      <c r="E184" s="505">
        <f>'Péréquation directe'!E190/C184</f>
        <v>-2.1822559258319689</v>
      </c>
      <c r="F184" s="206">
        <f>'Péréquation directe'!F190/Effort!C184</f>
        <v>0</v>
      </c>
      <c r="G184" s="206">
        <f>'Péréquation directe'!G190/Effort!C184</f>
        <v>0</v>
      </c>
      <c r="H184" s="206">
        <f>'Péréquation directe'!J190/Effort!C184</f>
        <v>19.207162141841813</v>
      </c>
      <c r="I184" s="371">
        <f t="shared" si="6"/>
        <v>42.276421329787929</v>
      </c>
      <c r="J184" s="223">
        <f t="shared" si="7"/>
        <v>0</v>
      </c>
      <c r="K184" s="42">
        <f t="shared" si="8"/>
        <v>0</v>
      </c>
      <c r="L184" s="237"/>
    </row>
    <row r="185" spans="1:12" x14ac:dyDescent="0.25">
      <c r="A185" s="38">
        <f>Données!A185</f>
        <v>5714</v>
      </c>
      <c r="B185" s="168" t="str">
        <f>Données!B185</f>
        <v>Crassier</v>
      </c>
      <c r="C185" s="348">
        <f>VPI!R185</f>
        <v>62524.655789473691</v>
      </c>
      <c r="D185" s="206">
        <f>(PCS!I191-PCS!F191)/C185</f>
        <v>12.233460694816564</v>
      </c>
      <c r="E185" s="505">
        <f>'Péréquation directe'!E191/C185</f>
        <v>-3.4156247945866984</v>
      </c>
      <c r="F185" s="206">
        <f>'Péréquation directe'!F191/Effort!C185</f>
        <v>0</v>
      </c>
      <c r="G185" s="206">
        <f>'Péréquation directe'!G191/Effort!C185</f>
        <v>0</v>
      </c>
      <c r="H185" s="206">
        <f>'Péréquation directe'!J191/Effort!C185</f>
        <v>19.207162141841813</v>
      </c>
      <c r="I185" s="371">
        <f t="shared" si="6"/>
        <v>28.02499804207168</v>
      </c>
      <c r="J185" s="223">
        <f t="shared" si="7"/>
        <v>0</v>
      </c>
      <c r="K185" s="42">
        <f t="shared" si="8"/>
        <v>0</v>
      </c>
      <c r="L185" s="237"/>
    </row>
    <row r="186" spans="1:12" x14ac:dyDescent="0.25">
      <c r="A186" s="38">
        <f>Données!A186</f>
        <v>5715</v>
      </c>
      <c r="B186" s="168" t="str">
        <f>Données!B186</f>
        <v>Duillier</v>
      </c>
      <c r="C186" s="348">
        <f>VPI!R186</f>
        <v>60550.113787878792</v>
      </c>
      <c r="D186" s="206">
        <f>(PCS!I192-PCS!F192)/C186</f>
        <v>13.063651607912259</v>
      </c>
      <c r="E186" s="505">
        <f>'Péréquation directe'!E192/C186</f>
        <v>-2.8229705351429777</v>
      </c>
      <c r="F186" s="206">
        <f>'Péréquation directe'!F192/Effort!C186</f>
        <v>0</v>
      </c>
      <c r="G186" s="206">
        <f>'Péréquation directe'!G192/Effort!C186</f>
        <v>0</v>
      </c>
      <c r="H186" s="206">
        <f>'Péréquation directe'!J192/Effort!C186</f>
        <v>19.207162141841813</v>
      </c>
      <c r="I186" s="371">
        <f t="shared" si="6"/>
        <v>29.447843214611094</v>
      </c>
      <c r="J186" s="223">
        <f t="shared" si="7"/>
        <v>0</v>
      </c>
      <c r="K186" s="42">
        <f t="shared" si="8"/>
        <v>0</v>
      </c>
      <c r="L186" s="237"/>
    </row>
    <row r="187" spans="1:12" x14ac:dyDescent="0.25">
      <c r="A187" s="38">
        <f>Données!A187</f>
        <v>5716</v>
      </c>
      <c r="B187" s="168" t="str">
        <f>Données!B187</f>
        <v>Eysins</v>
      </c>
      <c r="C187" s="348">
        <f>VPI!R187</f>
        <v>232571.69630252098</v>
      </c>
      <c r="D187" s="206">
        <f>(PCS!I193-PCS!F193)/C187</f>
        <v>26.726949870483288</v>
      </c>
      <c r="E187" s="505">
        <f>'Péréquation directe'!E193/C187</f>
        <v>-1.7461987199942</v>
      </c>
      <c r="F187" s="206">
        <f>'Péréquation directe'!F193/Effort!C187</f>
        <v>0</v>
      </c>
      <c r="G187" s="206">
        <f>'Péréquation directe'!G193/Effort!C187</f>
        <v>0</v>
      </c>
      <c r="H187" s="206">
        <f>'Péréquation directe'!J193/Effort!C187</f>
        <v>19.207162141841813</v>
      </c>
      <c r="I187" s="371">
        <f t="shared" si="6"/>
        <v>44.187913292330904</v>
      </c>
      <c r="J187" s="223">
        <f t="shared" si="7"/>
        <v>0</v>
      </c>
      <c r="K187" s="42">
        <f t="shared" si="8"/>
        <v>0</v>
      </c>
      <c r="L187" s="237"/>
    </row>
    <row r="188" spans="1:12" x14ac:dyDescent="0.25">
      <c r="A188" s="38">
        <f>Données!A188</f>
        <v>5717</v>
      </c>
      <c r="B188" s="168" t="str">
        <f>Données!B188</f>
        <v>Founex</v>
      </c>
      <c r="C188" s="348">
        <f>VPI!R188</f>
        <v>361582.97087719297</v>
      </c>
      <c r="D188" s="206">
        <f>(PCS!I194-PCS!F194)/C188</f>
        <v>20.932496013552299</v>
      </c>
      <c r="E188" s="505">
        <f>'Péréquation directe'!E194/C188</f>
        <v>-3.4484183062912721</v>
      </c>
      <c r="F188" s="206">
        <f>'Péréquation directe'!F194/Effort!C188</f>
        <v>0</v>
      </c>
      <c r="G188" s="206">
        <f>'Péréquation directe'!G194/Effort!C188</f>
        <v>0</v>
      </c>
      <c r="H188" s="206">
        <f>'Péréquation directe'!J194/Effort!C188</f>
        <v>19.207162141841813</v>
      </c>
      <c r="I188" s="371">
        <f t="shared" si="6"/>
        <v>36.691239849102843</v>
      </c>
      <c r="J188" s="223">
        <f t="shared" si="7"/>
        <v>0</v>
      </c>
      <c r="K188" s="42">
        <f t="shared" si="8"/>
        <v>0</v>
      </c>
      <c r="L188" s="237"/>
    </row>
    <row r="189" spans="1:12" x14ac:dyDescent="0.25">
      <c r="A189" s="38">
        <f>Données!A189</f>
        <v>5718</v>
      </c>
      <c r="B189" s="168" t="str">
        <f>Données!B189</f>
        <v>Genolier</v>
      </c>
      <c r="C189" s="348">
        <f>VPI!R189</f>
        <v>212699.2265454545</v>
      </c>
      <c r="D189" s="206">
        <f>(PCS!I195-PCS!F195)/C189</f>
        <v>22.137417302714006</v>
      </c>
      <c r="E189" s="505">
        <f>'Péréquation directe'!E195/C189</f>
        <v>-2.3509534283532965</v>
      </c>
      <c r="F189" s="206">
        <f>'Péréquation directe'!F195/Effort!C189</f>
        <v>0</v>
      </c>
      <c r="G189" s="206">
        <f>'Péréquation directe'!G195/Effort!C189</f>
        <v>0</v>
      </c>
      <c r="H189" s="206">
        <f>'Péréquation directe'!J195/Effort!C189</f>
        <v>19.207162141841813</v>
      </c>
      <c r="I189" s="371">
        <f t="shared" si="6"/>
        <v>38.993626016202526</v>
      </c>
      <c r="J189" s="223">
        <f t="shared" si="7"/>
        <v>0</v>
      </c>
      <c r="K189" s="42">
        <f t="shared" si="8"/>
        <v>0</v>
      </c>
      <c r="L189" s="237"/>
    </row>
    <row r="190" spans="1:12" x14ac:dyDescent="0.25">
      <c r="A190" s="38">
        <f>Données!A190</f>
        <v>5719</v>
      </c>
      <c r="B190" s="168" t="str">
        <f>Données!B190</f>
        <v>Gingins</v>
      </c>
      <c r="C190" s="348">
        <f>VPI!R190</f>
        <v>119943.29911111109</v>
      </c>
      <c r="D190" s="206">
        <f>(PCS!I196-PCS!F196)/C190</f>
        <v>21.173352168862728</v>
      </c>
      <c r="E190" s="505">
        <f>'Péréquation directe'!E196/C190</f>
        <v>-1.8919578473971965</v>
      </c>
      <c r="F190" s="206">
        <f>'Péréquation directe'!F196/Effort!C190</f>
        <v>0</v>
      </c>
      <c r="G190" s="206">
        <f>'Péréquation directe'!G196/Effort!C190</f>
        <v>0</v>
      </c>
      <c r="H190" s="206">
        <f>'Péréquation directe'!J196/Effort!C190</f>
        <v>19.207162141841813</v>
      </c>
      <c r="I190" s="371">
        <f t="shared" si="6"/>
        <v>38.488556463307347</v>
      </c>
      <c r="J190" s="223">
        <f t="shared" si="7"/>
        <v>0</v>
      </c>
      <c r="K190" s="42">
        <f t="shared" si="8"/>
        <v>0</v>
      </c>
      <c r="L190" s="237"/>
    </row>
    <row r="191" spans="1:12" x14ac:dyDescent="0.25">
      <c r="A191" s="38">
        <f>Données!A191</f>
        <v>5720</v>
      </c>
      <c r="B191" s="168" t="str">
        <f>Données!B191</f>
        <v>Givrins</v>
      </c>
      <c r="C191" s="348">
        <f>VPI!R191</f>
        <v>84868.432139303477</v>
      </c>
      <c r="D191" s="206">
        <f>(PCS!I197-PCS!F197)/C191</f>
        <v>20.007626874532178</v>
      </c>
      <c r="E191" s="505">
        <f>'Péréquation directe'!E197/C191</f>
        <v>-1.6309609960567624</v>
      </c>
      <c r="F191" s="206">
        <f>'Péréquation directe'!F197/Effort!C191</f>
        <v>0</v>
      </c>
      <c r="G191" s="206">
        <f>'Péréquation directe'!G197/Effort!C191</f>
        <v>0</v>
      </c>
      <c r="H191" s="206">
        <f>'Péréquation directe'!J197/Effort!C191</f>
        <v>19.207162141841813</v>
      </c>
      <c r="I191" s="371">
        <f t="shared" si="6"/>
        <v>37.583828020317227</v>
      </c>
      <c r="J191" s="223">
        <f t="shared" si="7"/>
        <v>0</v>
      </c>
      <c r="K191" s="42">
        <f t="shared" si="8"/>
        <v>0</v>
      </c>
      <c r="L191" s="237"/>
    </row>
    <row r="192" spans="1:12" x14ac:dyDescent="0.25">
      <c r="A192" s="38">
        <f>Données!A192</f>
        <v>5721</v>
      </c>
      <c r="B192" s="168" t="str">
        <f>Données!B192</f>
        <v>Gland</v>
      </c>
      <c r="C192" s="348">
        <f>VPI!R192</f>
        <v>688985.30491803284</v>
      </c>
      <c r="D192" s="206">
        <f>(PCS!I198-PCS!F198)/C192</f>
        <v>12.099313058802487</v>
      </c>
      <c r="E192" s="505">
        <f>'Péréquation directe'!E198/C192</f>
        <v>-12.693699812444263</v>
      </c>
      <c r="F192" s="206">
        <f>'Péréquation directe'!F198/Effort!C192</f>
        <v>0</v>
      </c>
      <c r="G192" s="206">
        <f>'Péréquation directe'!G198/Effort!C192</f>
        <v>0</v>
      </c>
      <c r="H192" s="206">
        <f>'Péréquation directe'!J198/Effort!C192</f>
        <v>19.207162141841813</v>
      </c>
      <c r="I192" s="371">
        <f t="shared" si="6"/>
        <v>18.612775388200035</v>
      </c>
      <c r="J192" s="223">
        <f t="shared" si="7"/>
        <v>0</v>
      </c>
      <c r="K192" s="42">
        <f t="shared" si="8"/>
        <v>0</v>
      </c>
      <c r="L192" s="237"/>
    </row>
    <row r="193" spans="1:12" x14ac:dyDescent="0.25">
      <c r="A193" s="38">
        <f>Données!A193</f>
        <v>5722</v>
      </c>
      <c r="B193" s="168" t="str">
        <f>Données!B193</f>
        <v>Grens</v>
      </c>
      <c r="C193" s="348">
        <f>VPI!R193</f>
        <v>20912.723225806454</v>
      </c>
      <c r="D193" s="206">
        <f>(PCS!I199-PCS!F199)/C193</f>
        <v>12.559785455594573</v>
      </c>
      <c r="E193" s="505">
        <f>'Péréquation directe'!E199/C193</f>
        <v>-2.4678592735354243</v>
      </c>
      <c r="F193" s="206">
        <f>'Péréquation directe'!F199/Effort!C193</f>
        <v>0</v>
      </c>
      <c r="G193" s="206">
        <f>'Péréquation directe'!G199/Effort!C193</f>
        <v>0</v>
      </c>
      <c r="H193" s="206">
        <f>'Péréquation directe'!J199/Effort!C193</f>
        <v>19.207162141841813</v>
      </c>
      <c r="I193" s="371">
        <f t="shared" si="6"/>
        <v>29.299088323900961</v>
      </c>
      <c r="J193" s="223">
        <f t="shared" si="7"/>
        <v>0</v>
      </c>
      <c r="K193" s="42">
        <f t="shared" si="8"/>
        <v>0</v>
      </c>
      <c r="L193" s="237"/>
    </row>
    <row r="194" spans="1:12" x14ac:dyDescent="0.25">
      <c r="A194" s="38">
        <f>Données!A194</f>
        <v>5723</v>
      </c>
      <c r="B194" s="168" t="str">
        <f>Données!B194</f>
        <v>Mies</v>
      </c>
      <c r="C194" s="348">
        <f>VPI!R194</f>
        <v>253771.19326923077</v>
      </c>
      <c r="D194" s="206">
        <f>(PCS!I200-PCS!F200)/C194</f>
        <v>22.844957192964056</v>
      </c>
      <c r="E194" s="505">
        <f>'Péréquation directe'!E200/C194</f>
        <v>-2.2537555268122063</v>
      </c>
      <c r="F194" s="206">
        <f>'Péréquation directe'!F200/Effort!C194</f>
        <v>0</v>
      </c>
      <c r="G194" s="206">
        <f>'Péréquation directe'!G200/Effort!C194</f>
        <v>0</v>
      </c>
      <c r="H194" s="206">
        <f>'Péréquation directe'!J200/Effort!C194</f>
        <v>19.20716214184181</v>
      </c>
      <c r="I194" s="371">
        <f t="shared" si="6"/>
        <v>39.79836380799366</v>
      </c>
      <c r="J194" s="223">
        <f t="shared" si="7"/>
        <v>0</v>
      </c>
      <c r="K194" s="42">
        <f t="shared" si="8"/>
        <v>0</v>
      </c>
      <c r="L194" s="237"/>
    </row>
    <row r="195" spans="1:12" x14ac:dyDescent="0.25">
      <c r="A195" s="38">
        <f>Données!A195</f>
        <v>5724</v>
      </c>
      <c r="B195" s="168" t="str">
        <f>Données!B195</f>
        <v>Nyon</v>
      </c>
      <c r="C195" s="348">
        <f>VPI!R195</f>
        <v>1520148.6004918031</v>
      </c>
      <c r="D195" s="206">
        <f>(PCS!I201-PCS!F201)/C195</f>
        <v>15.965086680416725</v>
      </c>
      <c r="E195" s="505">
        <f>'Péréquation directe'!E201/C195</f>
        <v>-11.970946127322499</v>
      </c>
      <c r="F195" s="206">
        <f>'Péréquation directe'!F201/Effort!C195</f>
        <v>0</v>
      </c>
      <c r="G195" s="206">
        <f>'Péréquation directe'!G201/Effort!C195</f>
        <v>0</v>
      </c>
      <c r="H195" s="206">
        <f>'Péréquation directe'!J201/Effort!C195</f>
        <v>19.207162141841813</v>
      </c>
      <c r="I195" s="371">
        <f t="shared" si="6"/>
        <v>23.201302694936039</v>
      </c>
      <c r="J195" s="223">
        <f t="shared" si="7"/>
        <v>0</v>
      </c>
      <c r="K195" s="42">
        <f t="shared" si="8"/>
        <v>0</v>
      </c>
      <c r="L195" s="237"/>
    </row>
    <row r="196" spans="1:12" x14ac:dyDescent="0.25">
      <c r="A196" s="38">
        <f>Données!A196</f>
        <v>5725</v>
      </c>
      <c r="B196" s="168" t="str">
        <f>Données!B196</f>
        <v>Prangins</v>
      </c>
      <c r="C196" s="348">
        <f>VPI!R196</f>
        <v>388958.996077922</v>
      </c>
      <c r="D196" s="206">
        <f>(PCS!I202-PCS!F202)/C196</f>
        <v>19.873152183578291</v>
      </c>
      <c r="E196" s="505">
        <f>'Péréquation directe'!E202/C196</f>
        <v>-3.8863913588076278</v>
      </c>
      <c r="F196" s="206">
        <f>'Péréquation directe'!F202/Effort!C196</f>
        <v>0</v>
      </c>
      <c r="G196" s="206">
        <f>'Péréquation directe'!G202/Effort!C196</f>
        <v>0</v>
      </c>
      <c r="H196" s="206">
        <f>'Péréquation directe'!J202/Effort!C196</f>
        <v>19.207162141841813</v>
      </c>
      <c r="I196" s="371">
        <f t="shared" si="6"/>
        <v>35.193922966612476</v>
      </c>
      <c r="J196" s="223">
        <f t="shared" si="7"/>
        <v>0</v>
      </c>
      <c r="K196" s="42">
        <f t="shared" si="8"/>
        <v>0</v>
      </c>
      <c r="L196" s="237"/>
    </row>
    <row r="197" spans="1:12" x14ac:dyDescent="0.25">
      <c r="A197" s="38">
        <f>Données!A197</f>
        <v>5726</v>
      </c>
      <c r="B197" s="168" t="str">
        <f>Données!B197</f>
        <v>La Rippe</v>
      </c>
      <c r="C197" s="348">
        <f>VPI!R197</f>
        <v>69785.913125000021</v>
      </c>
      <c r="D197" s="206">
        <f>(PCS!I203-PCS!F203)/C197</f>
        <v>13.818068754529284</v>
      </c>
      <c r="E197" s="505">
        <f>'Péréquation directe'!E203/C197</f>
        <v>-2.8738626723343907</v>
      </c>
      <c r="F197" s="206">
        <f>'Péréquation directe'!F203/Effort!C197</f>
        <v>0</v>
      </c>
      <c r="G197" s="206">
        <f>'Péréquation directe'!G203/Effort!C197</f>
        <v>0</v>
      </c>
      <c r="H197" s="206">
        <f>'Péréquation directe'!J203/Effort!C197</f>
        <v>19.207162141841813</v>
      </c>
      <c r="I197" s="371">
        <f t="shared" si="6"/>
        <v>30.151368224036705</v>
      </c>
      <c r="J197" s="223">
        <f t="shared" si="7"/>
        <v>0</v>
      </c>
      <c r="K197" s="42">
        <f t="shared" si="8"/>
        <v>0</v>
      </c>
      <c r="L197" s="237"/>
    </row>
    <row r="198" spans="1:12" x14ac:dyDescent="0.25">
      <c r="A198" s="38">
        <f>Données!A198</f>
        <v>5727</v>
      </c>
      <c r="B198" s="168" t="str">
        <f>Données!B198</f>
        <v>Saint-Cergue</v>
      </c>
      <c r="C198" s="348">
        <f>VPI!R198</f>
        <v>107048.1634848485</v>
      </c>
      <c r="D198" s="206">
        <f>(PCS!I204-PCS!F204)/C198</f>
        <v>11.649011238089876</v>
      </c>
      <c r="E198" s="505">
        <f>'Péréquation directe'!E204/C198</f>
        <v>-7.2394574415295159</v>
      </c>
      <c r="F198" s="206">
        <f>'Péréquation directe'!F204/Effort!C198</f>
        <v>-4.5550013464359891</v>
      </c>
      <c r="G198" s="206">
        <f>'Péréquation directe'!G204/Effort!C198</f>
        <v>0</v>
      </c>
      <c r="H198" s="206">
        <f>'Péréquation directe'!J204/Effort!C198</f>
        <v>19.207162141841813</v>
      </c>
      <c r="I198" s="371">
        <f t="shared" si="6"/>
        <v>19.061714591966187</v>
      </c>
      <c r="J198" s="223">
        <f t="shared" si="7"/>
        <v>0</v>
      </c>
      <c r="K198" s="42">
        <f t="shared" si="8"/>
        <v>0</v>
      </c>
      <c r="L198" s="237"/>
    </row>
    <row r="199" spans="1:12" x14ac:dyDescent="0.25">
      <c r="A199" s="38">
        <f>Données!A199</f>
        <v>5728</v>
      </c>
      <c r="B199" s="168" t="str">
        <f>Données!B199</f>
        <v>Signy-Avenex</v>
      </c>
      <c r="C199" s="348">
        <f>VPI!R199</f>
        <v>66000.760172413793</v>
      </c>
      <c r="D199" s="206">
        <f>(PCS!I205-PCS!F205)/C199</f>
        <v>24.020931793720479</v>
      </c>
      <c r="E199" s="505">
        <f>'Péréquation directe'!E205/C199</f>
        <v>-1.1397001528808528</v>
      </c>
      <c r="F199" s="206">
        <f>'Péréquation directe'!F205/Effort!C199</f>
        <v>0</v>
      </c>
      <c r="G199" s="206">
        <f>'Péréquation directe'!G205/Effort!C199</f>
        <v>0</v>
      </c>
      <c r="H199" s="206">
        <f>'Péréquation directe'!J205/Effort!C199</f>
        <v>19.207162141841813</v>
      </c>
      <c r="I199" s="371">
        <f t="shared" ref="I199:I262" si="9">SUM(D199:H199)</f>
        <v>42.088393782681436</v>
      </c>
      <c r="J199" s="223">
        <f t="shared" ref="J199:J262" si="10">IF(I199&gt;J$5,I199-J$5,0)</f>
        <v>0</v>
      </c>
      <c r="K199" s="42">
        <f t="shared" ref="K199:K262" si="11">-J199*C199</f>
        <v>0</v>
      </c>
      <c r="L199" s="237"/>
    </row>
    <row r="200" spans="1:12" x14ac:dyDescent="0.25">
      <c r="A200" s="38">
        <f>Données!A200</f>
        <v>5729</v>
      </c>
      <c r="B200" s="168" t="str">
        <f>Données!B200</f>
        <v>Tannay</v>
      </c>
      <c r="C200" s="348">
        <f>VPI!R200</f>
        <v>189085.86771349865</v>
      </c>
      <c r="D200" s="206">
        <f>(PCS!I206-PCS!F206)/C200</f>
        <v>23.99591915855628</v>
      </c>
      <c r="E200" s="505">
        <f>'Péréquation directe'!E206/C200</f>
        <v>-2.0656323821085079</v>
      </c>
      <c r="F200" s="206">
        <f>'Péréquation directe'!F206/Effort!C200</f>
        <v>0</v>
      </c>
      <c r="G200" s="206">
        <f>'Péréquation directe'!G206/Effort!C200</f>
        <v>0</v>
      </c>
      <c r="H200" s="206">
        <f>'Péréquation directe'!J206/Effort!C200</f>
        <v>19.207162141841813</v>
      </c>
      <c r="I200" s="371">
        <f t="shared" si="9"/>
        <v>41.137448918289586</v>
      </c>
      <c r="J200" s="223">
        <f t="shared" si="10"/>
        <v>0</v>
      </c>
      <c r="K200" s="42">
        <f t="shared" si="11"/>
        <v>0</v>
      </c>
      <c r="L200" s="237"/>
    </row>
    <row r="201" spans="1:12" x14ac:dyDescent="0.25">
      <c r="A201" s="38">
        <f>Données!A201</f>
        <v>5730</v>
      </c>
      <c r="B201" s="168" t="str">
        <f>Données!B201</f>
        <v>Trélex</v>
      </c>
      <c r="C201" s="348">
        <f>VPI!R201</f>
        <v>121414.34176176177</v>
      </c>
      <c r="D201" s="206">
        <f>(PCS!I207-PCS!F207)/C201</f>
        <v>18.976895467093176</v>
      </c>
      <c r="E201" s="505">
        <f>'Péréquation directe'!E207/C201</f>
        <v>-2.3391630969214061</v>
      </c>
      <c r="F201" s="206">
        <f>'Péréquation directe'!F207/Effort!C201</f>
        <v>0</v>
      </c>
      <c r="G201" s="206">
        <f>'Péréquation directe'!G207/Effort!C201</f>
        <v>0</v>
      </c>
      <c r="H201" s="206">
        <f>'Péréquation directe'!J207/Effort!C201</f>
        <v>19.207162141841813</v>
      </c>
      <c r="I201" s="371">
        <f t="shared" si="9"/>
        <v>35.844894512013582</v>
      </c>
      <c r="J201" s="223">
        <f t="shared" si="10"/>
        <v>0</v>
      </c>
      <c r="K201" s="42">
        <f t="shared" si="11"/>
        <v>0</v>
      </c>
      <c r="L201" s="237"/>
    </row>
    <row r="202" spans="1:12" x14ac:dyDescent="0.25">
      <c r="A202" s="38">
        <f>Données!A202</f>
        <v>5731</v>
      </c>
      <c r="B202" s="168" t="str">
        <f>Données!B202</f>
        <v>Le Vaud</v>
      </c>
      <c r="C202" s="348">
        <f>VPI!R202</f>
        <v>69610.558648648643</v>
      </c>
      <c r="D202" s="206">
        <f>(PCS!I208-PCS!F208)/C202</f>
        <v>11.947644750909264</v>
      </c>
      <c r="E202" s="505">
        <f>'Péréquation directe'!E208/C202</f>
        <v>-3.9709683894797041</v>
      </c>
      <c r="F202" s="206">
        <f>'Péréquation directe'!F208/Effort!C202</f>
        <v>0</v>
      </c>
      <c r="G202" s="206">
        <f>'Péréquation directe'!G208/Effort!C202</f>
        <v>0</v>
      </c>
      <c r="H202" s="206">
        <f>'Péréquation directe'!J208/Effort!C202</f>
        <v>19.207162141841813</v>
      </c>
      <c r="I202" s="371">
        <f t="shared" si="9"/>
        <v>27.183838503271375</v>
      </c>
      <c r="J202" s="223">
        <f t="shared" si="10"/>
        <v>0</v>
      </c>
      <c r="K202" s="42">
        <f t="shared" si="11"/>
        <v>0</v>
      </c>
      <c r="L202" s="237"/>
    </row>
    <row r="203" spans="1:12" x14ac:dyDescent="0.25">
      <c r="A203" s="38">
        <f>Données!A203</f>
        <v>5732</v>
      </c>
      <c r="B203" s="168" t="str">
        <f>Données!B203</f>
        <v>Vich</v>
      </c>
      <c r="C203" s="348">
        <f>VPI!R203</f>
        <v>79861.73920634923</v>
      </c>
      <c r="D203" s="206">
        <f>(PCS!I209-PCS!F209)/C203</f>
        <v>16.364008287562772</v>
      </c>
      <c r="E203" s="505">
        <f>'Péréquation directe'!E209/C203</f>
        <v>-2.3393800789623977</v>
      </c>
      <c r="F203" s="206">
        <f>'Péréquation directe'!F209/Effort!C203</f>
        <v>0</v>
      </c>
      <c r="G203" s="206">
        <f>'Péréquation directe'!G209/Effort!C203</f>
        <v>0</v>
      </c>
      <c r="H203" s="206">
        <f>'Péréquation directe'!J209/Effort!C203</f>
        <v>19.207162141841813</v>
      </c>
      <c r="I203" s="371">
        <f t="shared" si="9"/>
        <v>33.231790350442189</v>
      </c>
      <c r="J203" s="223">
        <f t="shared" si="10"/>
        <v>0</v>
      </c>
      <c r="K203" s="42">
        <f t="shared" si="11"/>
        <v>0</v>
      </c>
      <c r="L203" s="237"/>
    </row>
    <row r="204" spans="1:12" x14ac:dyDescent="0.25">
      <c r="A204" s="38">
        <f>Données!A204</f>
        <v>5741</v>
      </c>
      <c r="B204" s="168" t="str">
        <f>Données!B204</f>
        <v>L'Abergement</v>
      </c>
      <c r="C204" s="348">
        <f>VPI!R204</f>
        <v>10833.904395833331</v>
      </c>
      <c r="D204" s="206">
        <f>(PCS!I210-PCS!F210)/C204</f>
        <v>11.649011238089878</v>
      </c>
      <c r="E204" s="505">
        <f>'Péréquation directe'!E210/C204</f>
        <v>-3.0964162540420528</v>
      </c>
      <c r="F204" s="206">
        <f>'Péréquation directe'!F210/Effort!C204</f>
        <v>-4.1576537861610969</v>
      </c>
      <c r="G204" s="206">
        <f>'Péréquation directe'!G210/Effort!C204</f>
        <v>0</v>
      </c>
      <c r="H204" s="206">
        <f>'Péréquation directe'!J210/Effort!C204</f>
        <v>19.207162141841813</v>
      </c>
      <c r="I204" s="371">
        <f t="shared" si="9"/>
        <v>23.602103339728544</v>
      </c>
      <c r="J204" s="223">
        <f t="shared" si="10"/>
        <v>0</v>
      </c>
      <c r="K204" s="42">
        <f t="shared" si="11"/>
        <v>0</v>
      </c>
      <c r="L204" s="237"/>
    </row>
    <row r="205" spans="1:12" x14ac:dyDescent="0.25">
      <c r="A205" s="38">
        <f>Données!A205</f>
        <v>5742</v>
      </c>
      <c r="B205" s="168" t="str">
        <f>Données!B205</f>
        <v>Agiez</v>
      </c>
      <c r="C205" s="348">
        <f>VPI!R205</f>
        <v>9049.0364473684222</v>
      </c>
      <c r="D205" s="206">
        <f>(PCS!I211-PCS!F211)/C205</f>
        <v>11.649011238089876</v>
      </c>
      <c r="E205" s="505">
        <f>'Péréquation directe'!E211/C205</f>
        <v>-5.4324236045559147</v>
      </c>
      <c r="F205" s="206">
        <f>'Péréquation directe'!F211/Effort!C205</f>
        <v>-23.99912481034832</v>
      </c>
      <c r="G205" s="206">
        <f>'Péréquation directe'!G211/Effort!C205</f>
        <v>0</v>
      </c>
      <c r="H205" s="206">
        <f>'Péréquation directe'!J211/Effort!C205</f>
        <v>19.207162141841813</v>
      </c>
      <c r="I205" s="371">
        <f t="shared" si="9"/>
        <v>1.4246249650274549</v>
      </c>
      <c r="J205" s="223">
        <f t="shared" si="10"/>
        <v>0</v>
      </c>
      <c r="K205" s="42">
        <f t="shared" si="11"/>
        <v>0</v>
      </c>
      <c r="L205" s="237"/>
    </row>
    <row r="206" spans="1:12" x14ac:dyDescent="0.25">
      <c r="A206" s="38">
        <f>Données!A206</f>
        <v>5743</v>
      </c>
      <c r="B206" s="168" t="str">
        <f>Données!B206</f>
        <v>Arnex-sur-Orbe</v>
      </c>
      <c r="C206" s="348">
        <f>VPI!R206</f>
        <v>19423.544507042254</v>
      </c>
      <c r="D206" s="206">
        <f>(PCS!I212-PCS!F212)/C206</f>
        <v>11.649011238089876</v>
      </c>
      <c r="E206" s="505">
        <f>'Péréquation directe'!E212/C206</f>
        <v>-4.5967258044547767</v>
      </c>
      <c r="F206" s="206">
        <f>'Péréquation directe'!F212/Effort!C206</f>
        <v>-14.623694463190608</v>
      </c>
      <c r="G206" s="206">
        <f>'Péréquation directe'!G212/Effort!C206</f>
        <v>0</v>
      </c>
      <c r="H206" s="206">
        <f>'Péréquation directe'!J212/Effort!C206</f>
        <v>19.207162141841813</v>
      </c>
      <c r="I206" s="371">
        <f t="shared" si="9"/>
        <v>11.635753112286306</v>
      </c>
      <c r="J206" s="223">
        <f t="shared" si="10"/>
        <v>0</v>
      </c>
      <c r="K206" s="42">
        <f t="shared" si="11"/>
        <v>0</v>
      </c>
      <c r="L206" s="237"/>
    </row>
    <row r="207" spans="1:12" x14ac:dyDescent="0.25">
      <c r="A207" s="38">
        <f>Données!A207</f>
        <v>5744</v>
      </c>
      <c r="B207" s="168" t="str">
        <f>Données!B207</f>
        <v>Ballaigues</v>
      </c>
      <c r="C207" s="348">
        <f>VPI!R207</f>
        <v>54105.101538461538</v>
      </c>
      <c r="D207" s="206">
        <f>(PCS!I213-PCS!F213)/C207</f>
        <v>11.649011238089876</v>
      </c>
      <c r="E207" s="505">
        <f>'Péréquation directe'!E213/C207</f>
        <v>-3.399620658595357</v>
      </c>
      <c r="F207" s="206">
        <f>'Péréquation directe'!F213/Effort!C207</f>
        <v>-0.53050235259297329</v>
      </c>
      <c r="G207" s="206">
        <f>'Péréquation directe'!G213/Effort!C207</f>
        <v>0</v>
      </c>
      <c r="H207" s="206">
        <f>'Péréquation directe'!J213/Effort!C207</f>
        <v>19.207162141841813</v>
      </c>
      <c r="I207" s="371">
        <f t="shared" si="9"/>
        <v>26.926050368743361</v>
      </c>
      <c r="J207" s="223">
        <f t="shared" si="10"/>
        <v>0</v>
      </c>
      <c r="K207" s="42">
        <f t="shared" si="11"/>
        <v>0</v>
      </c>
      <c r="L207" s="237"/>
    </row>
    <row r="208" spans="1:12" x14ac:dyDescent="0.25">
      <c r="A208" s="38">
        <f>Données!A208</f>
        <v>5745</v>
      </c>
      <c r="B208" s="168" t="str">
        <f>Données!B208</f>
        <v>Baulmes</v>
      </c>
      <c r="C208" s="348">
        <f>VPI!R208</f>
        <v>27705.104967320265</v>
      </c>
      <c r="D208" s="206">
        <f>(PCS!I214-PCS!F214)/C208</f>
        <v>11.649011238089876</v>
      </c>
      <c r="E208" s="505">
        <f>'Péréquation directe'!E214/C208</f>
        <v>-6.3782999205856958</v>
      </c>
      <c r="F208" s="206">
        <f>'Péréquation directe'!F214/Effort!C208</f>
        <v>-22.905253021354028</v>
      </c>
      <c r="G208" s="206">
        <f>'Péréquation directe'!G214/Effort!C208</f>
        <v>0</v>
      </c>
      <c r="H208" s="206">
        <f>'Péréquation directe'!J214/Effort!C208</f>
        <v>19.207162141841813</v>
      </c>
      <c r="I208" s="371">
        <f t="shared" si="9"/>
        <v>1.572620437991965</v>
      </c>
      <c r="J208" s="223">
        <f t="shared" si="10"/>
        <v>0</v>
      </c>
      <c r="K208" s="42">
        <f t="shared" si="11"/>
        <v>0</v>
      </c>
      <c r="L208" s="237"/>
    </row>
    <row r="209" spans="1:12" x14ac:dyDescent="0.25">
      <c r="A209" s="38">
        <f>Données!A209</f>
        <v>5746</v>
      </c>
      <c r="B209" s="168" t="str">
        <f>Données!B209</f>
        <v>Bavois</v>
      </c>
      <c r="C209" s="348">
        <f>VPI!R209</f>
        <v>29513.59275462963</v>
      </c>
      <c r="D209" s="206">
        <f>(PCS!I215-PCS!F215)/C209</f>
        <v>11.649011238089876</v>
      </c>
      <c r="E209" s="505">
        <f>'Péréquation directe'!E215/C209</f>
        <v>-4.4818519527471006</v>
      </c>
      <c r="F209" s="206">
        <f>'Péréquation directe'!F215/Effort!C209</f>
        <v>-13.594017388972109</v>
      </c>
      <c r="G209" s="206">
        <f>'Péréquation directe'!G215/Effort!C209</f>
        <v>0</v>
      </c>
      <c r="H209" s="206">
        <f>'Péréquation directe'!J215/Effort!C209</f>
        <v>19.207162141841813</v>
      </c>
      <c r="I209" s="371">
        <f t="shared" si="9"/>
        <v>12.780304038212481</v>
      </c>
      <c r="J209" s="223">
        <f t="shared" si="10"/>
        <v>0</v>
      </c>
      <c r="K209" s="42">
        <f t="shared" si="11"/>
        <v>0</v>
      </c>
      <c r="L209" s="237"/>
    </row>
    <row r="210" spans="1:12" x14ac:dyDescent="0.25">
      <c r="A210" s="38">
        <f>Données!A210</f>
        <v>5747</v>
      </c>
      <c r="B210" s="168" t="str">
        <f>Données!B210</f>
        <v>Bofflens</v>
      </c>
      <c r="C210" s="348">
        <f>VPI!R210</f>
        <v>5778.0378260869547</v>
      </c>
      <c r="D210" s="206">
        <f>(PCS!I216-PCS!F216)/C210</f>
        <v>11.649011238089876</v>
      </c>
      <c r="E210" s="505">
        <f>'Péréquation directe'!E216/C210</f>
        <v>-4.5553397789271939</v>
      </c>
      <c r="F210" s="206">
        <f>'Péréquation directe'!F216/Effort!C210</f>
        <v>-13.51575778154022</v>
      </c>
      <c r="G210" s="206">
        <f>'Péréquation directe'!G216/Effort!C210</f>
        <v>0</v>
      </c>
      <c r="H210" s="206">
        <f>'Péréquation directe'!J216/Effort!C210</f>
        <v>19.207162141841813</v>
      </c>
      <c r="I210" s="371">
        <f t="shared" si="9"/>
        <v>12.785075819464275</v>
      </c>
      <c r="J210" s="223">
        <f t="shared" si="10"/>
        <v>0</v>
      </c>
      <c r="K210" s="42">
        <f t="shared" si="11"/>
        <v>0</v>
      </c>
      <c r="L210" s="237"/>
    </row>
    <row r="211" spans="1:12" x14ac:dyDescent="0.25">
      <c r="A211" s="38">
        <f>Données!A211</f>
        <v>5748</v>
      </c>
      <c r="B211" s="168" t="str">
        <f>Données!B211</f>
        <v>Bretonnières</v>
      </c>
      <c r="C211" s="348">
        <f>VPI!R211</f>
        <v>6762.4759338061467</v>
      </c>
      <c r="D211" s="206">
        <f>(PCS!I217-PCS!F217)/C211</f>
        <v>11.649011238089876</v>
      </c>
      <c r="E211" s="505">
        <f>'Péréquation directe'!E217/C211</f>
        <v>-5.0369679062652706</v>
      </c>
      <c r="F211" s="206">
        <f>'Péréquation directe'!F217/Effort!C211</f>
        <v>-17.701866714287348</v>
      </c>
      <c r="G211" s="206">
        <f>'Péréquation directe'!G217/Effort!C211</f>
        <v>0</v>
      </c>
      <c r="H211" s="206">
        <f>'Péréquation directe'!J217/Effort!C211</f>
        <v>19.207162141841813</v>
      </c>
      <c r="I211" s="371">
        <f t="shared" si="9"/>
        <v>8.11733875937907</v>
      </c>
      <c r="J211" s="223">
        <f t="shared" si="10"/>
        <v>0</v>
      </c>
      <c r="K211" s="42">
        <f t="shared" si="11"/>
        <v>0</v>
      </c>
      <c r="L211" s="237"/>
    </row>
    <row r="212" spans="1:12" x14ac:dyDescent="0.25">
      <c r="A212" s="38">
        <f>Données!A212</f>
        <v>5749</v>
      </c>
      <c r="B212" s="168" t="str">
        <f>Données!B212</f>
        <v>Chavornay</v>
      </c>
      <c r="C212" s="348">
        <f>VPI!R212</f>
        <v>144692.07858156026</v>
      </c>
      <c r="D212" s="206">
        <f>(PCS!I218-PCS!F218)/C212</f>
        <v>11.649011238089876</v>
      </c>
      <c r="E212" s="505">
        <f>'Péréquation directe'!E218/C212</f>
        <v>-14.795340786146131</v>
      </c>
      <c r="F212" s="206">
        <f>'Péréquation directe'!F218/Effort!C212</f>
        <v>-16.148104075947902</v>
      </c>
      <c r="G212" s="206">
        <f>'Péréquation directe'!G218/Effort!C212</f>
        <v>0</v>
      </c>
      <c r="H212" s="206">
        <f>'Péréquation directe'!J218/Effort!C212</f>
        <v>19.207162141841813</v>
      </c>
      <c r="I212" s="371">
        <f t="shared" si="9"/>
        <v>-8.7271482162343261E-2</v>
      </c>
      <c r="J212" s="223">
        <f t="shared" si="10"/>
        <v>0</v>
      </c>
      <c r="K212" s="42">
        <f t="shared" si="11"/>
        <v>0</v>
      </c>
      <c r="L212" s="237"/>
    </row>
    <row r="213" spans="1:12" x14ac:dyDescent="0.25">
      <c r="A213" s="38">
        <f>Données!A213</f>
        <v>5750</v>
      </c>
      <c r="B213" s="168" t="str">
        <f>Données!B213</f>
        <v>Les Clées</v>
      </c>
      <c r="C213" s="348">
        <f>VPI!R213</f>
        <v>5460.4465833333343</v>
      </c>
      <c r="D213" s="206">
        <f>(PCS!I219-PCS!F219)/C213</f>
        <v>11.649011238089876</v>
      </c>
      <c r="E213" s="505">
        <f>'Péréquation directe'!E219/C213</f>
        <v>-4.4185974026715211</v>
      </c>
      <c r="F213" s="206">
        <f>'Péréquation directe'!F219/Effort!C213</f>
        <v>-16.855405907186469</v>
      </c>
      <c r="G213" s="206">
        <f>'Péréquation directe'!G219/Effort!C213</f>
        <v>0</v>
      </c>
      <c r="H213" s="206">
        <f>'Péréquation directe'!J219/Effort!C213</f>
        <v>19.207162141841813</v>
      </c>
      <c r="I213" s="371">
        <f t="shared" si="9"/>
        <v>9.5821700700736994</v>
      </c>
      <c r="J213" s="223">
        <f t="shared" si="10"/>
        <v>0</v>
      </c>
      <c r="K213" s="42">
        <f t="shared" si="11"/>
        <v>0</v>
      </c>
      <c r="L213" s="237"/>
    </row>
    <row r="214" spans="1:12" x14ac:dyDescent="0.25">
      <c r="A214" s="38">
        <f>Données!A214</f>
        <v>5752</v>
      </c>
      <c r="B214" s="168" t="str">
        <f>Données!B214</f>
        <v>Croy</v>
      </c>
      <c r="C214" s="348">
        <f>VPI!R214</f>
        <v>10204.254034749034</v>
      </c>
      <c r="D214" s="206">
        <f>(PCS!I220-PCS!F220)/C214</f>
        <v>11.649011238089878</v>
      </c>
      <c r="E214" s="505">
        <f>'Péréquation directe'!E220/C214</f>
        <v>-4.8932870442414806</v>
      </c>
      <c r="F214" s="206">
        <f>'Péréquation directe'!F220/Effort!C214</f>
        <v>-18.322485913203749</v>
      </c>
      <c r="G214" s="206">
        <f>'Péréquation directe'!G220/Effort!C214</f>
        <v>0</v>
      </c>
      <c r="H214" s="206">
        <f>'Péréquation directe'!J220/Effort!C214</f>
        <v>19.207162141841813</v>
      </c>
      <c r="I214" s="371">
        <f t="shared" si="9"/>
        <v>7.6404004224864615</v>
      </c>
      <c r="J214" s="223">
        <f t="shared" si="10"/>
        <v>0</v>
      </c>
      <c r="K214" s="42">
        <f t="shared" si="11"/>
        <v>0</v>
      </c>
      <c r="L214" s="237"/>
    </row>
    <row r="215" spans="1:12" x14ac:dyDescent="0.25">
      <c r="A215" s="38">
        <f>Données!A215</f>
        <v>5754</v>
      </c>
      <c r="B215" s="168" t="str">
        <f>Données!B215</f>
        <v>Juriens</v>
      </c>
      <c r="C215" s="348">
        <f>VPI!R215</f>
        <v>8633.2483544303759</v>
      </c>
      <c r="D215" s="206">
        <f>(PCS!I221-PCS!F221)/C215</f>
        <v>11.649011238089876</v>
      </c>
      <c r="E215" s="505">
        <f>'Péréquation directe'!E221/C215</f>
        <v>-5.2158150340072291</v>
      </c>
      <c r="F215" s="206">
        <f>'Péréquation directe'!F221/Effort!C215</f>
        <v>-23.902637259835178</v>
      </c>
      <c r="G215" s="206">
        <f>'Péréquation directe'!G221/Effort!C215</f>
        <v>0</v>
      </c>
      <c r="H215" s="206">
        <f>'Péréquation directe'!J221/Effort!C215</f>
        <v>19.207162141841813</v>
      </c>
      <c r="I215" s="371">
        <f t="shared" si="9"/>
        <v>1.7377210860892838</v>
      </c>
      <c r="J215" s="223">
        <f t="shared" si="10"/>
        <v>0</v>
      </c>
      <c r="K215" s="42">
        <f t="shared" si="11"/>
        <v>0</v>
      </c>
      <c r="L215" s="237"/>
    </row>
    <row r="216" spans="1:12" x14ac:dyDescent="0.25">
      <c r="A216" s="38">
        <f>Données!A216</f>
        <v>5755</v>
      </c>
      <c r="B216" s="168" t="str">
        <f>Données!B216</f>
        <v>Lignerolle</v>
      </c>
      <c r="C216" s="348">
        <f>VPI!R216</f>
        <v>10920.942602365787</v>
      </c>
      <c r="D216" s="206">
        <f>(PCS!I222-PCS!F222)/C216</f>
        <v>11.649011238089876</v>
      </c>
      <c r="E216" s="505">
        <f>'Péréquation directe'!E222/C216</f>
        <v>-5.2928413788098023</v>
      </c>
      <c r="F216" s="206">
        <f>'Péréquation directe'!F222/Effort!C216</f>
        <v>-24.313283085657382</v>
      </c>
      <c r="G216" s="206">
        <f>'Péréquation directe'!G222/Effort!C216</f>
        <v>0</v>
      </c>
      <c r="H216" s="206">
        <f>'Péréquation directe'!J222/Effort!C216</f>
        <v>19.207162141841813</v>
      </c>
      <c r="I216" s="371">
        <f t="shared" si="9"/>
        <v>1.2500489154645038</v>
      </c>
      <c r="J216" s="223">
        <f t="shared" si="10"/>
        <v>0</v>
      </c>
      <c r="K216" s="42">
        <f t="shared" si="11"/>
        <v>0</v>
      </c>
      <c r="L216" s="237"/>
    </row>
    <row r="217" spans="1:12" x14ac:dyDescent="0.25">
      <c r="A217" s="38">
        <f>Données!A217</f>
        <v>5756</v>
      </c>
      <c r="B217" s="168" t="str">
        <f>Données!B217</f>
        <v>Montcherand</v>
      </c>
      <c r="C217" s="348">
        <f>VPI!R217</f>
        <v>17503.400416666664</v>
      </c>
      <c r="D217" s="206">
        <f>(PCS!I223-PCS!F223)/C217</f>
        <v>11.649011238089876</v>
      </c>
      <c r="E217" s="505">
        <f>'Péréquation directe'!E223/C217</f>
        <v>-3.656202471046373</v>
      </c>
      <c r="F217" s="206">
        <f>'Péréquation directe'!F223/Effort!C217</f>
        <v>-7.7222477855733871</v>
      </c>
      <c r="G217" s="206">
        <f>'Péréquation directe'!G223/Effort!C217</f>
        <v>0</v>
      </c>
      <c r="H217" s="206">
        <f>'Péréquation directe'!J223/Effort!C217</f>
        <v>19.207162141841813</v>
      </c>
      <c r="I217" s="371">
        <f t="shared" si="9"/>
        <v>19.477723123311929</v>
      </c>
      <c r="J217" s="223">
        <f t="shared" si="10"/>
        <v>0</v>
      </c>
      <c r="K217" s="42">
        <f t="shared" si="11"/>
        <v>0</v>
      </c>
      <c r="L217" s="237"/>
    </row>
    <row r="218" spans="1:12" x14ac:dyDescent="0.25">
      <c r="A218" s="38">
        <f>Données!A218</f>
        <v>5757</v>
      </c>
      <c r="B218" s="168" t="str">
        <f>Données!B218</f>
        <v>Orbe</v>
      </c>
      <c r="C218" s="348">
        <f>VPI!R218</f>
        <v>217762.06927152316</v>
      </c>
      <c r="D218" s="206">
        <f>(PCS!I224-PCS!F224)/C218</f>
        <v>11.649011238089875</v>
      </c>
      <c r="E218" s="505">
        <f>'Péréquation directe'!E224/C218</f>
        <v>-16.107482834317597</v>
      </c>
      <c r="F218" s="206">
        <f>'Péréquation directe'!F224/Effort!C218</f>
        <v>-15.845983789496801</v>
      </c>
      <c r="G218" s="206">
        <f>'Péréquation directe'!G224/Effort!C218</f>
        <v>0</v>
      </c>
      <c r="H218" s="206">
        <f>'Péréquation directe'!J224/Effort!C218</f>
        <v>19.207162141841813</v>
      </c>
      <c r="I218" s="371">
        <f t="shared" si="9"/>
        <v>-1.0972932438827101</v>
      </c>
      <c r="J218" s="223">
        <f t="shared" si="10"/>
        <v>0</v>
      </c>
      <c r="K218" s="42">
        <f t="shared" si="11"/>
        <v>0</v>
      </c>
      <c r="L218" s="237"/>
    </row>
    <row r="219" spans="1:12" x14ac:dyDescent="0.25">
      <c r="A219" s="38">
        <f>Données!A219</f>
        <v>5758</v>
      </c>
      <c r="B219" s="168" t="str">
        <f>Données!B219</f>
        <v>La Praz</v>
      </c>
      <c r="C219" s="348">
        <f>VPI!R219</f>
        <v>4500.7334939759048</v>
      </c>
      <c r="D219" s="206">
        <f>(PCS!I225-PCS!F225)/C219</f>
        <v>11.649011238089876</v>
      </c>
      <c r="E219" s="505">
        <f>'Péréquation directe'!E225/C219</f>
        <v>-5.2461267797059215</v>
      </c>
      <c r="F219" s="206">
        <f>'Péréquation directe'!F225/Effort!C219</f>
        <v>-26.697781679766646</v>
      </c>
      <c r="G219" s="206">
        <f>'Péréquation directe'!G225/Effort!C219</f>
        <v>0</v>
      </c>
      <c r="H219" s="206">
        <f>'Péréquation directe'!J225/Effort!C219</f>
        <v>19.207162141841813</v>
      </c>
      <c r="I219" s="371">
        <f t="shared" si="9"/>
        <v>-1.0877350795408773</v>
      </c>
      <c r="J219" s="223">
        <f t="shared" si="10"/>
        <v>0</v>
      </c>
      <c r="K219" s="42">
        <f t="shared" si="11"/>
        <v>0</v>
      </c>
      <c r="L219" s="237"/>
    </row>
    <row r="220" spans="1:12" x14ac:dyDescent="0.25">
      <c r="A220" s="38">
        <f>Données!A220</f>
        <v>5759</v>
      </c>
      <c r="B220" s="168" t="str">
        <f>Données!B220</f>
        <v>Premier</v>
      </c>
      <c r="C220" s="348">
        <f>VPI!R220</f>
        <v>5667.0675471698114</v>
      </c>
      <c r="D220" s="206">
        <f>(PCS!I226-PCS!F226)/C220</f>
        <v>11.649011238089876</v>
      </c>
      <c r="E220" s="505">
        <f>'Péréquation directe'!E226/C220</f>
        <v>-5.3730960387690585</v>
      </c>
      <c r="F220" s="206">
        <f>'Péréquation directe'!F226/Effort!C220</f>
        <v>-25.697808088842098</v>
      </c>
      <c r="G220" s="206">
        <f>'Péréquation directe'!G226/Effort!C220</f>
        <v>0</v>
      </c>
      <c r="H220" s="206">
        <f>'Péréquation directe'!J226/Effort!C220</f>
        <v>19.207162141841813</v>
      </c>
      <c r="I220" s="371">
        <f t="shared" si="9"/>
        <v>-0.21473074767946798</v>
      </c>
      <c r="J220" s="223">
        <f t="shared" si="10"/>
        <v>0</v>
      </c>
      <c r="K220" s="42">
        <f t="shared" si="11"/>
        <v>0</v>
      </c>
      <c r="L220" s="237"/>
    </row>
    <row r="221" spans="1:12" x14ac:dyDescent="0.25">
      <c r="A221" s="38">
        <f>Données!A221</f>
        <v>5760</v>
      </c>
      <c r="B221" s="168" t="str">
        <f>Données!B221</f>
        <v>Rances</v>
      </c>
      <c r="C221" s="348">
        <f>VPI!R221</f>
        <v>16308.735686274507</v>
      </c>
      <c r="D221" s="206">
        <f>(PCS!I227-PCS!F227)/C221</f>
        <v>11.649011238089876</v>
      </c>
      <c r="E221" s="505">
        <f>'Péréquation directe'!E227/C221</f>
        <v>-4.1297256217361396</v>
      </c>
      <c r="F221" s="206">
        <f>'Péréquation directe'!F227/Effort!C221</f>
        <v>-12.876033799580954</v>
      </c>
      <c r="G221" s="206">
        <f>'Péréquation directe'!G227/Effort!C221</f>
        <v>0</v>
      </c>
      <c r="H221" s="206">
        <f>'Péréquation directe'!J227/Effort!C221</f>
        <v>19.207162141841813</v>
      </c>
      <c r="I221" s="371">
        <f t="shared" si="9"/>
        <v>13.850413958614595</v>
      </c>
      <c r="J221" s="223">
        <f t="shared" si="10"/>
        <v>0</v>
      </c>
      <c r="K221" s="42">
        <f t="shared" si="11"/>
        <v>0</v>
      </c>
      <c r="L221" s="237"/>
    </row>
    <row r="222" spans="1:12" x14ac:dyDescent="0.25">
      <c r="A222" s="38">
        <f>Données!A222</f>
        <v>5761</v>
      </c>
      <c r="B222" s="168" t="str">
        <f>Données!B222</f>
        <v>Romainmôtier-Envy</v>
      </c>
      <c r="C222" s="348">
        <f>VPI!R222</f>
        <v>14407.779147025813</v>
      </c>
      <c r="D222" s="206">
        <f>(PCS!I228-PCS!F228)/C222</f>
        <v>11.649011238089876</v>
      </c>
      <c r="E222" s="505">
        <f>'Péréquation directe'!E228/C222</f>
        <v>-5.0775826998949194</v>
      </c>
      <c r="F222" s="206">
        <f>'Péréquation directe'!F228/Effort!C222</f>
        <v>-23.767287744889348</v>
      </c>
      <c r="G222" s="206">
        <f>'Péréquation directe'!G228/Effort!C222</f>
        <v>0</v>
      </c>
      <c r="H222" s="206">
        <f>'Péréquation directe'!J228/Effort!C222</f>
        <v>19.207162141841813</v>
      </c>
      <c r="I222" s="371">
        <f t="shared" si="9"/>
        <v>2.0113029351474232</v>
      </c>
      <c r="J222" s="223">
        <f t="shared" si="10"/>
        <v>0</v>
      </c>
      <c r="K222" s="42">
        <f t="shared" si="11"/>
        <v>0</v>
      </c>
      <c r="L222" s="237"/>
    </row>
    <row r="223" spans="1:12" x14ac:dyDescent="0.25">
      <c r="A223" s="38">
        <f>Données!A223</f>
        <v>5762</v>
      </c>
      <c r="B223" s="168" t="str">
        <f>Données!B223</f>
        <v>Sergey</v>
      </c>
      <c r="C223" s="348">
        <f>VPI!R223</f>
        <v>3741.4505128205124</v>
      </c>
      <c r="D223" s="206">
        <f>(PCS!I229-PCS!F229)/C223</f>
        <v>11.649011238089876</v>
      </c>
      <c r="E223" s="505">
        <f>'Péréquation directe'!E229/C223</f>
        <v>-4.8279083793287869</v>
      </c>
      <c r="F223" s="206">
        <f>'Péréquation directe'!F229/Effort!C223</f>
        <v>-19.759958646446687</v>
      </c>
      <c r="G223" s="206">
        <f>'Péréquation directe'!G229/Effort!C223</f>
        <v>0</v>
      </c>
      <c r="H223" s="206">
        <f>'Péréquation directe'!J229/Effort!C223</f>
        <v>19.207162141841813</v>
      </c>
      <c r="I223" s="371">
        <f t="shared" si="9"/>
        <v>6.2683063541562163</v>
      </c>
      <c r="J223" s="223">
        <f t="shared" si="10"/>
        <v>0</v>
      </c>
      <c r="K223" s="42">
        <f t="shared" si="11"/>
        <v>0</v>
      </c>
      <c r="L223" s="237"/>
    </row>
    <row r="224" spans="1:12" x14ac:dyDescent="0.25">
      <c r="A224" s="38">
        <f>Données!A224</f>
        <v>5763</v>
      </c>
      <c r="B224" s="168" t="str">
        <f>Données!B224</f>
        <v>Valeyres-sous-Rances</v>
      </c>
      <c r="C224" s="348">
        <f>VPI!R224</f>
        <v>22295.640563380282</v>
      </c>
      <c r="D224" s="206">
        <f>(PCS!I230-PCS!F230)/C224</f>
        <v>11.649011238089876</v>
      </c>
      <c r="E224" s="505">
        <f>'Péréquation directe'!E230/C224</f>
        <v>-3.5069022380620098</v>
      </c>
      <c r="F224" s="206">
        <f>'Péréquation directe'!F230/Effort!C224</f>
        <v>-6.379868736471944</v>
      </c>
      <c r="G224" s="206">
        <f>'Péréquation directe'!G230/Effort!C224</f>
        <v>0</v>
      </c>
      <c r="H224" s="206">
        <f>'Péréquation directe'!J230/Effort!C224</f>
        <v>19.207162141841813</v>
      </c>
      <c r="I224" s="371">
        <f t="shared" si="9"/>
        <v>20.969402405397737</v>
      </c>
      <c r="J224" s="223">
        <f t="shared" si="10"/>
        <v>0</v>
      </c>
      <c r="K224" s="42">
        <f t="shared" si="11"/>
        <v>0</v>
      </c>
      <c r="L224" s="237"/>
    </row>
    <row r="225" spans="1:12" x14ac:dyDescent="0.25">
      <c r="A225" s="38">
        <f>Données!A225</f>
        <v>5764</v>
      </c>
      <c r="B225" s="168" t="str">
        <f>Données!B225</f>
        <v>Vallorbe</v>
      </c>
      <c r="C225" s="348">
        <f>VPI!R225</f>
        <v>83717.114965034954</v>
      </c>
      <c r="D225" s="206">
        <f>(PCS!I231-PCS!F231)/C225</f>
        <v>11.649011238089876</v>
      </c>
      <c r="E225" s="505">
        <f>'Péréquation directe'!E231/C225</f>
        <v>-16.274987144360729</v>
      </c>
      <c r="F225" s="206">
        <f>'Péréquation directe'!F231/Effort!C225</f>
        <v>-26.741052077516979</v>
      </c>
      <c r="G225" s="206">
        <f>'Péréquation directe'!G231/Effort!C225</f>
        <v>0</v>
      </c>
      <c r="H225" s="206">
        <f>'Péréquation directe'!J231/Effort!C225</f>
        <v>19.207162141841813</v>
      </c>
      <c r="I225" s="371">
        <f t="shared" si="9"/>
        <v>-12.159865841946019</v>
      </c>
      <c r="J225" s="223">
        <f t="shared" si="10"/>
        <v>0</v>
      </c>
      <c r="K225" s="42">
        <f t="shared" si="11"/>
        <v>0</v>
      </c>
      <c r="L225" s="237"/>
    </row>
    <row r="226" spans="1:12" x14ac:dyDescent="0.25">
      <c r="A226" s="38">
        <f>Données!A226</f>
        <v>5765</v>
      </c>
      <c r="B226" s="168" t="str">
        <f>Données!B226</f>
        <v>Vaulion</v>
      </c>
      <c r="C226" s="348">
        <f>VPI!R226</f>
        <v>9628.0504938271606</v>
      </c>
      <c r="D226" s="206">
        <f>(PCS!I232-PCS!F232)/C226</f>
        <v>11.649011238089876</v>
      </c>
      <c r="E226" s="505">
        <f>'Péréquation directe'!E232/C226</f>
        <v>-6.4726147844556268</v>
      </c>
      <c r="F226" s="206">
        <f>'Péréquation directe'!F232/Effort!C226</f>
        <v>-37.501702046993479</v>
      </c>
      <c r="G226" s="206">
        <f>'Péréquation directe'!G232/Effort!C226</f>
        <v>0</v>
      </c>
      <c r="H226" s="206">
        <f>'Péréquation directe'!J232/Effort!C226</f>
        <v>19.207162141841813</v>
      </c>
      <c r="I226" s="371">
        <f t="shared" si="9"/>
        <v>-13.118143451517419</v>
      </c>
      <c r="J226" s="223">
        <f t="shared" si="10"/>
        <v>0</v>
      </c>
      <c r="K226" s="42">
        <f t="shared" si="11"/>
        <v>0</v>
      </c>
      <c r="L226" s="237"/>
    </row>
    <row r="227" spans="1:12" x14ac:dyDescent="0.25">
      <c r="A227" s="38">
        <f>Données!A227</f>
        <v>5766</v>
      </c>
      <c r="B227" s="168" t="str">
        <f>Données!B227</f>
        <v>Vuiteboeuf</v>
      </c>
      <c r="C227" s="348">
        <f>VPI!R227</f>
        <v>15422.760361904762</v>
      </c>
      <c r="D227" s="206">
        <f>(PCS!I233-PCS!F233)/C227</f>
        <v>11.649011238089876</v>
      </c>
      <c r="E227" s="505">
        <f>'Péréquation directe'!E233/C227</f>
        <v>-4.9525695770547511</v>
      </c>
      <c r="F227" s="206">
        <f>'Péréquation directe'!F233/Effort!C227</f>
        <v>-19.321420239201519</v>
      </c>
      <c r="G227" s="206">
        <f>'Péréquation directe'!G233/Effort!C227</f>
        <v>0</v>
      </c>
      <c r="H227" s="206">
        <f>'Péréquation directe'!J233/Effort!C227</f>
        <v>19.207162141841813</v>
      </c>
      <c r="I227" s="371">
        <f t="shared" si="9"/>
        <v>6.5821835636754198</v>
      </c>
      <c r="J227" s="223">
        <f t="shared" si="10"/>
        <v>0</v>
      </c>
      <c r="K227" s="42">
        <f t="shared" si="11"/>
        <v>0</v>
      </c>
      <c r="L227" s="237"/>
    </row>
    <row r="228" spans="1:12" x14ac:dyDescent="0.25">
      <c r="A228" s="38">
        <f>Données!A228</f>
        <v>5785</v>
      </c>
      <c r="B228" s="168" t="str">
        <f>Données!B228</f>
        <v>Corcelles-le-Jorat</v>
      </c>
      <c r="C228" s="348">
        <f>VPI!R228</f>
        <v>15461.968933333332</v>
      </c>
      <c r="D228" s="206">
        <f>(PCS!I234-PCS!F234)/C228</f>
        <v>11.649011238089876</v>
      </c>
      <c r="E228" s="505">
        <f>'Péréquation directe'!E234/C228</f>
        <v>-4.0387926263435814</v>
      </c>
      <c r="F228" s="206">
        <f>'Péréquation directe'!F234/Effort!C228</f>
        <v>-11.608503629707158</v>
      </c>
      <c r="G228" s="206">
        <f>'Péréquation directe'!G234/Effort!C228</f>
        <v>0</v>
      </c>
      <c r="H228" s="206">
        <f>'Péréquation directe'!J234/Effort!C228</f>
        <v>19.207162141841813</v>
      </c>
      <c r="I228" s="371">
        <f t="shared" si="9"/>
        <v>15.208877123880949</v>
      </c>
      <c r="J228" s="223">
        <f t="shared" si="10"/>
        <v>0</v>
      </c>
      <c r="K228" s="42">
        <f t="shared" si="11"/>
        <v>0</v>
      </c>
      <c r="L228" s="237"/>
    </row>
    <row r="229" spans="1:12" x14ac:dyDescent="0.25">
      <c r="A229" s="38">
        <f>Données!A229</f>
        <v>5790</v>
      </c>
      <c r="B229" s="168" t="str">
        <f>Données!B229</f>
        <v>Maracon</v>
      </c>
      <c r="C229" s="348">
        <f>VPI!R229</f>
        <v>16326.697583892621</v>
      </c>
      <c r="D229" s="206">
        <f>(PCS!I235-PCS!F235)/C229</f>
        <v>11.649011238089876</v>
      </c>
      <c r="E229" s="505">
        <f>'Péréquation directe'!E235/C229</f>
        <v>-4.2990405406969368</v>
      </c>
      <c r="F229" s="206">
        <f>'Péréquation directe'!F235/Effort!C229</f>
        <v>-13.621722581140396</v>
      </c>
      <c r="G229" s="206">
        <f>'Péréquation directe'!G235/Effort!C229</f>
        <v>0</v>
      </c>
      <c r="H229" s="206">
        <f>'Péréquation directe'!J235/Effort!C229</f>
        <v>19.207162141841813</v>
      </c>
      <c r="I229" s="371">
        <f t="shared" si="9"/>
        <v>12.935410258094358</v>
      </c>
      <c r="J229" s="223">
        <f t="shared" si="10"/>
        <v>0</v>
      </c>
      <c r="K229" s="42">
        <f t="shared" si="11"/>
        <v>0</v>
      </c>
      <c r="L229" s="237"/>
    </row>
    <row r="230" spans="1:12" x14ac:dyDescent="0.25">
      <c r="A230" s="38">
        <f>Données!A230</f>
        <v>5792</v>
      </c>
      <c r="B230" s="168" t="str">
        <f>Données!B230</f>
        <v>Montpreveyres</v>
      </c>
      <c r="C230" s="348">
        <f>VPI!R230</f>
        <v>19363.161854304632</v>
      </c>
      <c r="D230" s="206">
        <f>(PCS!I236-PCS!F236)/C230</f>
        <v>11.649011238089876</v>
      </c>
      <c r="E230" s="505">
        <f>'Péréquation directe'!E236/C230</f>
        <v>-4.411158908142478</v>
      </c>
      <c r="F230" s="206">
        <f>'Péréquation directe'!F236/Effort!C230</f>
        <v>-14.948878265217475</v>
      </c>
      <c r="G230" s="206">
        <f>'Péréquation directe'!G236/Effort!C230</f>
        <v>0</v>
      </c>
      <c r="H230" s="206">
        <f>'Péréquation directe'!J236/Effort!C230</f>
        <v>19.207162141841813</v>
      </c>
      <c r="I230" s="371">
        <f t="shared" si="9"/>
        <v>11.496136206571737</v>
      </c>
      <c r="J230" s="223">
        <f t="shared" si="10"/>
        <v>0</v>
      </c>
      <c r="K230" s="42">
        <f t="shared" si="11"/>
        <v>0</v>
      </c>
      <c r="L230" s="237"/>
    </row>
    <row r="231" spans="1:12" x14ac:dyDescent="0.25">
      <c r="A231" s="38">
        <f>Données!A231</f>
        <v>5798</v>
      </c>
      <c r="B231" s="168" t="str">
        <f>Données!B231</f>
        <v>Ropraz</v>
      </c>
      <c r="C231" s="348">
        <f>VPI!R231</f>
        <v>16208.351096774193</v>
      </c>
      <c r="D231" s="206">
        <f>(PCS!I237-PCS!F237)/C231</f>
        <v>11.649011238089876</v>
      </c>
      <c r="E231" s="505">
        <f>'Péréquation directe'!E237/C231</f>
        <v>-4.2110250591374978</v>
      </c>
      <c r="F231" s="206">
        <f>'Péréquation directe'!F237/Effort!C231</f>
        <v>-13.947597182040386</v>
      </c>
      <c r="G231" s="206">
        <f>'Péréquation directe'!G237/Effort!C231</f>
        <v>0</v>
      </c>
      <c r="H231" s="206">
        <f>'Péréquation directe'!J237/Effort!C231</f>
        <v>19.207162141841813</v>
      </c>
      <c r="I231" s="371">
        <f t="shared" si="9"/>
        <v>12.697551138753806</v>
      </c>
      <c r="J231" s="223">
        <f t="shared" si="10"/>
        <v>0</v>
      </c>
      <c r="K231" s="42">
        <f t="shared" si="11"/>
        <v>0</v>
      </c>
      <c r="L231" s="237"/>
    </row>
    <row r="232" spans="1:12" x14ac:dyDescent="0.25">
      <c r="A232" s="38">
        <f>Données!A232</f>
        <v>5799</v>
      </c>
      <c r="B232" s="168" t="str">
        <f>Données!B232</f>
        <v>Servion</v>
      </c>
      <c r="C232" s="348">
        <f>VPI!R232</f>
        <v>73170.718115942043</v>
      </c>
      <c r="D232" s="206">
        <f>(PCS!I238-PCS!F238)/C232</f>
        <v>11.649011238089876</v>
      </c>
      <c r="E232" s="505">
        <f>'Péréquation directe'!E238/C232</f>
        <v>-7.3820059989652949</v>
      </c>
      <c r="F232" s="206">
        <f>'Péréquation directe'!F238/Effort!C232</f>
        <v>-7.9051284450103818</v>
      </c>
      <c r="G232" s="206">
        <f>'Péréquation directe'!G238/Effort!C232</f>
        <v>0</v>
      </c>
      <c r="H232" s="206">
        <f>'Péréquation directe'!J238/Effort!C232</f>
        <v>19.207162141841813</v>
      </c>
      <c r="I232" s="371">
        <f t="shared" si="9"/>
        <v>15.569038935956012</v>
      </c>
      <c r="J232" s="223">
        <f t="shared" si="10"/>
        <v>0</v>
      </c>
      <c r="K232" s="42">
        <f t="shared" si="11"/>
        <v>0</v>
      </c>
      <c r="L232" s="237"/>
    </row>
    <row r="233" spans="1:12" x14ac:dyDescent="0.25">
      <c r="A233" s="38">
        <f>Données!A233</f>
        <v>5803</v>
      </c>
      <c r="B233" s="168" t="str">
        <f>Données!B233</f>
        <v>Vulliens</v>
      </c>
      <c r="C233" s="348">
        <f>VPI!R233</f>
        <v>16577.57405405405</v>
      </c>
      <c r="D233" s="206">
        <f>(PCS!I239-PCS!F239)/C233</f>
        <v>11.649011238089876</v>
      </c>
      <c r="E233" s="505">
        <f>'Péréquation directe'!E239/C233</f>
        <v>-4.9188897779287934</v>
      </c>
      <c r="F233" s="206">
        <f>'Péréquation directe'!F239/Effort!C233</f>
        <v>-18.532866512663801</v>
      </c>
      <c r="G233" s="206">
        <f>'Péréquation directe'!G239/Effort!C233</f>
        <v>0</v>
      </c>
      <c r="H233" s="206">
        <f>'Péréquation directe'!J239/Effort!C233</f>
        <v>19.207162141841813</v>
      </c>
      <c r="I233" s="371">
        <f t="shared" si="9"/>
        <v>7.4044170893390948</v>
      </c>
      <c r="J233" s="223">
        <f t="shared" si="10"/>
        <v>0</v>
      </c>
      <c r="K233" s="42">
        <f t="shared" si="11"/>
        <v>0</v>
      </c>
      <c r="L233" s="237"/>
    </row>
    <row r="234" spans="1:12" x14ac:dyDescent="0.25">
      <c r="A234" s="38">
        <f>Données!A234</f>
        <v>5804</v>
      </c>
      <c r="B234" s="168" t="str">
        <f>Données!B234</f>
        <v>Jorat-Menthue</v>
      </c>
      <c r="C234" s="348">
        <f>VPI!R234</f>
        <v>45125.345957446807</v>
      </c>
      <c r="D234" s="206">
        <f>(PCS!I240-PCS!F240)/C234</f>
        <v>11.649011238089875</v>
      </c>
      <c r="E234" s="505">
        <f>'Péréquation directe'!E240/C234</f>
        <v>-7.382554858780809</v>
      </c>
      <c r="F234" s="206">
        <f>'Péréquation directe'!F240/Effort!C234</f>
        <v>-13.508425373280547</v>
      </c>
      <c r="G234" s="206">
        <f>'Péréquation directe'!G240/Effort!C234</f>
        <v>0</v>
      </c>
      <c r="H234" s="206">
        <f>'Péréquation directe'!J240/Effort!C234</f>
        <v>19.207162141841813</v>
      </c>
      <c r="I234" s="371">
        <f t="shared" si="9"/>
        <v>9.9651931478703322</v>
      </c>
      <c r="J234" s="223">
        <f t="shared" si="10"/>
        <v>0</v>
      </c>
      <c r="K234" s="42">
        <f t="shared" si="11"/>
        <v>0</v>
      </c>
      <c r="L234" s="237"/>
    </row>
    <row r="235" spans="1:12" x14ac:dyDescent="0.25">
      <c r="A235" s="38">
        <f>Données!A235</f>
        <v>5805</v>
      </c>
      <c r="B235" s="168" t="str">
        <f>Données!B235</f>
        <v>Oron</v>
      </c>
      <c r="C235" s="348">
        <f>VPI!R235</f>
        <v>174509.83123847167</v>
      </c>
      <c r="D235" s="206">
        <f>(PCS!I241-PCS!F241)/C235</f>
        <v>11.649011238089875</v>
      </c>
      <c r="E235" s="505">
        <f>'Péréquation directe'!E241/C235</f>
        <v>-14.765741183319701</v>
      </c>
      <c r="F235" s="206">
        <f>'Péréquation directe'!F241/Effort!C235</f>
        <v>-13.292525787962838</v>
      </c>
      <c r="G235" s="206">
        <f>'Péréquation directe'!G241/Effort!C235</f>
        <v>0</v>
      </c>
      <c r="H235" s="206">
        <f>'Péréquation directe'!J241/Effort!C235</f>
        <v>19.207162141841813</v>
      </c>
      <c r="I235" s="371">
        <f t="shared" si="9"/>
        <v>2.7979064086491476</v>
      </c>
      <c r="J235" s="223">
        <f t="shared" si="10"/>
        <v>0</v>
      </c>
      <c r="K235" s="42">
        <f t="shared" si="11"/>
        <v>0</v>
      </c>
      <c r="L235" s="237"/>
    </row>
    <row r="236" spans="1:12" x14ac:dyDescent="0.25">
      <c r="A236" s="38">
        <f>Données!A236</f>
        <v>5806</v>
      </c>
      <c r="B236" s="168" t="str">
        <f>Données!B236</f>
        <v>Jorat-Mézières</v>
      </c>
      <c r="C236" s="348">
        <f>VPI!R236</f>
        <v>102977.86342465752</v>
      </c>
      <c r="D236" s="206">
        <f>(PCS!I242-PCS!F242)/C236</f>
        <v>11.649011238089876</v>
      </c>
      <c r="E236" s="505">
        <f>'Péréquation directe'!E242/C236</f>
        <v>-8.8206333834440436</v>
      </c>
      <c r="F236" s="206">
        <f>'Péréquation directe'!F242/Effort!C236</f>
        <v>-9.8607108151108136</v>
      </c>
      <c r="G236" s="206">
        <f>'Péréquation directe'!G242/Effort!C236</f>
        <v>0</v>
      </c>
      <c r="H236" s="206">
        <f>'Péréquation directe'!J242/Effort!C236</f>
        <v>19.207162141841813</v>
      </c>
      <c r="I236" s="371">
        <f t="shared" si="9"/>
        <v>12.174829181376833</v>
      </c>
      <c r="J236" s="223">
        <f t="shared" si="10"/>
        <v>0</v>
      </c>
      <c r="K236" s="42">
        <f t="shared" si="11"/>
        <v>0</v>
      </c>
      <c r="L236" s="237"/>
    </row>
    <row r="237" spans="1:12" x14ac:dyDescent="0.25">
      <c r="A237" s="38">
        <f>Données!A237</f>
        <v>5812</v>
      </c>
      <c r="B237" s="168" t="str">
        <f>Données!B237</f>
        <v>Champtauroz</v>
      </c>
      <c r="C237" s="348">
        <f>VPI!R237</f>
        <v>3602.9164935064928</v>
      </c>
      <c r="D237" s="206">
        <f>(PCS!I243-PCS!F243)/C237</f>
        <v>11.649011238089876</v>
      </c>
      <c r="E237" s="505">
        <f>'Péréquation directe'!E243/C237</f>
        <v>-6.0520637994792548</v>
      </c>
      <c r="F237" s="206">
        <f>'Péréquation directe'!F243/Effort!C237</f>
        <v>-30.14769542745308</v>
      </c>
      <c r="G237" s="206">
        <f>'Péréquation directe'!G243/Effort!C237</f>
        <v>0</v>
      </c>
      <c r="H237" s="206">
        <f>'Péréquation directe'!J243/Effort!C237</f>
        <v>19.207162141841813</v>
      </c>
      <c r="I237" s="371">
        <f t="shared" si="9"/>
        <v>-5.3435858470006465</v>
      </c>
      <c r="J237" s="223">
        <f t="shared" si="10"/>
        <v>0</v>
      </c>
      <c r="K237" s="42">
        <f t="shared" si="11"/>
        <v>0</v>
      </c>
      <c r="L237" s="237"/>
    </row>
    <row r="238" spans="1:12" x14ac:dyDescent="0.25">
      <c r="A238" s="38">
        <f>Données!A238</f>
        <v>5813</v>
      </c>
      <c r="B238" s="168" t="str">
        <f>Données!B238</f>
        <v>Chevroux</v>
      </c>
      <c r="C238" s="348">
        <f>VPI!R238</f>
        <v>17498.80282238443</v>
      </c>
      <c r="D238" s="206">
        <f>(PCS!I244-PCS!F244)/C238</f>
        <v>11.649011238089876</v>
      </c>
      <c r="E238" s="505">
        <f>'Péréquation directe'!E244/C238</f>
        <v>-3.8488692229605341</v>
      </c>
      <c r="F238" s="206">
        <f>'Péréquation directe'!F244/Effort!C238</f>
        <v>-8.3462967376515333</v>
      </c>
      <c r="G238" s="206">
        <f>'Péréquation directe'!G244/Effort!C238</f>
        <v>0</v>
      </c>
      <c r="H238" s="206">
        <f>'Péréquation directe'!J244/Effort!C238</f>
        <v>19.207162141841813</v>
      </c>
      <c r="I238" s="371">
        <f t="shared" si="9"/>
        <v>18.661007419319624</v>
      </c>
      <c r="J238" s="223">
        <f t="shared" si="10"/>
        <v>0</v>
      </c>
      <c r="K238" s="42">
        <f t="shared" si="11"/>
        <v>0</v>
      </c>
      <c r="L238" s="237"/>
    </row>
    <row r="239" spans="1:12" x14ac:dyDescent="0.25">
      <c r="A239" s="38">
        <f>Données!A239</f>
        <v>5816</v>
      </c>
      <c r="B239" s="168" t="str">
        <f>Données!B239</f>
        <v>Corcelles-près-Payerne</v>
      </c>
      <c r="C239" s="348">
        <f>VPI!R239</f>
        <v>65701.749572471308</v>
      </c>
      <c r="D239" s="206">
        <f>(PCS!I245-PCS!F245)/C239</f>
        <v>11.649011238089876</v>
      </c>
      <c r="E239" s="505">
        <f>'Péréquation directe'!E245/C239</f>
        <v>-12.147191752065828</v>
      </c>
      <c r="F239" s="206">
        <f>'Péréquation directe'!F245/Effort!C239</f>
        <v>-20.68112908738739</v>
      </c>
      <c r="G239" s="206">
        <f>'Péréquation directe'!G245/Effort!C239</f>
        <v>0</v>
      </c>
      <c r="H239" s="206">
        <f>'Péréquation directe'!J245/Effort!C239</f>
        <v>19.207162141841813</v>
      </c>
      <c r="I239" s="371">
        <f t="shared" si="9"/>
        <v>-1.9721474595215298</v>
      </c>
      <c r="J239" s="223">
        <f t="shared" si="10"/>
        <v>0</v>
      </c>
      <c r="K239" s="42">
        <f t="shared" si="11"/>
        <v>0</v>
      </c>
      <c r="L239" s="237"/>
    </row>
    <row r="240" spans="1:12" x14ac:dyDescent="0.25">
      <c r="A240" s="38">
        <f>Données!A240</f>
        <v>5817</v>
      </c>
      <c r="B240" s="168" t="str">
        <f>Données!B240</f>
        <v>Grandcour</v>
      </c>
      <c r="C240" s="348">
        <f>VPI!R240</f>
        <v>25916.897414965984</v>
      </c>
      <c r="D240" s="206">
        <f>(PCS!I246-PCS!F246)/C240</f>
        <v>11.649011238089875</v>
      </c>
      <c r="E240" s="505">
        <f>'Péréquation directe'!E246/C240</f>
        <v>-4.9923187333424455</v>
      </c>
      <c r="F240" s="206">
        <f>'Péréquation directe'!F246/Effort!C240</f>
        <v>-18.805873907875096</v>
      </c>
      <c r="G240" s="206">
        <f>'Péréquation directe'!G246/Effort!C240</f>
        <v>0</v>
      </c>
      <c r="H240" s="206">
        <f>'Péréquation directe'!J246/Effort!C240</f>
        <v>19.207162141841813</v>
      </c>
      <c r="I240" s="371">
        <f t="shared" si="9"/>
        <v>7.0579807387141464</v>
      </c>
      <c r="J240" s="223">
        <f t="shared" si="10"/>
        <v>0</v>
      </c>
      <c r="K240" s="42">
        <f t="shared" si="11"/>
        <v>0</v>
      </c>
      <c r="L240" s="237"/>
    </row>
    <row r="241" spans="1:13" x14ac:dyDescent="0.25">
      <c r="A241" s="38">
        <f>Données!A241</f>
        <v>5819</v>
      </c>
      <c r="B241" s="168" t="str">
        <f>Données!B241</f>
        <v>Henniez</v>
      </c>
      <c r="C241" s="348">
        <f>VPI!R241</f>
        <v>10275.75579710145</v>
      </c>
      <c r="D241" s="206">
        <f>(PCS!I247-PCS!F247)/C241</f>
        <v>11.649011238089876</v>
      </c>
      <c r="E241" s="505">
        <f>'Péréquation directe'!E247/C241</f>
        <v>-5.1982547104634893</v>
      </c>
      <c r="F241" s="206">
        <f>'Péréquation directe'!F247/Effort!C241</f>
        <v>-18.108875790554155</v>
      </c>
      <c r="G241" s="206">
        <f>'Péréquation directe'!G247/Effort!C241</f>
        <v>0</v>
      </c>
      <c r="H241" s="206">
        <f>'Péréquation directe'!J247/Effort!C241</f>
        <v>19.207162141841813</v>
      </c>
      <c r="I241" s="371">
        <f t="shared" si="9"/>
        <v>7.5490428789140456</v>
      </c>
      <c r="J241" s="223">
        <f t="shared" si="10"/>
        <v>0</v>
      </c>
      <c r="K241" s="42">
        <f t="shared" si="11"/>
        <v>0</v>
      </c>
      <c r="L241" s="237"/>
    </row>
    <row r="242" spans="1:13" x14ac:dyDescent="0.25">
      <c r="A242" s="38">
        <f>Données!A242</f>
        <v>5821</v>
      </c>
      <c r="B242" s="168" t="str">
        <f>Données!B242</f>
        <v>Missy</v>
      </c>
      <c r="C242" s="348">
        <f>VPI!R242</f>
        <v>8375.965000000002</v>
      </c>
      <c r="D242" s="206">
        <f>(PCS!I248-PCS!F248)/C242</f>
        <v>11.649011238089876</v>
      </c>
      <c r="E242" s="505">
        <f>'Péréquation directe'!E248/C242</f>
        <v>-5.9613840392583173</v>
      </c>
      <c r="F242" s="206">
        <f>'Péréquation directe'!F248/Effort!C242</f>
        <v>-25.654136758379252</v>
      </c>
      <c r="G242" s="206">
        <f>'Péréquation directe'!G248/Effort!C242</f>
        <v>0</v>
      </c>
      <c r="H242" s="206">
        <f>'Péréquation directe'!J248/Effort!C242</f>
        <v>19.207162141841813</v>
      </c>
      <c r="I242" s="371">
        <f t="shared" si="9"/>
        <v>-0.75934741770587877</v>
      </c>
      <c r="J242" s="223">
        <f t="shared" si="10"/>
        <v>0</v>
      </c>
      <c r="K242" s="42">
        <f t="shared" si="11"/>
        <v>0</v>
      </c>
      <c r="L242" s="237"/>
    </row>
    <row r="243" spans="1:13" x14ac:dyDescent="0.25">
      <c r="A243" s="38">
        <f>Données!A243</f>
        <v>5822</v>
      </c>
      <c r="B243" s="168" t="str">
        <f>Données!B243</f>
        <v>Payerne</v>
      </c>
      <c r="C243" s="348">
        <f>VPI!R243</f>
        <v>226909.24698630138</v>
      </c>
      <c r="D243" s="206">
        <f>(PCS!I249-PCS!F249)/C243</f>
        <v>11.649011238089876</v>
      </c>
      <c r="E243" s="505">
        <f>'Péréquation directe'!E249/C243</f>
        <v>-24.562830622495035</v>
      </c>
      <c r="F243" s="206">
        <f>'Péréquation directe'!F249/Effort!C243</f>
        <v>-25.90776924977834</v>
      </c>
      <c r="G243" s="206">
        <f>'Péréquation directe'!G249/Effort!C243</f>
        <v>0</v>
      </c>
      <c r="H243" s="206">
        <f>'Péréquation directe'!J249/Effort!C243</f>
        <v>19.20716214184181</v>
      </c>
      <c r="I243" s="371">
        <f t="shared" si="9"/>
        <v>-19.614426492341689</v>
      </c>
      <c r="J243" s="223">
        <f t="shared" si="10"/>
        <v>0</v>
      </c>
      <c r="K243" s="42">
        <f t="shared" si="11"/>
        <v>0</v>
      </c>
      <c r="L243" s="237"/>
    </row>
    <row r="244" spans="1:13" x14ac:dyDescent="0.25">
      <c r="A244" s="38">
        <f>Données!A244</f>
        <v>5827</v>
      </c>
      <c r="B244" s="168" t="str">
        <f>Données!B244</f>
        <v>Trey</v>
      </c>
      <c r="C244" s="348">
        <f>VPI!R244</f>
        <v>7715.2558974358981</v>
      </c>
      <c r="D244" s="206">
        <f>(PCS!I250-PCS!F250)/C244</f>
        <v>11.649011238089876</v>
      </c>
      <c r="E244" s="505">
        <f>'Péréquation directe'!E250/C244</f>
        <v>-5.0504211744231071</v>
      </c>
      <c r="F244" s="206">
        <f>'Péréquation directe'!F250/Effort!C244</f>
        <v>-21.791380426701629</v>
      </c>
      <c r="G244" s="206">
        <f>'Péréquation directe'!G250/Effort!C244</f>
        <v>0</v>
      </c>
      <c r="H244" s="206">
        <f>'Péréquation directe'!J250/Effort!C244</f>
        <v>19.207162141841813</v>
      </c>
      <c r="I244" s="371">
        <f t="shared" si="9"/>
        <v>4.0143717788069537</v>
      </c>
      <c r="J244" s="223">
        <f t="shared" si="10"/>
        <v>0</v>
      </c>
      <c r="K244" s="42">
        <f t="shared" si="11"/>
        <v>0</v>
      </c>
      <c r="L244" s="237"/>
    </row>
    <row r="245" spans="1:13" x14ac:dyDescent="0.25">
      <c r="A245" s="38">
        <f>Données!A245</f>
        <v>5828</v>
      </c>
      <c r="B245" s="168" t="str">
        <f>Données!B245</f>
        <v>Treytorrens (Payerne)</v>
      </c>
      <c r="C245" s="348">
        <f>VPI!R245</f>
        <v>2864.8065848670758</v>
      </c>
      <c r="D245" s="206">
        <f>(PCS!I251-PCS!F251)/C245</f>
        <v>11.64901123808988</v>
      </c>
      <c r="E245" s="505">
        <f>'Péréquation directe'!E251/C245</f>
        <v>-4.7289528315211529</v>
      </c>
      <c r="F245" s="206">
        <f>'Péréquation directe'!F251/Effort!C245</f>
        <v>-20.586769419129801</v>
      </c>
      <c r="G245" s="206">
        <f>'Péréquation directe'!G251/Effort!C245</f>
        <v>0</v>
      </c>
      <c r="H245" s="206">
        <f>'Péréquation directe'!J251/Effort!C245</f>
        <v>19.207162141841813</v>
      </c>
      <c r="I245" s="371">
        <f t="shared" si="9"/>
        <v>5.5404511292807399</v>
      </c>
      <c r="J245" s="223">
        <f t="shared" si="10"/>
        <v>0</v>
      </c>
      <c r="K245" s="42">
        <f t="shared" si="11"/>
        <v>0</v>
      </c>
      <c r="L245" s="237"/>
    </row>
    <row r="246" spans="1:13" x14ac:dyDescent="0.25">
      <c r="A246" s="38">
        <f>Données!A246</f>
        <v>5830</v>
      </c>
      <c r="B246" s="168" t="str">
        <f>Données!B246</f>
        <v>Villarzel</v>
      </c>
      <c r="C246" s="348">
        <f>VPI!R246</f>
        <v>12474.180666666667</v>
      </c>
      <c r="D246" s="206">
        <f>(PCS!I252-PCS!F252)/C246</f>
        <v>11.649011238089876</v>
      </c>
      <c r="E246" s="505">
        <f>'Péréquation directe'!E252/C246</f>
        <v>-5.0371852252560361</v>
      </c>
      <c r="F246" s="206">
        <f>'Péréquation directe'!F252/Effort!C246</f>
        <v>-20.035635494824799</v>
      </c>
      <c r="G246" s="206">
        <f>'Péréquation directe'!G252/Effort!C246</f>
        <v>0</v>
      </c>
      <c r="H246" s="206">
        <f>'Péréquation directe'!J252/Effort!C246</f>
        <v>19.207162141841813</v>
      </c>
      <c r="I246" s="371">
        <f t="shared" si="9"/>
        <v>5.7833526598508556</v>
      </c>
      <c r="J246" s="223">
        <f t="shared" si="10"/>
        <v>0</v>
      </c>
      <c r="K246" s="42">
        <f t="shared" si="11"/>
        <v>0</v>
      </c>
      <c r="L246" s="237"/>
      <c r="M246" s="218"/>
    </row>
    <row r="247" spans="1:13" x14ac:dyDescent="0.25">
      <c r="A247" s="38">
        <f>Données!A247</f>
        <v>5831</v>
      </c>
      <c r="B247" s="168" t="str">
        <f>Données!B247</f>
        <v>Valbroye</v>
      </c>
      <c r="C247" s="348">
        <f>VPI!R247</f>
        <v>87477.16732860521</v>
      </c>
      <c r="D247" s="206">
        <f>(PCS!I253-PCS!F253)/C247</f>
        <v>11.649011238089878</v>
      </c>
      <c r="E247" s="505">
        <f>'Péréquation directe'!E253/C247</f>
        <v>-11.870369716097221</v>
      </c>
      <c r="F247" s="206">
        <f>'Péréquation directe'!F253/Effort!C247</f>
        <v>-17.118652807484356</v>
      </c>
      <c r="G247" s="206">
        <f>'Péréquation directe'!G253/Effort!C247</f>
        <v>0</v>
      </c>
      <c r="H247" s="206">
        <f>'Péréquation directe'!J253/Effort!C247</f>
        <v>19.207162141841813</v>
      </c>
      <c r="I247" s="371">
        <f t="shared" si="9"/>
        <v>1.8671508563501149</v>
      </c>
      <c r="J247" s="223">
        <f t="shared" si="10"/>
        <v>0</v>
      </c>
      <c r="K247" s="42">
        <f t="shared" si="11"/>
        <v>0</v>
      </c>
      <c r="L247" s="237"/>
    </row>
    <row r="248" spans="1:13" x14ac:dyDescent="0.25">
      <c r="A248" s="38">
        <f>Données!A248</f>
        <v>5841</v>
      </c>
      <c r="B248" s="168" t="str">
        <f>Données!B248</f>
        <v>Château-d'Oex</v>
      </c>
      <c r="C248" s="348">
        <f>VPI!R248</f>
        <v>123828.98781186093</v>
      </c>
      <c r="D248" s="206">
        <f>(PCS!I254-PCS!F254)/C248</f>
        <v>11.649011238089876</v>
      </c>
      <c r="E248" s="505">
        <f>'Péréquation directe'!E254/C248</f>
        <v>-9.2483862631513833</v>
      </c>
      <c r="F248" s="206">
        <f>'Péréquation directe'!F254/Effort!C248</f>
        <v>-10.517772225240865</v>
      </c>
      <c r="G248" s="206">
        <f>'Péréquation directe'!G254/Effort!C248</f>
        <v>0</v>
      </c>
      <c r="H248" s="206">
        <f>'Péréquation directe'!J254/Effort!C248</f>
        <v>19.207162141841813</v>
      </c>
      <c r="I248" s="371">
        <f t="shared" si="9"/>
        <v>11.090014891539441</v>
      </c>
      <c r="J248" s="223">
        <f t="shared" si="10"/>
        <v>0</v>
      </c>
      <c r="K248" s="42">
        <f t="shared" si="11"/>
        <v>0</v>
      </c>
      <c r="L248" s="237"/>
    </row>
    <row r="249" spans="1:13" x14ac:dyDescent="0.25">
      <c r="A249" s="38">
        <f>Données!A249</f>
        <v>5842</v>
      </c>
      <c r="B249" s="168" t="str">
        <f>Données!B249</f>
        <v>Rossinière</v>
      </c>
      <c r="C249" s="348">
        <f>VPI!R249</f>
        <v>16474.219053497945</v>
      </c>
      <c r="D249" s="206">
        <f>(PCS!I255-PCS!F255)/C249</f>
        <v>11.649011238089876</v>
      </c>
      <c r="E249" s="505">
        <f>'Péréquation directe'!E255/C249</f>
        <v>-4.1822251565564654</v>
      </c>
      <c r="F249" s="206">
        <f>'Péréquation directe'!F255/Effort!C249</f>
        <v>-14.952285147585741</v>
      </c>
      <c r="G249" s="206">
        <f>'Péréquation directe'!G255/Effort!C249</f>
        <v>0</v>
      </c>
      <c r="H249" s="206">
        <f>'Péréquation directe'!J255/Effort!C249</f>
        <v>19.207162141841813</v>
      </c>
      <c r="I249" s="371">
        <f t="shared" si="9"/>
        <v>11.721663075789483</v>
      </c>
      <c r="J249" s="223">
        <f t="shared" si="10"/>
        <v>0</v>
      </c>
      <c r="K249" s="42">
        <f t="shared" si="11"/>
        <v>0</v>
      </c>
      <c r="L249" s="237"/>
    </row>
    <row r="250" spans="1:13" x14ac:dyDescent="0.25">
      <c r="A250" s="38">
        <f>Données!A250</f>
        <v>5843</v>
      </c>
      <c r="B250" s="168" t="str">
        <f>Données!B250</f>
        <v>Rougemont</v>
      </c>
      <c r="C250" s="348">
        <f>VPI!R250</f>
        <v>89736.824345991568</v>
      </c>
      <c r="D250" s="206">
        <f>(PCS!I256-PCS!F256)/C250</f>
        <v>27.433692429666586</v>
      </c>
      <c r="E250" s="505">
        <f>'Péréquation directe'!E256/C250</f>
        <v>-1.1933789837330282</v>
      </c>
      <c r="F250" s="206">
        <f>'Péréquation directe'!F256/Effort!C250</f>
        <v>0</v>
      </c>
      <c r="G250" s="206">
        <f>'Péréquation directe'!G256/Effort!C250</f>
        <v>0</v>
      </c>
      <c r="H250" s="206">
        <f>'Péréquation directe'!J256/Effort!C250</f>
        <v>19.207162141841813</v>
      </c>
      <c r="I250" s="371">
        <f t="shared" si="9"/>
        <v>45.447475587775372</v>
      </c>
      <c r="J250" s="223">
        <f t="shared" si="10"/>
        <v>0</v>
      </c>
      <c r="K250" s="42">
        <f t="shared" si="11"/>
        <v>0</v>
      </c>
      <c r="L250" s="237"/>
    </row>
    <row r="251" spans="1:13" x14ac:dyDescent="0.25">
      <c r="A251" s="38">
        <f>Données!A251</f>
        <v>5851</v>
      </c>
      <c r="B251" s="168" t="str">
        <f>Données!B251</f>
        <v>Allaman</v>
      </c>
      <c r="C251" s="348">
        <f>VPI!R251</f>
        <v>24432.115794871796</v>
      </c>
      <c r="D251" s="206">
        <f>(PCS!I257-PCS!F257)/C251</f>
        <v>13.828080514929299</v>
      </c>
      <c r="E251" s="505">
        <f>'Péréquation directe'!E257/C251</f>
        <v>-2.2179880490106676</v>
      </c>
      <c r="F251" s="206">
        <f>'Péréquation directe'!F257/Effort!C251</f>
        <v>0</v>
      </c>
      <c r="G251" s="206">
        <f>'Péréquation directe'!G257/Effort!C251</f>
        <v>0</v>
      </c>
      <c r="H251" s="206">
        <f>'Péréquation directe'!J257/Effort!C251</f>
        <v>19.207162141841813</v>
      </c>
      <c r="I251" s="371">
        <f t="shared" si="9"/>
        <v>30.817254607760447</v>
      </c>
      <c r="J251" s="223">
        <f t="shared" si="10"/>
        <v>0</v>
      </c>
      <c r="K251" s="42">
        <f t="shared" si="11"/>
        <v>0</v>
      </c>
      <c r="L251" s="237"/>
    </row>
    <row r="252" spans="1:13" x14ac:dyDescent="0.25">
      <c r="A252" s="38">
        <f>Données!A252</f>
        <v>5852</v>
      </c>
      <c r="B252" s="168" t="str">
        <f>Données!B252</f>
        <v>Bursinel</v>
      </c>
      <c r="C252" s="348">
        <f>VPI!R252</f>
        <v>35649.594677419358</v>
      </c>
      <c r="D252" s="206">
        <f>(PCS!I258-PCS!F258)/C252</f>
        <v>16.688541502122046</v>
      </c>
      <c r="E252" s="505">
        <f>'Péréquation directe'!E258/C252</f>
        <v>-1.8204735693761684</v>
      </c>
      <c r="F252" s="206">
        <f>'Péréquation directe'!F258/Effort!C252</f>
        <v>0</v>
      </c>
      <c r="G252" s="206">
        <f>'Péréquation directe'!G258/Effort!C252</f>
        <v>0</v>
      </c>
      <c r="H252" s="206">
        <f>'Péréquation directe'!J258/Effort!C252</f>
        <v>19.207162141841813</v>
      </c>
      <c r="I252" s="371">
        <f t="shared" si="9"/>
        <v>34.075230074587694</v>
      </c>
      <c r="J252" s="223">
        <f t="shared" si="10"/>
        <v>0</v>
      </c>
      <c r="K252" s="42">
        <f t="shared" si="11"/>
        <v>0</v>
      </c>
      <c r="L252" s="237"/>
    </row>
    <row r="253" spans="1:13" x14ac:dyDescent="0.25">
      <c r="A253" s="38">
        <f>Données!A253</f>
        <v>5853</v>
      </c>
      <c r="B253" s="168" t="str">
        <f>Données!B253</f>
        <v>Bursins</v>
      </c>
      <c r="C253" s="348">
        <f>VPI!R253</f>
        <v>47536.23239436619</v>
      </c>
      <c r="D253" s="206">
        <f>(PCS!I259-PCS!F259)/C253</f>
        <v>15.190824819955139</v>
      </c>
      <c r="E253" s="505">
        <f>'Péréquation directe'!E259/C253</f>
        <v>-2.0818124224421424</v>
      </c>
      <c r="F253" s="206">
        <f>'Péréquation directe'!F259/Effort!C253</f>
        <v>0</v>
      </c>
      <c r="G253" s="206">
        <f>'Péréquation directe'!G259/Effort!C253</f>
        <v>0</v>
      </c>
      <c r="H253" s="206">
        <f>'Péréquation directe'!J259/Effort!C253</f>
        <v>19.207162141841813</v>
      </c>
      <c r="I253" s="371">
        <f t="shared" si="9"/>
        <v>32.316174539354812</v>
      </c>
      <c r="J253" s="223">
        <f t="shared" si="10"/>
        <v>0</v>
      </c>
      <c r="K253" s="42">
        <f t="shared" si="11"/>
        <v>0</v>
      </c>
      <c r="L253" s="237"/>
    </row>
    <row r="254" spans="1:13" x14ac:dyDescent="0.25">
      <c r="A254" s="38">
        <f>Données!A254</f>
        <v>5854</v>
      </c>
      <c r="B254" s="168" t="str">
        <f>Données!B254</f>
        <v>Burtigny</v>
      </c>
      <c r="C254" s="348">
        <f>VPI!R254</f>
        <v>15260.883397027597</v>
      </c>
      <c r="D254" s="206">
        <f>(PCS!I260-PCS!F260)/C254</f>
        <v>11.649011238089876</v>
      </c>
      <c r="E254" s="505">
        <f>'Péréquation directe'!E260/C254</f>
        <v>-3.5001902960780824</v>
      </c>
      <c r="F254" s="206">
        <f>'Péréquation directe'!F260/Effort!C254</f>
        <v>-7.7368535735308175</v>
      </c>
      <c r="G254" s="206">
        <f>'Péréquation directe'!G260/Effort!C254</f>
        <v>0</v>
      </c>
      <c r="H254" s="206">
        <f>'Péréquation directe'!J260/Effort!C254</f>
        <v>19.207162141841813</v>
      </c>
      <c r="I254" s="371">
        <f t="shared" si="9"/>
        <v>19.619129510322789</v>
      </c>
      <c r="J254" s="223">
        <f t="shared" si="10"/>
        <v>0</v>
      </c>
      <c r="K254" s="42">
        <f t="shared" si="11"/>
        <v>0</v>
      </c>
      <c r="L254" s="237"/>
    </row>
    <row r="255" spans="1:13" x14ac:dyDescent="0.25">
      <c r="A255" s="38">
        <f>Données!A255</f>
        <v>5855</v>
      </c>
      <c r="B255" s="168" t="str">
        <f>Données!B255</f>
        <v>Dully</v>
      </c>
      <c r="C255" s="348">
        <f>VPI!R255</f>
        <v>82571.89</v>
      </c>
      <c r="D255" s="206">
        <f>(PCS!I261-PCS!F261)/C255</f>
        <v>25.003802598635385</v>
      </c>
      <c r="E255" s="505">
        <f>'Péréquation directe'!E261/C255</f>
        <v>-0.98598004008960971</v>
      </c>
      <c r="F255" s="206">
        <f>'Péréquation directe'!F261/Effort!C255</f>
        <v>0</v>
      </c>
      <c r="G255" s="206">
        <f>'Péréquation directe'!G261/Effort!C255</f>
        <v>0</v>
      </c>
      <c r="H255" s="206">
        <f>'Péréquation directe'!J261/Effort!C255</f>
        <v>19.207162141841813</v>
      </c>
      <c r="I255" s="371">
        <f t="shared" si="9"/>
        <v>43.224984700387587</v>
      </c>
      <c r="J255" s="223">
        <f t="shared" si="10"/>
        <v>0</v>
      </c>
      <c r="K255" s="42">
        <f t="shared" si="11"/>
        <v>0</v>
      </c>
      <c r="L255" s="237"/>
    </row>
    <row r="256" spans="1:13" x14ac:dyDescent="0.25">
      <c r="A256" s="38">
        <f>Données!A256</f>
        <v>5856</v>
      </c>
      <c r="B256" s="168" t="str">
        <f>Données!B256</f>
        <v>Essertines-sur-Rolle</v>
      </c>
      <c r="C256" s="348">
        <f>VPI!R256</f>
        <v>36688.113684210526</v>
      </c>
      <c r="D256" s="206">
        <f>(PCS!I262-PCS!F262)/C256</f>
        <v>11.655435485280321</v>
      </c>
      <c r="E256" s="505">
        <f>'Péréquation directe'!E262/C256</f>
        <v>-2.6622049448137957</v>
      </c>
      <c r="F256" s="206">
        <f>'Péréquation directe'!F262/Effort!C256</f>
        <v>0</v>
      </c>
      <c r="G256" s="206">
        <f>'Péréquation directe'!G262/Effort!C256</f>
        <v>0</v>
      </c>
      <c r="H256" s="206">
        <f>'Péréquation directe'!J262/Effort!C256</f>
        <v>19.207162141841813</v>
      </c>
      <c r="I256" s="371">
        <f t="shared" si="9"/>
        <v>28.20039268230834</v>
      </c>
      <c r="J256" s="223">
        <f t="shared" si="10"/>
        <v>0</v>
      </c>
      <c r="K256" s="42">
        <f t="shared" si="11"/>
        <v>0</v>
      </c>
      <c r="L256" s="237"/>
    </row>
    <row r="257" spans="1:12" x14ac:dyDescent="0.25">
      <c r="A257" s="38">
        <f>Données!A257</f>
        <v>5857</v>
      </c>
      <c r="B257" s="168" t="str">
        <f>Données!B257</f>
        <v>Gilly</v>
      </c>
      <c r="C257" s="348">
        <f>VPI!R257</f>
        <v>86828.689767441872</v>
      </c>
      <c r="D257" s="206">
        <f>(PCS!I263-PCS!F263)/C257</f>
        <v>14.348237642364158</v>
      </c>
      <c r="E257" s="505">
        <f>'Péréquation directe'!E263/C257</f>
        <v>-3.3416316399454473</v>
      </c>
      <c r="F257" s="206">
        <f>'Péréquation directe'!F263/Effort!C257</f>
        <v>0</v>
      </c>
      <c r="G257" s="206">
        <f>'Péréquation directe'!G263/Effort!C257</f>
        <v>0</v>
      </c>
      <c r="H257" s="206">
        <f>'Péréquation directe'!J263/Effort!C257</f>
        <v>19.207162141841813</v>
      </c>
      <c r="I257" s="371">
        <f t="shared" si="9"/>
        <v>30.213768144260523</v>
      </c>
      <c r="J257" s="223">
        <f t="shared" si="10"/>
        <v>0</v>
      </c>
      <c r="K257" s="42">
        <f t="shared" si="11"/>
        <v>0</v>
      </c>
      <c r="L257" s="237"/>
    </row>
    <row r="258" spans="1:12" x14ac:dyDescent="0.25">
      <c r="A258" s="38">
        <f>Données!A258</f>
        <v>5858</v>
      </c>
      <c r="B258" s="168" t="str">
        <f>Données!B258</f>
        <v>Luins</v>
      </c>
      <c r="C258" s="348">
        <f>VPI!R258</f>
        <v>41178.091054131051</v>
      </c>
      <c r="D258" s="206">
        <f>(PCS!I264-PCS!F264)/C258</f>
        <v>15.589335206553626</v>
      </c>
      <c r="E258" s="505">
        <f>'Péréquation directe'!E264/C258</f>
        <v>-1.9363918891809748</v>
      </c>
      <c r="F258" s="206">
        <f>'Péréquation directe'!F264/Effort!C258</f>
        <v>0</v>
      </c>
      <c r="G258" s="206">
        <f>'Péréquation directe'!G264/Effort!C258</f>
        <v>0</v>
      </c>
      <c r="H258" s="206">
        <f>'Péréquation directe'!J264/Effort!C258</f>
        <v>19.207162141841813</v>
      </c>
      <c r="I258" s="371">
        <f t="shared" si="9"/>
        <v>32.860105459214466</v>
      </c>
      <c r="J258" s="223">
        <f t="shared" si="10"/>
        <v>0</v>
      </c>
      <c r="K258" s="42">
        <f t="shared" si="11"/>
        <v>0</v>
      </c>
      <c r="L258" s="237"/>
    </row>
    <row r="259" spans="1:12" x14ac:dyDescent="0.25">
      <c r="A259" s="38">
        <f>Données!A259</f>
        <v>5859</v>
      </c>
      <c r="B259" s="168" t="str">
        <f>Données!B259</f>
        <v>Mont-sur-Rolle</v>
      </c>
      <c r="C259" s="348">
        <f>VPI!R259</f>
        <v>158441.81716535432</v>
      </c>
      <c r="D259" s="206">
        <f>(PCS!I265-PCS!F265)/C259</f>
        <v>13.62838906868603</v>
      </c>
      <c r="E259" s="505">
        <f>'Péréquation directe'!E265/C259</f>
        <v>-4.829636595190907</v>
      </c>
      <c r="F259" s="206">
        <f>'Péréquation directe'!F265/Effort!C259</f>
        <v>0</v>
      </c>
      <c r="G259" s="206">
        <f>'Péréquation directe'!G265/Effort!C259</f>
        <v>0</v>
      </c>
      <c r="H259" s="206">
        <f>'Péréquation directe'!J265/Effort!C259</f>
        <v>19.207162141841813</v>
      </c>
      <c r="I259" s="371">
        <f t="shared" si="9"/>
        <v>28.005914615336934</v>
      </c>
      <c r="J259" s="223">
        <f t="shared" si="10"/>
        <v>0</v>
      </c>
      <c r="K259" s="42">
        <f t="shared" si="11"/>
        <v>0</v>
      </c>
      <c r="L259" s="237"/>
    </row>
    <row r="260" spans="1:12" x14ac:dyDescent="0.25">
      <c r="A260" s="38">
        <f>Données!A260</f>
        <v>5860</v>
      </c>
      <c r="B260" s="168" t="str">
        <f>Données!B260</f>
        <v>Perroy</v>
      </c>
      <c r="C260" s="348">
        <f>VPI!R260</f>
        <v>132374.98733727811</v>
      </c>
      <c r="D260" s="206">
        <f>(PCS!I266-PCS!F266)/C260</f>
        <v>19.534008965626768</v>
      </c>
      <c r="E260" s="505">
        <f>'Péréquation directe'!E266/C260</f>
        <v>-2.4538713366982181</v>
      </c>
      <c r="F260" s="206">
        <f>'Péréquation directe'!F266/Effort!C260</f>
        <v>0</v>
      </c>
      <c r="G260" s="206">
        <f>'Péréquation directe'!G266/Effort!C260</f>
        <v>0</v>
      </c>
      <c r="H260" s="206">
        <f>'Péréquation directe'!J266/Effort!C260</f>
        <v>19.207162141841813</v>
      </c>
      <c r="I260" s="371">
        <f t="shared" si="9"/>
        <v>36.28729977077036</v>
      </c>
      <c r="J260" s="223">
        <f t="shared" si="10"/>
        <v>0</v>
      </c>
      <c r="K260" s="42">
        <f t="shared" si="11"/>
        <v>0</v>
      </c>
      <c r="L260" s="237"/>
    </row>
    <row r="261" spans="1:12" x14ac:dyDescent="0.25">
      <c r="A261" s="38">
        <f>Données!A261</f>
        <v>5861</v>
      </c>
      <c r="B261" s="168" t="str">
        <f>Données!B261</f>
        <v>Rolle</v>
      </c>
      <c r="C261" s="348">
        <f>VPI!R261</f>
        <v>897513.79815126071</v>
      </c>
      <c r="D261" s="206">
        <f>(PCS!I267-PCS!F267)/C261</f>
        <v>27.794169516397936</v>
      </c>
      <c r="E261" s="505">
        <f>'Péréquation directe'!E267/C261</f>
        <v>-3.011772576907441</v>
      </c>
      <c r="F261" s="206">
        <f>'Péréquation directe'!F267/Effort!C261</f>
        <v>0</v>
      </c>
      <c r="G261" s="206">
        <f>'Péréquation directe'!G267/Effort!C261</f>
        <v>0</v>
      </c>
      <c r="H261" s="206">
        <f>'Péréquation directe'!J267/Effort!C261</f>
        <v>19.207162141841813</v>
      </c>
      <c r="I261" s="371">
        <f t="shared" si="9"/>
        <v>43.98955908133231</v>
      </c>
      <c r="J261" s="223">
        <f t="shared" si="10"/>
        <v>0</v>
      </c>
      <c r="K261" s="42">
        <f t="shared" si="11"/>
        <v>0</v>
      </c>
      <c r="L261" s="237"/>
    </row>
    <row r="262" spans="1:12" x14ac:dyDescent="0.25">
      <c r="A262" s="38">
        <f>Données!A262</f>
        <v>5862</v>
      </c>
      <c r="B262" s="168" t="str">
        <f>Données!B262</f>
        <v>Tartegnin</v>
      </c>
      <c r="C262" s="348">
        <f>VPI!R262</f>
        <v>10371.497468354431</v>
      </c>
      <c r="D262" s="206">
        <f>(PCS!I268-PCS!F268)/C262</f>
        <v>11.649011238089875</v>
      </c>
      <c r="E262" s="505">
        <f>'Péréquation directe'!E268/C262</f>
        <v>-3.0976252147253289</v>
      </c>
      <c r="F262" s="206">
        <f>'Péréquation directe'!F268/Effort!C262</f>
        <v>-4.0656840519530704</v>
      </c>
      <c r="G262" s="206">
        <f>'Péréquation directe'!G268/Effort!C262</f>
        <v>0</v>
      </c>
      <c r="H262" s="206">
        <f>'Péréquation directe'!J268/Effort!C262</f>
        <v>19.207162141841813</v>
      </c>
      <c r="I262" s="371">
        <f t="shared" si="9"/>
        <v>23.69286411325329</v>
      </c>
      <c r="J262" s="223">
        <f t="shared" si="10"/>
        <v>0</v>
      </c>
      <c r="K262" s="42">
        <f t="shared" si="11"/>
        <v>0</v>
      </c>
      <c r="L262" s="237"/>
    </row>
    <row r="263" spans="1:12" x14ac:dyDescent="0.25">
      <c r="A263" s="38">
        <f>Données!A263</f>
        <v>5863</v>
      </c>
      <c r="B263" s="168" t="str">
        <f>Données!B263</f>
        <v>Vinzel</v>
      </c>
      <c r="C263" s="348">
        <f>VPI!R263</f>
        <v>23661.929552238806</v>
      </c>
      <c r="D263" s="206">
        <f>(PCS!I269-PCS!F269)/C263</f>
        <v>15.157494053110199</v>
      </c>
      <c r="E263" s="505">
        <f>'Péréquation directe'!E269/C263</f>
        <v>-2.0611643971338265</v>
      </c>
      <c r="F263" s="206">
        <f>'Péréquation directe'!F269/Effort!C263</f>
        <v>0</v>
      </c>
      <c r="G263" s="206">
        <f>'Péréquation directe'!G269/Effort!C263</f>
        <v>0</v>
      </c>
      <c r="H263" s="206">
        <f>'Péréquation directe'!J269/Effort!C263</f>
        <v>19.207162141841813</v>
      </c>
      <c r="I263" s="371">
        <f t="shared" ref="I263:I305" si="12">SUM(D263:H263)</f>
        <v>32.303491797818182</v>
      </c>
      <c r="J263" s="223">
        <f t="shared" ref="J263:J305" si="13">IF(I263&gt;J$5,I263-J$5,0)</f>
        <v>0</v>
      </c>
      <c r="K263" s="42">
        <f t="shared" ref="K263:K305" si="14">-J263*C263</f>
        <v>0</v>
      </c>
      <c r="L263" s="237"/>
    </row>
    <row r="264" spans="1:12" x14ac:dyDescent="0.25">
      <c r="A264" s="38">
        <f>Données!A264</f>
        <v>5871</v>
      </c>
      <c r="B264" s="168" t="str">
        <f>Données!B264</f>
        <v>L'Abbaye</v>
      </c>
      <c r="C264" s="348">
        <f>VPI!R264</f>
        <v>50236.516429495467</v>
      </c>
      <c r="D264" s="206">
        <f>(PCS!I270-PCS!F270)/C264</f>
        <v>11.649011238089878</v>
      </c>
      <c r="E264" s="505">
        <f>'Péréquation directe'!E270/C264</f>
        <v>-6.4228892531148398</v>
      </c>
      <c r="F264" s="206">
        <f>'Péréquation directe'!F270/Effort!C264</f>
        <v>-11.490081266734693</v>
      </c>
      <c r="G264" s="206">
        <f>'Péréquation directe'!G270/Effort!C264</f>
        <v>0</v>
      </c>
      <c r="H264" s="206">
        <f>'Péréquation directe'!J270/Effort!C264</f>
        <v>19.207162141841813</v>
      </c>
      <c r="I264" s="371">
        <f t="shared" si="12"/>
        <v>12.94320286008216</v>
      </c>
      <c r="J264" s="223">
        <f t="shared" si="13"/>
        <v>0</v>
      </c>
      <c r="K264" s="42">
        <f t="shared" si="14"/>
        <v>0</v>
      </c>
      <c r="L264" s="237"/>
    </row>
    <row r="265" spans="1:12" x14ac:dyDescent="0.25">
      <c r="A265" s="38">
        <f>Données!A265</f>
        <v>5872</v>
      </c>
      <c r="B265" s="168" t="str">
        <f>Données!B265</f>
        <v>Le Chenit</v>
      </c>
      <c r="C265" s="348">
        <f>VPI!R265</f>
        <v>317064.3538829867</v>
      </c>
      <c r="D265" s="206">
        <f>(PCS!I271-PCS!F271)/C265</f>
        <v>16.612724402958928</v>
      </c>
      <c r="E265" s="505">
        <f>'Péréquation directe'!E271/C265</f>
        <v>-5.3178085284640959</v>
      </c>
      <c r="F265" s="206">
        <f>'Péréquation directe'!F271/Effort!C265</f>
        <v>0</v>
      </c>
      <c r="G265" s="206">
        <f>'Péréquation directe'!G271/Effort!C265</f>
        <v>0</v>
      </c>
      <c r="H265" s="206">
        <f>'Péréquation directe'!J271/Effort!C265</f>
        <v>19.207162141841813</v>
      </c>
      <c r="I265" s="371">
        <f t="shared" si="12"/>
        <v>30.502078016336647</v>
      </c>
      <c r="J265" s="223">
        <f t="shared" si="13"/>
        <v>0</v>
      </c>
      <c r="K265" s="42">
        <f t="shared" si="14"/>
        <v>0</v>
      </c>
      <c r="L265" s="237"/>
    </row>
    <row r="266" spans="1:12" x14ac:dyDescent="0.25">
      <c r="A266" s="38">
        <f>Données!A266</f>
        <v>5873</v>
      </c>
      <c r="B266" s="168" t="str">
        <f>Données!B266</f>
        <v>Le Lieu</v>
      </c>
      <c r="C266" s="348">
        <f>VPI!R266</f>
        <v>35207.025785714286</v>
      </c>
      <c r="D266" s="206">
        <f>(PCS!I272-PCS!F272)/C266</f>
        <v>11.649011238089878</v>
      </c>
      <c r="E266" s="505">
        <f>'Péréquation directe'!E272/C266</f>
        <v>-3.2469482952038993</v>
      </c>
      <c r="F266" s="206">
        <f>'Péréquation directe'!F272/Effort!C266</f>
        <v>-4.2900337274784999</v>
      </c>
      <c r="G266" s="206">
        <f>'Péréquation directe'!G272/Effort!C266</f>
        <v>0</v>
      </c>
      <c r="H266" s="206">
        <f>'Péréquation directe'!J272/Effort!C266</f>
        <v>19.207162141841813</v>
      </c>
      <c r="I266" s="371">
        <f t="shared" si="12"/>
        <v>23.319191357249295</v>
      </c>
      <c r="J266" s="223">
        <f t="shared" si="13"/>
        <v>0</v>
      </c>
      <c r="K266" s="42">
        <f t="shared" si="14"/>
        <v>0</v>
      </c>
      <c r="L266" s="237"/>
    </row>
    <row r="267" spans="1:12" x14ac:dyDescent="0.25">
      <c r="A267" s="38">
        <f>Données!A267</f>
        <v>5882</v>
      </c>
      <c r="B267" s="168" t="str">
        <f>Données!B267</f>
        <v>Chardonne</v>
      </c>
      <c r="C267" s="348">
        <f>VPI!R267</f>
        <v>201724.94897058822</v>
      </c>
      <c r="D267" s="206">
        <f>(PCS!I273-PCS!F273)/C267</f>
        <v>15.353880796471342</v>
      </c>
      <c r="E267" s="505">
        <f>'Péréquation directe'!E273/C267</f>
        <v>-4.7202797373052769</v>
      </c>
      <c r="F267" s="206">
        <f>'Péréquation directe'!F273/Effort!C267</f>
        <v>0</v>
      </c>
      <c r="G267" s="206">
        <f>'Péréquation directe'!G273/Effort!C267</f>
        <v>0</v>
      </c>
      <c r="H267" s="206">
        <f>'Péréquation directe'!J273/Effort!C267</f>
        <v>19.207162141841813</v>
      </c>
      <c r="I267" s="371">
        <f t="shared" si="12"/>
        <v>29.840763201007878</v>
      </c>
      <c r="J267" s="223">
        <f t="shared" si="13"/>
        <v>0</v>
      </c>
      <c r="K267" s="42">
        <f t="shared" si="14"/>
        <v>0</v>
      </c>
      <c r="L267" s="237"/>
    </row>
    <row r="268" spans="1:12" x14ac:dyDescent="0.25">
      <c r="A268" s="38">
        <f>Données!A268</f>
        <v>5883</v>
      </c>
      <c r="B268" s="168" t="str">
        <f>Données!B268</f>
        <v>Corseaux</v>
      </c>
      <c r="C268" s="348">
        <f>VPI!R268</f>
        <v>180896.25407407407</v>
      </c>
      <c r="D268" s="206">
        <f>(PCS!I274-PCS!F274)/C268</f>
        <v>19.049766821864893</v>
      </c>
      <c r="E268" s="505">
        <f>'Péréquation directe'!E274/C268</f>
        <v>-3.3234569090989217</v>
      </c>
      <c r="F268" s="206">
        <f>'Péréquation directe'!F274/Effort!C268</f>
        <v>0</v>
      </c>
      <c r="G268" s="206">
        <f>'Péréquation directe'!G274/Effort!C268</f>
        <v>0</v>
      </c>
      <c r="H268" s="206">
        <f>'Péréquation directe'!J274/Effort!C268</f>
        <v>19.207162141841813</v>
      </c>
      <c r="I268" s="371">
        <f t="shared" si="12"/>
        <v>34.933472054607783</v>
      </c>
      <c r="J268" s="223">
        <f t="shared" si="13"/>
        <v>0</v>
      </c>
      <c r="K268" s="42">
        <f t="shared" si="14"/>
        <v>0</v>
      </c>
      <c r="L268" s="237"/>
    </row>
    <row r="269" spans="1:12" x14ac:dyDescent="0.25">
      <c r="A269" s="38">
        <f>Données!A269</f>
        <v>5884</v>
      </c>
      <c r="B269" s="168" t="str">
        <f>Données!B269</f>
        <v>Corsier-sur-Vevey</v>
      </c>
      <c r="C269" s="348">
        <f>VPI!R269</f>
        <v>128051.27881136951</v>
      </c>
      <c r="D269" s="206">
        <f>(PCS!I275-PCS!F275)/C269</f>
        <v>11.649011238089875</v>
      </c>
      <c r="E269" s="505">
        <f>'Péréquation directe'!E275/C269</f>
        <v>-8.129296407404583</v>
      </c>
      <c r="F269" s="206">
        <f>'Péréquation directe'!F275/Effort!C269</f>
        <v>-4.5515153277572837</v>
      </c>
      <c r="G269" s="206">
        <f>'Péréquation directe'!G275/Effort!C269</f>
        <v>0</v>
      </c>
      <c r="H269" s="206">
        <f>'Péréquation directe'!J275/Effort!C269</f>
        <v>19.207162141841813</v>
      </c>
      <c r="I269" s="371">
        <f t="shared" si="12"/>
        <v>18.175361644769822</v>
      </c>
      <c r="J269" s="223">
        <f t="shared" si="13"/>
        <v>0</v>
      </c>
      <c r="K269" s="42">
        <f t="shared" si="14"/>
        <v>0</v>
      </c>
      <c r="L269" s="237"/>
    </row>
    <row r="270" spans="1:12" x14ac:dyDescent="0.25">
      <c r="A270" s="38">
        <f>Données!A270</f>
        <v>5885</v>
      </c>
      <c r="B270" s="168" t="str">
        <f>Données!B270</f>
        <v>Jongny</v>
      </c>
      <c r="C270" s="348">
        <f>VPI!R270</f>
        <v>104091.36242206233</v>
      </c>
      <c r="D270" s="206">
        <f>(PCS!I276-PCS!F276)/C270</f>
        <v>13.633589718159868</v>
      </c>
      <c r="E270" s="505">
        <f>'Péréquation directe'!E276/C270</f>
        <v>-4.1618387802085035</v>
      </c>
      <c r="F270" s="206">
        <f>'Péréquation directe'!F276/Effort!C270</f>
        <v>0</v>
      </c>
      <c r="G270" s="206">
        <f>'Péréquation directe'!G276/Effort!C270</f>
        <v>0</v>
      </c>
      <c r="H270" s="206">
        <f>'Péréquation directe'!J276/Effort!C270</f>
        <v>19.207162141841813</v>
      </c>
      <c r="I270" s="371">
        <f t="shared" si="12"/>
        <v>28.678913079793176</v>
      </c>
      <c r="J270" s="223">
        <f t="shared" si="13"/>
        <v>0</v>
      </c>
      <c r="K270" s="42">
        <f t="shared" si="14"/>
        <v>0</v>
      </c>
      <c r="L270" s="237"/>
    </row>
    <row r="271" spans="1:12" x14ac:dyDescent="0.25">
      <c r="A271" s="38">
        <f>Données!A271</f>
        <v>5886</v>
      </c>
      <c r="B271" s="168" t="str">
        <f>Données!B271</f>
        <v>Montreux</v>
      </c>
      <c r="C271" s="348">
        <f>VPI!R271</f>
        <v>1153112.7161538461</v>
      </c>
      <c r="D271" s="206">
        <f>(PCS!I277-PCS!F277)/C271</f>
        <v>11.649011238089876</v>
      </c>
      <c r="E271" s="505">
        <f>'Péréquation directe'!E277/C271</f>
        <v>-19.18277292974286</v>
      </c>
      <c r="F271" s="206">
        <f>'Péréquation directe'!F277/Effort!C271</f>
        <v>-1.6286640949332654</v>
      </c>
      <c r="G271" s="206">
        <f>'Péréquation directe'!G277/Effort!C271</f>
        <v>0</v>
      </c>
      <c r="H271" s="206">
        <f>'Péréquation directe'!J277/Effort!C271</f>
        <v>19.207162141841813</v>
      </c>
      <c r="I271" s="371">
        <f t="shared" si="12"/>
        <v>10.044736355255564</v>
      </c>
      <c r="J271" s="223">
        <f t="shared" si="13"/>
        <v>0</v>
      </c>
      <c r="K271" s="42">
        <f t="shared" si="14"/>
        <v>0</v>
      </c>
      <c r="L271" s="237"/>
    </row>
    <row r="272" spans="1:12" x14ac:dyDescent="0.25">
      <c r="A272" s="38">
        <f>Données!A272</f>
        <v>5889</v>
      </c>
      <c r="B272" s="168" t="str">
        <f>Données!B272</f>
        <v>La Tour-de-Peilz</v>
      </c>
      <c r="C272" s="348">
        <f>VPI!R272</f>
        <v>709179.36611979152</v>
      </c>
      <c r="D272" s="206">
        <f>(PCS!I278-PCS!F278)/C272</f>
        <v>13.605616126024149</v>
      </c>
      <c r="E272" s="505">
        <f>'Péréquation directe'!E278/C272</f>
        <v>-10.445947324078698</v>
      </c>
      <c r="F272" s="206">
        <f>'Péréquation directe'!F278/Effort!C272</f>
        <v>0</v>
      </c>
      <c r="G272" s="206">
        <f>'Péréquation directe'!G278/Effort!C272</f>
        <v>0</v>
      </c>
      <c r="H272" s="206">
        <f>'Péréquation directe'!J278/Effort!C272</f>
        <v>19.207162141841813</v>
      </c>
      <c r="I272" s="371">
        <f t="shared" si="12"/>
        <v>22.366830943787264</v>
      </c>
      <c r="J272" s="223">
        <f t="shared" si="13"/>
        <v>0</v>
      </c>
      <c r="K272" s="42">
        <f t="shared" si="14"/>
        <v>0</v>
      </c>
      <c r="L272" s="237"/>
    </row>
    <row r="273" spans="1:12" x14ac:dyDescent="0.25">
      <c r="A273" s="38">
        <f>Données!A273</f>
        <v>5890</v>
      </c>
      <c r="B273" s="168" t="str">
        <f>Données!B273</f>
        <v>Vevey</v>
      </c>
      <c r="C273" s="348">
        <f>VPI!R273</f>
        <v>945087.70393736032</v>
      </c>
      <c r="D273" s="206">
        <f>(PCS!I279-PCS!F279)/C273</f>
        <v>11.649011238089876</v>
      </c>
      <c r="E273" s="505">
        <f>'Péréquation directe'!E279/C273</f>
        <v>-16.12769551103181</v>
      </c>
      <c r="F273" s="206">
        <f>'Péréquation directe'!F279/Effort!C273</f>
        <v>-0.27767929765341759</v>
      </c>
      <c r="G273" s="206">
        <f>'Péréquation directe'!G279/Effort!C273</f>
        <v>0</v>
      </c>
      <c r="H273" s="206">
        <f>'Péréquation directe'!J279/Effort!C273</f>
        <v>19.207162141841813</v>
      </c>
      <c r="I273" s="371">
        <f t="shared" si="12"/>
        <v>14.450798571246462</v>
      </c>
      <c r="J273" s="223">
        <f t="shared" si="13"/>
        <v>0</v>
      </c>
      <c r="K273" s="42">
        <f t="shared" si="14"/>
        <v>0</v>
      </c>
      <c r="L273" s="237"/>
    </row>
    <row r="274" spans="1:12" x14ac:dyDescent="0.25">
      <c r="A274" s="38">
        <f>Données!A274</f>
        <v>5891</v>
      </c>
      <c r="B274" s="168" t="str">
        <f>Données!B274</f>
        <v>Veytaux</v>
      </c>
      <c r="C274" s="348">
        <f>VPI!R274</f>
        <v>41113.316211031175</v>
      </c>
      <c r="D274" s="206">
        <f>(PCS!I280-PCS!F280)/C274</f>
        <v>11.649011238089875</v>
      </c>
      <c r="E274" s="505">
        <f>'Péréquation directe'!E280/C274</f>
        <v>-3.0503856261351134</v>
      </c>
      <c r="F274" s="206">
        <f>'Péréquation directe'!F280/Effort!C274</f>
        <v>-2.8042561245440143</v>
      </c>
      <c r="G274" s="206">
        <f>'Péréquation directe'!G280/Effort!C274</f>
        <v>0</v>
      </c>
      <c r="H274" s="206">
        <f>'Péréquation directe'!J280/Effort!C274</f>
        <v>19.207162141841813</v>
      </c>
      <c r="I274" s="371">
        <f t="shared" si="12"/>
        <v>25.001531629252561</v>
      </c>
      <c r="J274" s="223">
        <f t="shared" si="13"/>
        <v>0</v>
      </c>
      <c r="K274" s="42">
        <f t="shared" si="14"/>
        <v>0</v>
      </c>
      <c r="L274" s="237"/>
    </row>
    <row r="275" spans="1:12" x14ac:dyDescent="0.25">
      <c r="A275" s="38">
        <f>Données!A275</f>
        <v>5892</v>
      </c>
      <c r="B275" s="168" t="str">
        <f>Données!B275</f>
        <v>Blonay-Saint-Légier</v>
      </c>
      <c r="C275" s="348">
        <f>VPI!R275</f>
        <v>749734.6567883211</v>
      </c>
      <c r="D275" s="206">
        <f>(PCS!I281-PCS!F281)/C275</f>
        <v>15.009481629842567</v>
      </c>
      <c r="E275" s="505">
        <f>'Péréquation directe'!E281/C275</f>
        <v>-9.5160588484073187</v>
      </c>
      <c r="F275" s="206">
        <f>'Péréquation directe'!F281/Effort!C275</f>
        <v>0</v>
      </c>
      <c r="G275" s="206">
        <f>'Péréquation directe'!G281/Effort!C275</f>
        <v>0</v>
      </c>
      <c r="H275" s="206">
        <f>'Péréquation directe'!J281/Effort!C275</f>
        <v>19.207162141841813</v>
      </c>
      <c r="I275" s="371">
        <f t="shared" si="12"/>
        <v>24.700584923277063</v>
      </c>
      <c r="J275" s="223">
        <f t="shared" si="13"/>
        <v>0</v>
      </c>
      <c r="K275" s="42">
        <f t="shared" si="14"/>
        <v>0</v>
      </c>
      <c r="L275" s="237"/>
    </row>
    <row r="276" spans="1:12" x14ac:dyDescent="0.25">
      <c r="A276" s="38">
        <f>Données!A276</f>
        <v>5902</v>
      </c>
      <c r="B276" s="168" t="str">
        <f>Données!B276</f>
        <v>Belmont-sur-Yverdon</v>
      </c>
      <c r="C276" s="348">
        <f>VPI!R276</f>
        <v>11918.01</v>
      </c>
      <c r="D276" s="206">
        <f>(PCS!I282-PCS!F282)/C276</f>
        <v>11.649011238089876</v>
      </c>
      <c r="E276" s="505">
        <f>'Péréquation directe'!E282/C276</f>
        <v>-4.6984755737945703</v>
      </c>
      <c r="F276" s="206">
        <f>'Péréquation directe'!F282/Effort!C276</f>
        <v>-14.962804748423746</v>
      </c>
      <c r="G276" s="206">
        <f>'Péréquation directe'!G282/Effort!C276</f>
        <v>0</v>
      </c>
      <c r="H276" s="206">
        <f>'Péréquation directe'!J282/Effort!C276</f>
        <v>19.207162141841813</v>
      </c>
      <c r="I276" s="371">
        <f t="shared" si="12"/>
        <v>11.194893057713372</v>
      </c>
      <c r="J276" s="223">
        <f t="shared" si="13"/>
        <v>0</v>
      </c>
      <c r="K276" s="42">
        <f t="shared" si="14"/>
        <v>0</v>
      </c>
      <c r="L276" s="237"/>
    </row>
    <row r="277" spans="1:12" x14ac:dyDescent="0.25">
      <c r="A277" s="38">
        <f>Données!A277</f>
        <v>5903</v>
      </c>
      <c r="B277" s="168" t="str">
        <f>Données!B277</f>
        <v>Bioley-Magnoux</v>
      </c>
      <c r="C277" s="348">
        <f>VPI!R277</f>
        <v>6275.4313293650803</v>
      </c>
      <c r="D277" s="206">
        <f>(PCS!I283-PCS!F283)/C277</f>
        <v>11.649011238089875</v>
      </c>
      <c r="E277" s="505">
        <f>'Péréquation directe'!E283/C277</f>
        <v>-5.0783702521879919</v>
      </c>
      <c r="F277" s="206">
        <f>'Péréquation directe'!F283/Effort!C277</f>
        <v>-18.785217880338806</v>
      </c>
      <c r="G277" s="206">
        <f>'Péréquation directe'!G283/Effort!C277</f>
        <v>0</v>
      </c>
      <c r="H277" s="206">
        <f>'Péréquation directe'!J283/Effort!C277</f>
        <v>19.207162141841813</v>
      </c>
      <c r="I277" s="371">
        <f t="shared" si="12"/>
        <v>6.9925852474048895</v>
      </c>
      <c r="J277" s="223">
        <f t="shared" si="13"/>
        <v>0</v>
      </c>
      <c r="K277" s="42">
        <f t="shared" si="14"/>
        <v>0</v>
      </c>
      <c r="L277" s="237"/>
    </row>
    <row r="278" spans="1:12" x14ac:dyDescent="0.25">
      <c r="A278" s="38">
        <f>Données!A278</f>
        <v>5904</v>
      </c>
      <c r="B278" s="168" t="str">
        <f>Données!B278</f>
        <v>Chamblon</v>
      </c>
      <c r="C278" s="348">
        <f>VPI!R278</f>
        <v>18890.250303030305</v>
      </c>
      <c r="D278" s="206">
        <f>(PCS!I284-PCS!F284)/C278</f>
        <v>11.649011238089878</v>
      </c>
      <c r="E278" s="505">
        <f>'Péréquation directe'!E284/C278</f>
        <v>-3.8727221168217936</v>
      </c>
      <c r="F278" s="206">
        <f>'Péréquation directe'!F284/Effort!C278</f>
        <v>-7.9041090357627208</v>
      </c>
      <c r="G278" s="206">
        <f>'Péréquation directe'!G284/Effort!C278</f>
        <v>0</v>
      </c>
      <c r="H278" s="206">
        <f>'Péréquation directe'!J284/Effort!C278</f>
        <v>19.207162141841813</v>
      </c>
      <c r="I278" s="371">
        <f t="shared" si="12"/>
        <v>19.079342227347176</v>
      </c>
      <c r="J278" s="223">
        <f t="shared" si="13"/>
        <v>0</v>
      </c>
      <c r="K278" s="42">
        <f t="shared" si="14"/>
        <v>0</v>
      </c>
      <c r="L278" s="237"/>
    </row>
    <row r="279" spans="1:12" x14ac:dyDescent="0.25">
      <c r="A279" s="38">
        <f>Données!A279</f>
        <v>5905</v>
      </c>
      <c r="B279" s="168" t="str">
        <f>Données!B279</f>
        <v>Champvent</v>
      </c>
      <c r="C279" s="348">
        <f>VPI!R279</f>
        <v>21534.177714285714</v>
      </c>
      <c r="D279" s="206">
        <f>(PCS!I285-PCS!F285)/C279</f>
        <v>11.649011238089876</v>
      </c>
      <c r="E279" s="505">
        <f>'Péréquation directe'!E285/C279</f>
        <v>-4.3918416316585978</v>
      </c>
      <c r="F279" s="206">
        <f>'Péréquation directe'!F285/Effort!C279</f>
        <v>-12.708190660258282</v>
      </c>
      <c r="G279" s="206">
        <f>'Péréquation directe'!G285/Effort!C279</f>
        <v>0</v>
      </c>
      <c r="H279" s="206">
        <f>'Péréquation directe'!J285/Effort!C279</f>
        <v>19.207162141841813</v>
      </c>
      <c r="I279" s="371">
        <f t="shared" si="12"/>
        <v>13.756141088014811</v>
      </c>
      <c r="J279" s="223">
        <f t="shared" si="13"/>
        <v>0</v>
      </c>
      <c r="K279" s="42">
        <f t="shared" si="14"/>
        <v>0</v>
      </c>
      <c r="L279" s="237"/>
    </row>
    <row r="280" spans="1:12" x14ac:dyDescent="0.25">
      <c r="A280" s="38">
        <f>Données!A280</f>
        <v>5907</v>
      </c>
      <c r="B280" s="168" t="str">
        <f>Données!B280</f>
        <v>Chavannes-le-Chêne</v>
      </c>
      <c r="C280" s="348">
        <f>VPI!R280</f>
        <v>8453.4726666666666</v>
      </c>
      <c r="D280" s="206">
        <f>(PCS!I286-PCS!F286)/C280</f>
        <v>11.649011238089878</v>
      </c>
      <c r="E280" s="505">
        <f>'Péréquation directe'!E286/C280</f>
        <v>-4.838325684167498</v>
      </c>
      <c r="F280" s="206">
        <f>'Péréquation directe'!F286/Effort!C280</f>
        <v>-18.357121874816642</v>
      </c>
      <c r="G280" s="206">
        <f>'Péréquation directe'!G286/Effort!C280</f>
        <v>0</v>
      </c>
      <c r="H280" s="206">
        <f>'Péréquation directe'!J286/Effort!C280</f>
        <v>19.207162141841813</v>
      </c>
      <c r="I280" s="371">
        <f t="shared" si="12"/>
        <v>7.6607258209475511</v>
      </c>
      <c r="J280" s="223">
        <f t="shared" si="13"/>
        <v>0</v>
      </c>
      <c r="K280" s="42">
        <f t="shared" si="14"/>
        <v>0</v>
      </c>
      <c r="L280" s="237"/>
    </row>
    <row r="281" spans="1:12" x14ac:dyDescent="0.25">
      <c r="A281" s="38">
        <f>Données!A281</f>
        <v>5908</v>
      </c>
      <c r="B281" s="168" t="str">
        <f>Données!B281</f>
        <v>Chêne-Pâquier</v>
      </c>
      <c r="C281" s="348">
        <f>VPI!R281</f>
        <v>4917.9366666666683</v>
      </c>
      <c r="D281" s="206">
        <f>(PCS!I287-PCS!F287)/C281</f>
        <v>11.649011238089878</v>
      </c>
      <c r="E281" s="505">
        <f>'Péréquation directe'!E287/C281</f>
        <v>-4.2763738207992539</v>
      </c>
      <c r="F281" s="206">
        <f>'Péréquation directe'!F287/Effort!C281</f>
        <v>-13.613855088172519</v>
      </c>
      <c r="G281" s="206">
        <f>'Péréquation directe'!G287/Effort!C281</f>
        <v>0</v>
      </c>
      <c r="H281" s="206">
        <f>'Péréquation directe'!J287/Effort!C281</f>
        <v>19.207162141841813</v>
      </c>
      <c r="I281" s="371">
        <f t="shared" si="12"/>
        <v>12.965944470959919</v>
      </c>
      <c r="J281" s="223">
        <f t="shared" si="13"/>
        <v>0</v>
      </c>
      <c r="K281" s="42">
        <f t="shared" si="14"/>
        <v>0</v>
      </c>
      <c r="L281" s="237"/>
    </row>
    <row r="282" spans="1:12" x14ac:dyDescent="0.25">
      <c r="A282" s="38">
        <f>Données!A282</f>
        <v>5909</v>
      </c>
      <c r="B282" s="168" t="str">
        <f>Données!B282</f>
        <v>Cheseaux-Noréaz</v>
      </c>
      <c r="C282" s="348">
        <f>VPI!R282</f>
        <v>34179.649850746275</v>
      </c>
      <c r="D282" s="206">
        <f>(PCS!I288-PCS!F288)/C282</f>
        <v>11.649011238089876</v>
      </c>
      <c r="E282" s="505">
        <f>'Péréquation directe'!E288/C282</f>
        <v>-2.7745382674481274</v>
      </c>
      <c r="F282" s="206">
        <f>'Péréquation directe'!F288/Effort!C282</f>
        <v>-0.748017074912943</v>
      </c>
      <c r="G282" s="206">
        <f>'Péréquation directe'!G288/Effort!C282</f>
        <v>0</v>
      </c>
      <c r="H282" s="206">
        <f>'Péréquation directe'!J288/Effort!C282</f>
        <v>19.207162141841813</v>
      </c>
      <c r="I282" s="371">
        <f t="shared" si="12"/>
        <v>27.33361803757062</v>
      </c>
      <c r="J282" s="223">
        <f t="shared" si="13"/>
        <v>0</v>
      </c>
      <c r="K282" s="42">
        <f t="shared" si="14"/>
        <v>0</v>
      </c>
      <c r="L282" s="237"/>
    </row>
    <row r="283" spans="1:12" x14ac:dyDescent="0.25">
      <c r="A283" s="38">
        <f>Données!A283</f>
        <v>5910</v>
      </c>
      <c r="B283" s="168" t="str">
        <f>Données!B283</f>
        <v>Cronay</v>
      </c>
      <c r="C283" s="348">
        <f>VPI!R283</f>
        <v>10620.023506493504</v>
      </c>
      <c r="D283" s="206">
        <f>(PCS!I289-PCS!F289)/C283</f>
        <v>11.649011238089875</v>
      </c>
      <c r="E283" s="505">
        <f>'Péréquation directe'!E289/C283</f>
        <v>-4.9811471098941693</v>
      </c>
      <c r="F283" s="206">
        <f>'Péréquation directe'!F289/Effort!C283</f>
        <v>-20.619886324152791</v>
      </c>
      <c r="G283" s="206">
        <f>'Péréquation directe'!G289/Effort!C283</f>
        <v>0</v>
      </c>
      <c r="H283" s="206">
        <f>'Péréquation directe'!J289/Effort!C283</f>
        <v>19.207162141841813</v>
      </c>
      <c r="I283" s="371">
        <f t="shared" si="12"/>
        <v>5.2551399458847285</v>
      </c>
      <c r="J283" s="223">
        <f t="shared" si="13"/>
        <v>0</v>
      </c>
      <c r="K283" s="42">
        <f t="shared" si="14"/>
        <v>0</v>
      </c>
      <c r="L283" s="237"/>
    </row>
    <row r="284" spans="1:12" x14ac:dyDescent="0.25">
      <c r="A284" s="38">
        <f>Données!A284</f>
        <v>5911</v>
      </c>
      <c r="B284" s="168" t="str">
        <f>Données!B284</f>
        <v>Cuarny</v>
      </c>
      <c r="C284" s="348">
        <f>VPI!R284</f>
        <v>7630.7251948051926</v>
      </c>
      <c r="D284" s="206">
        <f>(PCS!I290-PCS!F290)/C284</f>
        <v>11.649011238089876</v>
      </c>
      <c r="E284" s="505">
        <f>'Péréquation directe'!E290/C284</f>
        <v>-3.9904068632774505</v>
      </c>
      <c r="F284" s="206">
        <f>'Péréquation directe'!F290/Effort!C284</f>
        <v>-11.805396800809943</v>
      </c>
      <c r="G284" s="206">
        <f>'Péréquation directe'!G290/Effort!C284</f>
        <v>0</v>
      </c>
      <c r="H284" s="206">
        <f>'Péréquation directe'!J290/Effort!C284</f>
        <v>19.207162141841813</v>
      </c>
      <c r="I284" s="371">
        <f t="shared" si="12"/>
        <v>15.060369715844296</v>
      </c>
      <c r="J284" s="223">
        <f t="shared" si="13"/>
        <v>0</v>
      </c>
      <c r="K284" s="42">
        <f t="shared" si="14"/>
        <v>0</v>
      </c>
      <c r="L284" s="237"/>
    </row>
    <row r="285" spans="1:12" x14ac:dyDescent="0.25">
      <c r="A285" s="38">
        <f>Données!A285</f>
        <v>5912</v>
      </c>
      <c r="B285" s="168" t="str">
        <f>Données!B285</f>
        <v>Démoret</v>
      </c>
      <c r="C285" s="348">
        <f>VPI!R285</f>
        <v>3035.5994871794869</v>
      </c>
      <c r="D285" s="206">
        <f>(PCS!I291-PCS!F291)/C285</f>
        <v>11.649011238089876</v>
      </c>
      <c r="E285" s="505">
        <f>'Péréquation directe'!E291/C285</f>
        <v>-7.0981143211284685</v>
      </c>
      <c r="F285" s="206">
        <f>'Péréquation directe'!F291/Effort!C285</f>
        <v>-40.485714187296324</v>
      </c>
      <c r="G285" s="206">
        <f>'Péréquation directe'!G291/Effort!C285</f>
        <v>0</v>
      </c>
      <c r="H285" s="206">
        <f>'Péréquation directe'!J291/Effort!C285</f>
        <v>19.207162141841813</v>
      </c>
      <c r="I285" s="371">
        <f t="shared" si="12"/>
        <v>-16.727655128493105</v>
      </c>
      <c r="J285" s="223">
        <f t="shared" si="13"/>
        <v>0</v>
      </c>
      <c r="K285" s="42">
        <f t="shared" si="14"/>
        <v>0</v>
      </c>
      <c r="L285" s="237"/>
    </row>
    <row r="286" spans="1:12" s="217" customFormat="1" x14ac:dyDescent="0.25">
      <c r="A286" s="38">
        <f>Données!A286</f>
        <v>5913</v>
      </c>
      <c r="B286" s="168" t="str">
        <f>Données!B286</f>
        <v>Donneloye</v>
      </c>
      <c r="C286" s="348">
        <f>VPI!R286</f>
        <v>21868.165342465756</v>
      </c>
      <c r="D286" s="206">
        <f>(PCS!I292-PCS!F292)/C286</f>
        <v>11.649011238089876</v>
      </c>
      <c r="E286" s="505">
        <f>'Péréquation directe'!E292/C286</f>
        <v>-5.339581500231775</v>
      </c>
      <c r="F286" s="206">
        <f>'Péréquation directe'!F292/Effort!C286</f>
        <v>-21.399437046458502</v>
      </c>
      <c r="G286" s="206">
        <f>'Péréquation directe'!G292/Effort!C286</f>
        <v>0</v>
      </c>
      <c r="H286" s="206">
        <f>'Péréquation directe'!J292/Effort!C286</f>
        <v>19.207162141841813</v>
      </c>
      <c r="I286" s="371">
        <f t="shared" si="12"/>
        <v>4.117154833241413</v>
      </c>
      <c r="J286" s="223">
        <f t="shared" si="13"/>
        <v>0</v>
      </c>
      <c r="K286" s="42">
        <f t="shared" si="14"/>
        <v>0</v>
      </c>
      <c r="L286" s="237"/>
    </row>
    <row r="287" spans="1:12" s="217" customFormat="1" x14ac:dyDescent="0.25">
      <c r="A287" s="38">
        <f>Données!A287</f>
        <v>5914</v>
      </c>
      <c r="B287" s="168" t="str">
        <f>Données!B287</f>
        <v>Ependes</v>
      </c>
      <c r="C287" s="348">
        <f>VPI!R287</f>
        <v>9826.1438095238063</v>
      </c>
      <c r="D287" s="206">
        <f>(PCS!I293-PCS!F293)/C287</f>
        <v>11.649011238089876</v>
      </c>
      <c r="E287" s="505">
        <f>'Péréquation directe'!E293/C287</f>
        <v>-4.8846203375150994</v>
      </c>
      <c r="F287" s="206">
        <f>'Péréquation directe'!F293/Effort!C287</f>
        <v>-18.005465037327554</v>
      </c>
      <c r="G287" s="206">
        <f>'Péréquation directe'!G293/Effort!C287</f>
        <v>0</v>
      </c>
      <c r="H287" s="206">
        <f>'Péréquation directe'!J293/Effort!C287</f>
        <v>19.207162141841813</v>
      </c>
      <c r="I287" s="371">
        <f t="shared" si="12"/>
        <v>7.9660880050890377</v>
      </c>
      <c r="J287" s="223">
        <f t="shared" si="13"/>
        <v>0</v>
      </c>
      <c r="K287" s="42">
        <f t="shared" si="14"/>
        <v>0</v>
      </c>
      <c r="L287" s="237"/>
    </row>
    <row r="288" spans="1:12" s="217" customFormat="1" x14ac:dyDescent="0.25">
      <c r="A288" s="38">
        <f>Données!A288</f>
        <v>5919</v>
      </c>
      <c r="B288" s="168" t="str">
        <f>Données!B288</f>
        <v>Mathod</v>
      </c>
      <c r="C288" s="348">
        <f>VPI!R288</f>
        <v>20854.383912037036</v>
      </c>
      <c r="D288" s="206">
        <f>(PCS!I294-PCS!F294)/C288</f>
        <v>11.649011238089878</v>
      </c>
      <c r="E288" s="505">
        <f>'Péréquation directe'!E294/C288</f>
        <v>-4.23803165838906</v>
      </c>
      <c r="F288" s="206">
        <f>'Péréquation directe'!F294/Effort!C288</f>
        <v>-12.248267137992427</v>
      </c>
      <c r="G288" s="206">
        <f>'Péréquation directe'!G294/Effort!C288</f>
        <v>0</v>
      </c>
      <c r="H288" s="206">
        <f>'Péréquation directe'!J294/Effort!C288</f>
        <v>19.207162141841813</v>
      </c>
      <c r="I288" s="371">
        <f t="shared" si="12"/>
        <v>14.369874583550205</v>
      </c>
      <c r="J288" s="223">
        <f t="shared" si="13"/>
        <v>0</v>
      </c>
      <c r="K288" s="42">
        <f t="shared" si="14"/>
        <v>0</v>
      </c>
      <c r="L288" s="237"/>
    </row>
    <row r="289" spans="1:12" s="217" customFormat="1" x14ac:dyDescent="0.25">
      <c r="A289" s="38">
        <f>Données!A289</f>
        <v>5921</v>
      </c>
      <c r="B289" s="168" t="str">
        <f>Données!B289</f>
        <v>Molondin</v>
      </c>
      <c r="C289" s="348">
        <f>VPI!R289</f>
        <v>5090.9675308641981</v>
      </c>
      <c r="D289" s="206">
        <f>(PCS!I295-PCS!F295)/C289</f>
        <v>11.649011238089875</v>
      </c>
      <c r="E289" s="505">
        <f>'Péréquation directe'!E295/C289</f>
        <v>-6.5386842823974591</v>
      </c>
      <c r="F289" s="206">
        <f>'Péréquation directe'!F295/Effort!C289</f>
        <v>-38.152171572037339</v>
      </c>
      <c r="G289" s="206">
        <f>'Péréquation directe'!G295/Effort!C289</f>
        <v>0</v>
      </c>
      <c r="H289" s="206">
        <f>'Péréquation directe'!J295/Effort!C289</f>
        <v>19.207162141841813</v>
      </c>
      <c r="I289" s="371">
        <f t="shared" si="12"/>
        <v>-13.834682474503111</v>
      </c>
      <c r="J289" s="223">
        <f t="shared" si="13"/>
        <v>0</v>
      </c>
      <c r="K289" s="42">
        <f t="shared" si="14"/>
        <v>0</v>
      </c>
      <c r="L289" s="237"/>
    </row>
    <row r="290" spans="1:12" s="217" customFormat="1" x14ac:dyDescent="0.25">
      <c r="A290" s="38">
        <f>Données!A290</f>
        <v>5922</v>
      </c>
      <c r="B290" s="168" t="str">
        <f>Données!B290</f>
        <v>Montagny-près-Yverdon</v>
      </c>
      <c r="C290" s="348">
        <f>VPI!R290</f>
        <v>39799.996472868217</v>
      </c>
      <c r="D290" s="206">
        <f>(PCS!I296-PCS!F296)/C290</f>
        <v>12.459267948750144</v>
      </c>
      <c r="E290" s="505">
        <f>'Péréquation directe'!E296/C290</f>
        <v>-2.4961959887866323</v>
      </c>
      <c r="F290" s="206">
        <f>'Péréquation directe'!F296/Effort!C290</f>
        <v>0</v>
      </c>
      <c r="G290" s="206">
        <f>'Péréquation directe'!G296/Effort!C290</f>
        <v>0</v>
      </c>
      <c r="H290" s="206">
        <f>'Péréquation directe'!J296/Effort!C290</f>
        <v>19.207162141841813</v>
      </c>
      <c r="I290" s="371">
        <f t="shared" si="12"/>
        <v>29.170234101805324</v>
      </c>
      <c r="J290" s="223">
        <f t="shared" si="13"/>
        <v>0</v>
      </c>
      <c r="K290" s="42">
        <f t="shared" si="14"/>
        <v>0</v>
      </c>
      <c r="L290" s="237"/>
    </row>
    <row r="291" spans="1:12" s="217" customFormat="1" x14ac:dyDescent="0.25">
      <c r="A291" s="38">
        <f>Données!A291</f>
        <v>5923</v>
      </c>
      <c r="B291" s="168" t="str">
        <f>Données!B291</f>
        <v>Oppens</v>
      </c>
      <c r="C291" s="348">
        <f>VPI!R291</f>
        <v>4459.4095061728403</v>
      </c>
      <c r="D291" s="206">
        <f>(PCS!I297-PCS!F297)/C291</f>
        <v>11.649011238089876</v>
      </c>
      <c r="E291" s="505">
        <f>'Péréquation directe'!E297/C291</f>
        <v>-5.8444682479831718</v>
      </c>
      <c r="F291" s="206">
        <f>'Péréquation directe'!F297/Effort!C291</f>
        <v>-31.317453763513207</v>
      </c>
      <c r="G291" s="206">
        <f>'Péréquation directe'!G297/Effort!C291</f>
        <v>0</v>
      </c>
      <c r="H291" s="206">
        <f>'Péréquation directe'!J297/Effort!C291</f>
        <v>19.207162141841813</v>
      </c>
      <c r="I291" s="371">
        <f t="shared" si="12"/>
        <v>-6.3057486315646898</v>
      </c>
      <c r="J291" s="223">
        <f t="shared" si="13"/>
        <v>0</v>
      </c>
      <c r="K291" s="42">
        <f t="shared" si="14"/>
        <v>0</v>
      </c>
      <c r="L291" s="237"/>
    </row>
    <row r="292" spans="1:12" s="217" customFormat="1" x14ac:dyDescent="0.25">
      <c r="A292" s="38">
        <f>Données!A292</f>
        <v>5924</v>
      </c>
      <c r="B292" s="168" t="str">
        <f>Données!B292</f>
        <v>Orges</v>
      </c>
      <c r="C292" s="348">
        <f>VPI!R292</f>
        <v>11637.592027027025</v>
      </c>
      <c r="D292" s="206">
        <f>(PCS!I298-PCS!F298)/C292</f>
        <v>11.649011238089876</v>
      </c>
      <c r="E292" s="505">
        <f>'Péréquation directe'!E298/C292</f>
        <v>-4.5123447221568993</v>
      </c>
      <c r="F292" s="206">
        <f>'Péréquation directe'!F298/Effort!C292</f>
        <v>-15.192239156796854</v>
      </c>
      <c r="G292" s="206">
        <f>'Péréquation directe'!G298/Effort!C292</f>
        <v>0</v>
      </c>
      <c r="H292" s="206">
        <f>'Péréquation directe'!J298/Effort!C292</f>
        <v>19.207162141841813</v>
      </c>
      <c r="I292" s="371">
        <f t="shared" si="12"/>
        <v>11.151589500977938</v>
      </c>
      <c r="J292" s="223">
        <f t="shared" si="13"/>
        <v>0</v>
      </c>
      <c r="K292" s="42">
        <f t="shared" si="14"/>
        <v>0</v>
      </c>
      <c r="L292" s="237"/>
    </row>
    <row r="293" spans="1:12" s="217" customFormat="1" x14ac:dyDescent="0.25">
      <c r="A293" s="38">
        <f>Données!A293</f>
        <v>5925</v>
      </c>
      <c r="B293" s="168" t="str">
        <f>Données!B293</f>
        <v>Orzens</v>
      </c>
      <c r="C293" s="348">
        <f>VPI!R293</f>
        <v>5249.0272151898725</v>
      </c>
      <c r="D293" s="206">
        <f>(PCS!I299-PCS!F299)/C293</f>
        <v>11.649011238089876</v>
      </c>
      <c r="E293" s="505">
        <f>'Péréquation directe'!E299/C293</f>
        <v>-5.2110834238233599</v>
      </c>
      <c r="F293" s="206">
        <f>'Péréquation directe'!F299/Effort!C293</f>
        <v>-23.858325494685076</v>
      </c>
      <c r="G293" s="206">
        <f>'Péréquation directe'!G299/Effort!C293</f>
        <v>0</v>
      </c>
      <c r="H293" s="206">
        <f>'Péréquation directe'!J299/Effort!C293</f>
        <v>19.207162141841813</v>
      </c>
      <c r="I293" s="371">
        <f t="shared" si="12"/>
        <v>1.7867644614232532</v>
      </c>
      <c r="J293" s="223">
        <f t="shared" si="13"/>
        <v>0</v>
      </c>
      <c r="K293" s="42">
        <f t="shared" si="14"/>
        <v>0</v>
      </c>
      <c r="L293" s="237"/>
    </row>
    <row r="294" spans="1:12" x14ac:dyDescent="0.25">
      <c r="A294" s="38">
        <f>Données!A294</f>
        <v>5926</v>
      </c>
      <c r="B294" s="168" t="str">
        <f>Données!B294</f>
        <v>Pomy</v>
      </c>
      <c r="C294" s="348">
        <f>VPI!R294</f>
        <v>26782.680140845066</v>
      </c>
      <c r="D294" s="206">
        <f>(PCS!I300-PCS!F300)/C294</f>
        <v>11.649011238089876</v>
      </c>
      <c r="E294" s="505">
        <f>'Péréquation directe'!E300/C294</f>
        <v>-4.1815440858617956</v>
      </c>
      <c r="F294" s="206">
        <f>'Péréquation directe'!F300/Effort!C294</f>
        <v>-11.483107455764337</v>
      </c>
      <c r="G294" s="206">
        <f>'Péréquation directe'!G300/Effort!C294</f>
        <v>0</v>
      </c>
      <c r="H294" s="206">
        <f>'Péréquation directe'!J300/Effort!C294</f>
        <v>19.207162141841813</v>
      </c>
      <c r="I294" s="371">
        <f t="shared" si="12"/>
        <v>15.191521838305558</v>
      </c>
      <c r="J294" s="223">
        <f t="shared" si="13"/>
        <v>0</v>
      </c>
      <c r="K294" s="42">
        <f t="shared" si="14"/>
        <v>0</v>
      </c>
      <c r="L294" s="237"/>
    </row>
    <row r="295" spans="1:12" x14ac:dyDescent="0.25">
      <c r="A295" s="38">
        <f>Données!A295</f>
        <v>5928</v>
      </c>
      <c r="B295" s="168" t="str">
        <f>Données!B295</f>
        <v>Rovray</v>
      </c>
      <c r="C295" s="348">
        <f>VPI!R295</f>
        <v>5095.519580419581</v>
      </c>
      <c r="D295" s="206">
        <f>(PCS!I301-PCS!F301)/C295</f>
        <v>11.649011238089876</v>
      </c>
      <c r="E295" s="505">
        <f>'Péréquation directe'!E301/C295</f>
        <v>-4.988256082246755</v>
      </c>
      <c r="F295" s="206">
        <f>'Péréquation directe'!F301/Effort!C295</f>
        <v>-17.833926716879645</v>
      </c>
      <c r="G295" s="206">
        <f>'Péréquation directe'!G301/Effort!C295</f>
        <v>0</v>
      </c>
      <c r="H295" s="206">
        <f>'Péréquation directe'!J301/Effort!C295</f>
        <v>19.207162141841813</v>
      </c>
      <c r="I295" s="371">
        <f t="shared" si="12"/>
        <v>8.0339905808052894</v>
      </c>
      <c r="J295" s="223">
        <f t="shared" si="13"/>
        <v>0</v>
      </c>
      <c r="K295" s="42">
        <f t="shared" si="14"/>
        <v>0</v>
      </c>
      <c r="L295" s="237"/>
    </row>
    <row r="296" spans="1:12" x14ac:dyDescent="0.25">
      <c r="A296" s="38">
        <f>Données!A296</f>
        <v>5929</v>
      </c>
      <c r="B296" s="168" t="str">
        <f>Données!B296</f>
        <v>Suchy</v>
      </c>
      <c r="C296" s="348">
        <f>VPI!R296</f>
        <v>21603.071857142855</v>
      </c>
      <c r="D296" s="206">
        <f>(PCS!I302-PCS!F302)/C296</f>
        <v>11.649011238089876</v>
      </c>
      <c r="E296" s="505">
        <f>'Péréquation directe'!E302/C296</f>
        <v>-4.007541232087239</v>
      </c>
      <c r="F296" s="206">
        <f>'Péréquation directe'!F302/Effort!C296</f>
        <v>-9.8825116472774273</v>
      </c>
      <c r="G296" s="206">
        <f>'Péréquation directe'!G302/Effort!C296</f>
        <v>0</v>
      </c>
      <c r="H296" s="206">
        <f>'Péréquation directe'!J302/Effort!C296</f>
        <v>19.207162141841813</v>
      </c>
      <c r="I296" s="371">
        <f t="shared" si="12"/>
        <v>16.966120500567023</v>
      </c>
      <c r="J296" s="223">
        <f t="shared" si="13"/>
        <v>0</v>
      </c>
      <c r="K296" s="42">
        <f t="shared" si="14"/>
        <v>0</v>
      </c>
      <c r="L296" s="237"/>
    </row>
    <row r="297" spans="1:12" x14ac:dyDescent="0.25">
      <c r="A297" s="38">
        <f>Données!A297</f>
        <v>5930</v>
      </c>
      <c r="B297" s="168" t="str">
        <f>Données!B297</f>
        <v>Suscévaz</v>
      </c>
      <c r="C297" s="348">
        <f>VPI!R297</f>
        <v>5749.1651388888886</v>
      </c>
      <c r="D297" s="206">
        <f>(PCS!I303-PCS!F303)/C297</f>
        <v>11.649011238089875</v>
      </c>
      <c r="E297" s="505">
        <f>'Péréquation directe'!E303/C297</f>
        <v>-4.9372928391326818</v>
      </c>
      <c r="F297" s="206">
        <f>'Péréquation directe'!F303/Effort!C297</f>
        <v>-17.687783933111479</v>
      </c>
      <c r="G297" s="206">
        <f>'Péréquation directe'!G303/Effort!C297</f>
        <v>0</v>
      </c>
      <c r="H297" s="206">
        <f>'Péréquation directe'!J303/Effort!C297</f>
        <v>19.207162141841813</v>
      </c>
      <c r="I297" s="371">
        <f t="shared" si="12"/>
        <v>8.231096607687526</v>
      </c>
      <c r="J297" s="223">
        <f t="shared" si="13"/>
        <v>0</v>
      </c>
      <c r="K297" s="42">
        <f t="shared" si="14"/>
        <v>0</v>
      </c>
      <c r="L297" s="237"/>
    </row>
    <row r="298" spans="1:12" x14ac:dyDescent="0.25">
      <c r="A298" s="38">
        <f>Données!A298</f>
        <v>5931</v>
      </c>
      <c r="B298" s="168" t="str">
        <f>Données!B298</f>
        <v>Treycovagnes</v>
      </c>
      <c r="C298" s="348">
        <f>VPI!R298</f>
        <v>16306.743466666663</v>
      </c>
      <c r="D298" s="206">
        <f>(PCS!I304-PCS!F304)/C298</f>
        <v>11.649011238089876</v>
      </c>
      <c r="E298" s="505">
        <f>'Péréquation directe'!E304/C298</f>
        <v>-4.1144055199702381</v>
      </c>
      <c r="F298" s="206">
        <f>'Péréquation directe'!F304/Effort!C298</f>
        <v>-12.246729339702458</v>
      </c>
      <c r="G298" s="206">
        <f>'Péréquation directe'!G304/Effort!C298</f>
        <v>0</v>
      </c>
      <c r="H298" s="206">
        <f>'Péréquation directe'!J304/Effort!C298</f>
        <v>19.207162141841813</v>
      </c>
      <c r="I298" s="371">
        <f t="shared" si="12"/>
        <v>14.495038520258994</v>
      </c>
      <c r="J298" s="223">
        <f t="shared" si="13"/>
        <v>0</v>
      </c>
      <c r="K298" s="42">
        <f t="shared" si="14"/>
        <v>0</v>
      </c>
      <c r="L298" s="237"/>
    </row>
    <row r="299" spans="1:12" x14ac:dyDescent="0.25">
      <c r="A299" s="38">
        <f>Données!A299</f>
        <v>5932</v>
      </c>
      <c r="B299" s="168" t="str">
        <f>Données!B299</f>
        <v>Ursins</v>
      </c>
      <c r="C299" s="348">
        <f>VPI!R299</f>
        <v>7945.6340000000009</v>
      </c>
      <c r="D299" s="206">
        <f>(PCS!I305-PCS!F305)/C299</f>
        <v>11.649011238089876</v>
      </c>
      <c r="E299" s="505">
        <f>'Péréquation directe'!E305/C299</f>
        <v>-3.7348251026814858</v>
      </c>
      <c r="F299" s="206">
        <f>'Péréquation directe'!F305/Effort!C299</f>
        <v>-9.0428051185162204</v>
      </c>
      <c r="G299" s="206">
        <f>'Péréquation directe'!G305/Effort!C299</f>
        <v>0</v>
      </c>
      <c r="H299" s="206">
        <f>'Péréquation directe'!J305/Effort!C299</f>
        <v>19.207162141841813</v>
      </c>
      <c r="I299" s="371">
        <f t="shared" si="12"/>
        <v>18.078543158733986</v>
      </c>
      <c r="J299" s="223">
        <f t="shared" si="13"/>
        <v>0</v>
      </c>
      <c r="K299" s="42">
        <f t="shared" si="14"/>
        <v>0</v>
      </c>
      <c r="L299" s="237"/>
    </row>
    <row r="300" spans="1:12" x14ac:dyDescent="0.25">
      <c r="A300" s="38">
        <f>Données!A300</f>
        <v>5933</v>
      </c>
      <c r="B300" s="168" t="str">
        <f>Données!B300</f>
        <v>Valeyres-sous-Montagny</v>
      </c>
      <c r="C300" s="348">
        <f>VPI!R300</f>
        <v>23478.314609929079</v>
      </c>
      <c r="D300" s="206">
        <f>(PCS!I306-PCS!F306)/C300</f>
        <v>11.649011238089875</v>
      </c>
      <c r="E300" s="505">
        <f>'Péréquation directe'!E306/C300</f>
        <v>-3.8633085615395593</v>
      </c>
      <c r="F300" s="206">
        <f>'Péréquation directe'!F306/Effort!C300</f>
        <v>-8.9484781974364349</v>
      </c>
      <c r="G300" s="206">
        <f>'Péréquation directe'!G306/Effort!C300</f>
        <v>0</v>
      </c>
      <c r="H300" s="206">
        <f>'Péréquation directe'!J306/Effort!C300</f>
        <v>19.207162141841813</v>
      </c>
      <c r="I300" s="371">
        <f t="shared" si="12"/>
        <v>18.044386620955692</v>
      </c>
      <c r="J300" s="223">
        <f t="shared" si="13"/>
        <v>0</v>
      </c>
      <c r="K300" s="42">
        <f t="shared" si="14"/>
        <v>0</v>
      </c>
      <c r="L300" s="237"/>
    </row>
    <row r="301" spans="1:12" x14ac:dyDescent="0.25">
      <c r="A301" s="38">
        <f>Données!A301</f>
        <v>5934</v>
      </c>
      <c r="B301" s="168" t="str">
        <f>Données!B301</f>
        <v>Valeyres-sous-Ursins</v>
      </c>
      <c r="C301" s="348">
        <f>VPI!R301</f>
        <v>16787.585844155841</v>
      </c>
      <c r="D301" s="206">
        <f>(PCS!I307-PCS!F307)/C301</f>
        <v>17.613811272040859</v>
      </c>
      <c r="E301" s="505">
        <f>'Péréquation directe'!E307/C301</f>
        <v>-1.8522507763857974</v>
      </c>
      <c r="F301" s="206">
        <f>'Péréquation directe'!F307/Effort!C301</f>
        <v>0</v>
      </c>
      <c r="G301" s="206">
        <f>'Péréquation directe'!G307/Effort!C301</f>
        <v>0</v>
      </c>
      <c r="H301" s="206">
        <f>'Péréquation directe'!J307/Effort!C301</f>
        <v>19.207162141841813</v>
      </c>
      <c r="I301" s="371">
        <f t="shared" si="12"/>
        <v>34.968722637496874</v>
      </c>
      <c r="J301" s="223">
        <f t="shared" si="13"/>
        <v>0</v>
      </c>
      <c r="K301" s="42">
        <f t="shared" si="14"/>
        <v>0</v>
      </c>
      <c r="L301" s="237"/>
    </row>
    <row r="302" spans="1:12" x14ac:dyDescent="0.25">
      <c r="A302" s="38">
        <f>Données!A302</f>
        <v>5935</v>
      </c>
      <c r="B302" s="168" t="str">
        <f>Données!B302</f>
        <v>Villars-Epeney</v>
      </c>
      <c r="C302" s="348">
        <f>VPI!R302</f>
        <v>6724.4138235294122</v>
      </c>
      <c r="D302" s="206">
        <f>(PCS!I308-PCS!F308)/C302</f>
        <v>17.667358531632619</v>
      </c>
      <c r="E302" s="505">
        <f>'Péréquation directe'!E308/C302</f>
        <v>-1.7652425385291852</v>
      </c>
      <c r="F302" s="206">
        <f>'Péréquation directe'!F308/Effort!C302</f>
        <v>0</v>
      </c>
      <c r="G302" s="206">
        <f>'Péréquation directe'!G308/Effort!C302</f>
        <v>0</v>
      </c>
      <c r="H302" s="206">
        <f>'Péréquation directe'!J308/Effort!C302</f>
        <v>19.207162141841813</v>
      </c>
      <c r="I302" s="371">
        <f t="shared" si="12"/>
        <v>35.109278134945249</v>
      </c>
      <c r="J302" s="223">
        <f t="shared" si="13"/>
        <v>0</v>
      </c>
      <c r="K302" s="42">
        <f t="shared" si="14"/>
        <v>0</v>
      </c>
      <c r="L302" s="237"/>
    </row>
    <row r="303" spans="1:12" x14ac:dyDescent="0.25">
      <c r="A303" s="38">
        <f>Données!A303</f>
        <v>5937</v>
      </c>
      <c r="B303" s="168" t="str">
        <f>Données!B303</f>
        <v>Vugelles-La Mothe</v>
      </c>
      <c r="C303" s="348">
        <f>VPI!R303</f>
        <v>3343.8941428571434</v>
      </c>
      <c r="D303" s="206">
        <f>(PCS!I309-PCS!F309)/C303</f>
        <v>11.649011238089873</v>
      </c>
      <c r="E303" s="505">
        <f>'Péréquation directe'!E309/C303</f>
        <v>-5.479069548467848</v>
      </c>
      <c r="F303" s="206">
        <f>'Péréquation directe'!F309/Effort!C303</f>
        <v>-20.702346040480155</v>
      </c>
      <c r="G303" s="206">
        <f>'Péréquation directe'!G309/Effort!C303</f>
        <v>0</v>
      </c>
      <c r="H303" s="206">
        <f>'Péréquation directe'!J309/Effort!C303</f>
        <v>19.207162141841813</v>
      </c>
      <c r="I303" s="371">
        <f t="shared" si="12"/>
        <v>4.6747577909836835</v>
      </c>
      <c r="J303" s="223">
        <f t="shared" si="13"/>
        <v>0</v>
      </c>
      <c r="K303" s="42">
        <f t="shared" si="14"/>
        <v>0</v>
      </c>
      <c r="L303" s="237"/>
    </row>
    <row r="304" spans="1:12" x14ac:dyDescent="0.25">
      <c r="A304" s="38">
        <f>Données!A304</f>
        <v>5938</v>
      </c>
      <c r="B304" s="168" t="str">
        <f>Données!B304</f>
        <v>Yverdon-les-Bains</v>
      </c>
      <c r="C304" s="348">
        <f>VPI!R304</f>
        <v>780594.69946666679</v>
      </c>
      <c r="D304" s="206">
        <f>(PCS!I310-PCS!F310)/C304</f>
        <v>11.649011238089876</v>
      </c>
      <c r="E304" s="505">
        <f>'Péréquation directe'!E310/C304</f>
        <v>-33.609117138609534</v>
      </c>
      <c r="F304" s="206">
        <f>'Péréquation directe'!F310/Effort!C304</f>
        <v>-19.229349365804417</v>
      </c>
      <c r="G304" s="206">
        <f>'Péréquation directe'!G310/Effort!C304</f>
        <v>0</v>
      </c>
      <c r="H304" s="206">
        <f>'Péréquation directe'!J310/Effort!C304</f>
        <v>19.207162141841813</v>
      </c>
      <c r="I304" s="371">
        <f t="shared" si="12"/>
        <v>-21.982293124482261</v>
      </c>
      <c r="J304" s="223">
        <f t="shared" si="13"/>
        <v>0</v>
      </c>
      <c r="K304" s="42">
        <f t="shared" si="14"/>
        <v>0</v>
      </c>
      <c r="L304" s="237"/>
    </row>
    <row r="305" spans="1:14" x14ac:dyDescent="0.25">
      <c r="A305" s="38">
        <f>Données!A305</f>
        <v>5939</v>
      </c>
      <c r="B305" s="168" t="str">
        <f>Données!B305</f>
        <v>Yvonand</v>
      </c>
      <c r="C305" s="348">
        <f>VPI!R305</f>
        <v>97394.348251748248</v>
      </c>
      <c r="D305" s="208">
        <f>(PCS!I311-PCS!F311)/C305</f>
        <v>11.649011238089875</v>
      </c>
      <c r="E305" s="505">
        <f>'Péréquation directe'!E311/C305</f>
        <v>-11.578403125016029</v>
      </c>
      <c r="F305" s="206">
        <f>'Péréquation directe'!F311/Effort!C305</f>
        <v>-15.492427287210626</v>
      </c>
      <c r="G305" s="206">
        <f>'Péréquation directe'!G311/Effort!C305</f>
        <v>0</v>
      </c>
      <c r="H305" s="206">
        <f>'Péréquation directe'!J311/Effort!C305</f>
        <v>19.207162141841813</v>
      </c>
      <c r="I305" s="371">
        <f t="shared" si="12"/>
        <v>3.7853429677050325</v>
      </c>
      <c r="J305" s="223">
        <f t="shared" si="13"/>
        <v>0</v>
      </c>
      <c r="K305" s="42">
        <f t="shared" si="14"/>
        <v>0</v>
      </c>
      <c r="L305" s="237"/>
    </row>
    <row r="306" spans="1:14" x14ac:dyDescent="0.25">
      <c r="A306" s="25"/>
      <c r="B306" s="172">
        <f>COUNTA(B6:B305)</f>
        <v>300</v>
      </c>
      <c r="C306" s="61">
        <f>SUM(C6:C305)</f>
        <v>40270921.104040481</v>
      </c>
      <c r="D306" s="62">
        <f>(PCS!I312-PCS!F312)/C306</f>
        <v>14.879701817768439</v>
      </c>
      <c r="E306" s="62">
        <f>'Péréquation directe'!E312/C306</f>
        <v>-11.439262533721463</v>
      </c>
      <c r="F306" s="62">
        <f>'Péréquation directe'!F312/Effort!C306</f>
        <v>-3.5024217895214416</v>
      </c>
      <c r="G306" s="62">
        <f>'Péréquation directe'!G312/Effort!C306</f>
        <v>-4.5</v>
      </c>
      <c r="H306" s="62">
        <f>'Péréquation directe'!J312/Effort!C306</f>
        <v>19.207162141841813</v>
      </c>
      <c r="I306" s="346">
        <f t="shared" ref="I306" si="15">SUM(D306:H306)</f>
        <v>14.645179636367347</v>
      </c>
      <c r="J306" s="418">
        <f t="shared" ref="J306" si="16">IF(I306&gt;J$5,J$5-I306,0)</f>
        <v>0</v>
      </c>
      <c r="K306" s="30">
        <f>SUM(K6:K305)</f>
        <v>-1334451.3984552238</v>
      </c>
      <c r="L306" s="13"/>
      <c r="M306" s="10"/>
      <c r="N306" s="10"/>
    </row>
    <row r="307" spans="1:14" x14ac:dyDescent="0.25">
      <c r="I307" s="5"/>
    </row>
    <row r="310" spans="1:14" x14ac:dyDescent="0.25">
      <c r="H310" s="23"/>
      <c r="I310" s="23"/>
    </row>
    <row r="312" spans="1:14" x14ac:dyDescent="0.25">
      <c r="I312" s="23"/>
    </row>
  </sheetData>
  <sheetProtection sheet="1" objects="1" scenarios="1"/>
  <mergeCells count="10">
    <mergeCell ref="C4:C5"/>
    <mergeCell ref="B4:B5"/>
    <mergeCell ref="A4:A5"/>
    <mergeCell ref="K4:K5"/>
    <mergeCell ref="I4:I5"/>
    <mergeCell ref="E4:E5"/>
    <mergeCell ref="D4:D5"/>
    <mergeCell ref="F4:F5"/>
    <mergeCell ref="H4:H5"/>
    <mergeCell ref="G4:G5"/>
  </mergeCells>
  <phoneticPr fontId="0" type="noConversion"/>
  <conditionalFormatting sqref="D6:I306">
    <cfRule type="cellIs" dxfId="10" priority="5" operator="lessThan">
      <formula>0</formula>
    </cfRule>
    <cfRule type="cellIs" dxfId="9" priority="6" operator="greaterThan">
      <formula>0</formula>
    </cfRule>
  </conditionalFormatting>
  <conditionalFormatting sqref="J5">
    <cfRule type="cellIs" dxfId="8" priority="1" operator="lessThan">
      <formula>0</formula>
    </cfRule>
    <cfRule type="cellIs" dxfId="7" priority="2" operator="greaterThan">
      <formula>0</formula>
    </cfRule>
  </conditionalFormatting>
  <hyperlinks>
    <hyperlink ref="C1" location="DT!A1" display="← Précédent" xr:uid="{0324FF71-E272-4507-A06C-68FB6D7F6A39}"/>
    <hyperlink ref="E1" location="Aide!A1" display="Suivant →" xr:uid="{714C2376-5506-440A-A3BB-74D004A26952}"/>
    <hyperlink ref="D1" location="'Table des matières'!A1" display="Table des             matières" xr:uid="{F4DD9665-E693-4988-9116-9650F129F802}"/>
  </hyperlinks>
  <printOptions horizontalCentered="1"/>
  <pageMargins left="0" right="0" top="0" bottom="0" header="0.51181102362204722" footer="0.51181102362204722"/>
  <pageSetup paperSize="9" scale="64" orientation="portrait" horizontalDpi="4294967292" verticalDpi="4294967292"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tabColor theme="6" tint="0.39997558519241921"/>
  </sheetPr>
  <dimension ref="A1:Y308"/>
  <sheetViews>
    <sheetView workbookViewId="0">
      <pane ySplit="5" topLeftCell="A6" activePane="bottomLeft" state="frozen"/>
      <selection activeCell="C3" sqref="C3:E3"/>
      <selection pane="bottomLeft" activeCell="C3" sqref="C3:E3"/>
    </sheetView>
  </sheetViews>
  <sheetFormatPr baseColWidth="10" defaultColWidth="10.75" defaultRowHeight="15" x14ac:dyDescent="0.25"/>
  <cols>
    <col min="1" max="1" width="7.25" style="11" customWidth="1"/>
    <col min="2" max="2" width="22.75" style="11" customWidth="1"/>
    <col min="3" max="3" width="16" style="11" customWidth="1"/>
    <col min="4" max="4" width="13.375" style="11" customWidth="1"/>
    <col min="5" max="6" width="13" style="11" customWidth="1"/>
    <col min="7" max="7" width="24.375" style="11" customWidth="1"/>
    <col min="8" max="8" width="9.875" style="11" bestFit="1" customWidth="1"/>
    <col min="9" max="9" width="10" style="11" customWidth="1"/>
    <col min="10" max="10" width="12.875" style="11" customWidth="1"/>
    <col min="11" max="14" width="12.125" style="11" customWidth="1"/>
    <col min="15" max="17" width="8.125" style="11" customWidth="1"/>
    <col min="18" max="16384" width="10.75" style="11"/>
  </cols>
  <sheetData>
    <row r="1" spans="1:25" s="291" customFormat="1" ht="26.25" x14ac:dyDescent="0.4">
      <c r="A1" s="278" t="s">
        <v>402</v>
      </c>
      <c r="B1" s="283"/>
      <c r="C1" s="404" t="s">
        <v>405</v>
      </c>
      <c r="D1" s="302" t="s">
        <v>397</v>
      </c>
      <c r="E1" s="496" t="s">
        <v>406</v>
      </c>
      <c r="G1" s="287"/>
      <c r="H1" s="287"/>
      <c r="I1" s="287"/>
      <c r="J1" s="287"/>
      <c r="L1" s="294"/>
      <c r="N1" s="285"/>
      <c r="O1" s="285"/>
      <c r="P1" s="285"/>
      <c r="Q1" s="285"/>
      <c r="R1" s="285"/>
      <c r="Y1" s="285"/>
    </row>
    <row r="2" spans="1:25" s="33" customFormat="1" ht="15.75" x14ac:dyDescent="0.25">
      <c r="A2" s="355" t="str">
        <f>Paramètres!B4</f>
        <v>Décompte 2022</v>
      </c>
      <c r="B2" s="32"/>
      <c r="C2" s="219"/>
      <c r="D2" s="219"/>
      <c r="E2" s="219"/>
      <c r="F2" s="219"/>
      <c r="G2" s="219"/>
      <c r="H2" s="219"/>
      <c r="I2" s="219"/>
      <c r="J2" s="219"/>
      <c r="L2" s="43"/>
      <c r="N2" s="217"/>
      <c r="O2" s="217"/>
      <c r="P2" s="217"/>
      <c r="Q2" s="217"/>
      <c r="R2" s="217"/>
      <c r="Y2" s="217"/>
    </row>
    <row r="4" spans="1:25" ht="45" customHeight="1" x14ac:dyDescent="0.25">
      <c r="A4" s="680" t="s">
        <v>44</v>
      </c>
      <c r="B4" s="680" t="s">
        <v>84</v>
      </c>
      <c r="C4" s="680" t="s">
        <v>413</v>
      </c>
      <c r="D4" s="680" t="s">
        <v>435</v>
      </c>
      <c r="E4" s="493" t="s">
        <v>427</v>
      </c>
      <c r="F4" s="494" t="s">
        <v>505</v>
      </c>
      <c r="G4" s="680" t="s">
        <v>536</v>
      </c>
      <c r="H4" s="493" t="s">
        <v>433</v>
      </c>
      <c r="I4" s="680" t="s">
        <v>438</v>
      </c>
    </row>
    <row r="5" spans="1:25" x14ac:dyDescent="0.25">
      <c r="A5" s="681"/>
      <c r="B5" s="682"/>
      <c r="C5" s="681"/>
      <c r="D5" s="681"/>
      <c r="E5" s="506" t="s">
        <v>491</v>
      </c>
      <c r="F5" s="469" t="s">
        <v>492</v>
      </c>
      <c r="G5" s="682"/>
      <c r="H5" s="346">
        <f>-Paramètres!B45</f>
        <v>-8</v>
      </c>
      <c r="I5" s="681"/>
    </row>
    <row r="6" spans="1:25" x14ac:dyDescent="0.25">
      <c r="A6" s="36">
        <f>Données!A6</f>
        <v>5401</v>
      </c>
      <c r="B6" s="168" t="str">
        <f>Données!B6</f>
        <v>Aigle</v>
      </c>
      <c r="C6" s="347">
        <f>VPI!R6</f>
        <v>294634.51575757569</v>
      </c>
      <c r="D6" s="207">
        <f>Effort!I6-IF(PCS!I12&lt;0, Effort!D6, 0)</f>
        <v>-3.6445955867011648</v>
      </c>
      <c r="E6" s="504">
        <f>IF(PCS!I12&lt;0, 0, PCS!F12/Aide!C6)</f>
        <v>4.572380264192998</v>
      </c>
      <c r="F6" s="504">
        <f>Effort!G6</f>
        <v>0</v>
      </c>
      <c r="G6" s="419">
        <f>D6+E6-F6</f>
        <v>0.92778467749183324</v>
      </c>
      <c r="H6" s="223">
        <f>IF(G6&lt;H$5,G6-H$5,0)</f>
        <v>0</v>
      </c>
      <c r="I6" s="64">
        <f t="shared" ref="I6" si="0">-H6*C6</f>
        <v>0</v>
      </c>
      <c r="J6" s="29"/>
    </row>
    <row r="7" spans="1:25" x14ac:dyDescent="0.25">
      <c r="A7" s="38">
        <f>Données!A7</f>
        <v>5402</v>
      </c>
      <c r="B7" s="168" t="str">
        <f>Données!B7</f>
        <v>Bex</v>
      </c>
      <c r="C7" s="348">
        <f>VPI!R7</f>
        <v>191961.18746478873</v>
      </c>
      <c r="D7" s="206">
        <f>Effort!I7-IF(PCS!I13&lt;0, Effort!D7, 0)</f>
        <v>-10.533707157521359</v>
      </c>
      <c r="E7" s="505">
        <f>IF(PCS!I13&lt;0, 0, PCS!F13/Aide!C7)</f>
        <v>4.7947631870574341</v>
      </c>
      <c r="F7" s="505">
        <f>Effort!G7</f>
        <v>0</v>
      </c>
      <c r="G7" s="371">
        <f t="shared" ref="G7:G70" si="1">D7+E7-F7</f>
        <v>-5.7389439704639251</v>
      </c>
      <c r="H7" s="223">
        <f t="shared" ref="H7:H70" si="2">IF(G7&lt;H$5,G7-H$5,0)</f>
        <v>0</v>
      </c>
      <c r="I7" s="42">
        <f t="shared" ref="I7:I70" si="3">-H7*C7</f>
        <v>0</v>
      </c>
      <c r="J7" s="29"/>
    </row>
    <row r="8" spans="1:25" x14ac:dyDescent="0.25">
      <c r="A8" s="38">
        <f>Données!A8</f>
        <v>5403</v>
      </c>
      <c r="B8" s="168" t="str">
        <f>Données!B8</f>
        <v>Chessel</v>
      </c>
      <c r="C8" s="348">
        <f>VPI!R8</f>
        <v>13521.430615384616</v>
      </c>
      <c r="D8" s="206">
        <f>Effort!I8-IF(PCS!I14&lt;0, Effort!D8, 0)</f>
        <v>10.761966862749954</v>
      </c>
      <c r="E8" s="505">
        <f>IF(PCS!I14&lt;0, 0, PCS!F14/Aide!C8)</f>
        <v>1.2104137103198422</v>
      </c>
      <c r="F8" s="505">
        <f>Effort!G8</f>
        <v>0</v>
      </c>
      <c r="G8" s="371">
        <f t="shared" si="1"/>
        <v>11.972380573069797</v>
      </c>
      <c r="H8" s="223">
        <f t="shared" si="2"/>
        <v>0</v>
      </c>
      <c r="I8" s="42">
        <f t="shared" si="3"/>
        <v>0</v>
      </c>
      <c r="J8" s="29"/>
    </row>
    <row r="9" spans="1:25" x14ac:dyDescent="0.25">
      <c r="A9" s="38">
        <f>Données!A9</f>
        <v>5404</v>
      </c>
      <c r="B9" s="168" t="str">
        <f>Données!B9</f>
        <v>Corbeyrier</v>
      </c>
      <c r="C9" s="348">
        <f>VPI!R9</f>
        <v>11663.247882882884</v>
      </c>
      <c r="D9" s="206">
        <f>Effort!I9-IF(PCS!I15&lt;0, Effort!D9, 0)</f>
        <v>7.8782685393946608</v>
      </c>
      <c r="E9" s="505">
        <f>IF(PCS!I15&lt;0, 0, PCS!F15/Aide!C9)</f>
        <v>8.9658884943592891</v>
      </c>
      <c r="F9" s="505">
        <f>Effort!G9</f>
        <v>0</v>
      </c>
      <c r="G9" s="371">
        <f t="shared" si="1"/>
        <v>16.844157033753952</v>
      </c>
      <c r="H9" s="223">
        <f t="shared" si="2"/>
        <v>0</v>
      </c>
      <c r="I9" s="42">
        <f t="shared" si="3"/>
        <v>0</v>
      </c>
      <c r="J9" s="29"/>
    </row>
    <row r="10" spans="1:25" x14ac:dyDescent="0.25">
      <c r="A10" s="38">
        <f>Données!A10</f>
        <v>5405</v>
      </c>
      <c r="B10" s="168" t="str">
        <f>Données!B10</f>
        <v>Gryon</v>
      </c>
      <c r="C10" s="348">
        <f>VPI!R10</f>
        <v>73286.214467120197</v>
      </c>
      <c r="D10" s="206">
        <f>Effort!I10-IF(PCS!I16&lt;0, Effort!D10, 0)</f>
        <v>28.367013539314861</v>
      </c>
      <c r="E10" s="505">
        <f>IF(PCS!I16&lt;0, 0, PCS!F16/Aide!C10)</f>
        <v>8.0964626064320733</v>
      </c>
      <c r="F10" s="505">
        <f>Effort!G10</f>
        <v>0</v>
      </c>
      <c r="G10" s="371">
        <f t="shared" si="1"/>
        <v>36.463476145746938</v>
      </c>
      <c r="H10" s="223">
        <f t="shared" si="2"/>
        <v>0</v>
      </c>
      <c r="I10" s="42">
        <f t="shared" si="3"/>
        <v>0</v>
      </c>
      <c r="J10" s="29"/>
    </row>
    <row r="11" spans="1:25" x14ac:dyDescent="0.25">
      <c r="A11" s="38">
        <f>Données!A11</f>
        <v>5406</v>
      </c>
      <c r="B11" s="168" t="str">
        <f>Données!B11</f>
        <v>Lavey-Morcles</v>
      </c>
      <c r="C11" s="348">
        <f>VPI!R11</f>
        <v>22111.529381387842</v>
      </c>
      <c r="D11" s="206">
        <f>Effort!I11-IF(PCS!I17&lt;0, Effort!D11, 0)</f>
        <v>1.8540725717661388</v>
      </c>
      <c r="E11" s="505">
        <f>IF(PCS!I17&lt;0, 0, PCS!F17/Aide!C11)</f>
        <v>7.5683973330611947</v>
      </c>
      <c r="F11" s="505">
        <f>Effort!G11</f>
        <v>0</v>
      </c>
      <c r="G11" s="371">
        <f t="shared" si="1"/>
        <v>9.4224699048273344</v>
      </c>
      <c r="H11" s="223">
        <f t="shared" si="2"/>
        <v>0</v>
      </c>
      <c r="I11" s="42">
        <f t="shared" si="3"/>
        <v>0</v>
      </c>
      <c r="J11" s="29"/>
    </row>
    <row r="12" spans="1:25" x14ac:dyDescent="0.25">
      <c r="A12" s="38">
        <f>Données!A12</f>
        <v>5407</v>
      </c>
      <c r="B12" s="168" t="str">
        <f>Données!B12</f>
        <v>Leysin</v>
      </c>
      <c r="C12" s="348">
        <f>VPI!R12</f>
        <v>89841.412521367529</v>
      </c>
      <c r="D12" s="206">
        <f>Effort!I12-IF(PCS!I18&lt;0, Effort!D12, 0)</f>
        <v>-7.8188372945459044</v>
      </c>
      <c r="E12" s="505">
        <f>IF(PCS!I18&lt;0, 0, PCS!F18/Aide!C12)</f>
        <v>5.294441746303475</v>
      </c>
      <c r="F12" s="505">
        <f>Effort!G12</f>
        <v>0</v>
      </c>
      <c r="G12" s="371">
        <f t="shared" si="1"/>
        <v>-2.5243955482424294</v>
      </c>
      <c r="H12" s="223">
        <f t="shared" si="2"/>
        <v>0</v>
      </c>
      <c r="I12" s="42">
        <f t="shared" si="3"/>
        <v>0</v>
      </c>
      <c r="J12" s="29"/>
    </row>
    <row r="13" spans="1:25" x14ac:dyDescent="0.25">
      <c r="A13" s="38">
        <f>Données!A13</f>
        <v>5408</v>
      </c>
      <c r="B13" s="168" t="str">
        <f>Données!B13</f>
        <v>Noville</v>
      </c>
      <c r="C13" s="348">
        <f>VPI!R13</f>
        <v>41973.380088888902</v>
      </c>
      <c r="D13" s="206">
        <f>Effort!I13-IF(PCS!I19&lt;0, Effort!D13, 0)</f>
        <v>18.478130790900323</v>
      </c>
      <c r="E13" s="505">
        <f>IF(PCS!I19&lt;0, 0, PCS!F19/Aide!C13)</f>
        <v>3.0488750186186779</v>
      </c>
      <c r="F13" s="505">
        <f>Effort!G13</f>
        <v>0</v>
      </c>
      <c r="G13" s="371">
        <f t="shared" si="1"/>
        <v>21.527005809519</v>
      </c>
      <c r="H13" s="223">
        <f t="shared" si="2"/>
        <v>0</v>
      </c>
      <c r="I13" s="42">
        <f t="shared" si="3"/>
        <v>0</v>
      </c>
      <c r="J13" s="29"/>
    </row>
    <row r="14" spans="1:25" x14ac:dyDescent="0.25">
      <c r="A14" s="38">
        <f>Données!A14</f>
        <v>5409</v>
      </c>
      <c r="B14" s="168" t="str">
        <f>Données!B14</f>
        <v>Ollon</v>
      </c>
      <c r="C14" s="348">
        <f>VPI!R14</f>
        <v>405938.29721719451</v>
      </c>
      <c r="D14" s="206">
        <f>Effort!I14-IF(PCS!I20&lt;0, Effort!D14, 0)</f>
        <v>22.346667323587077</v>
      </c>
      <c r="E14" s="505">
        <f>IF(PCS!I20&lt;0, 0, PCS!F20/Aide!C14)</f>
        <v>6.0235587077208343</v>
      </c>
      <c r="F14" s="505">
        <f>Effort!G14</f>
        <v>0</v>
      </c>
      <c r="G14" s="371">
        <f t="shared" si="1"/>
        <v>28.370226031307912</v>
      </c>
      <c r="H14" s="223">
        <f t="shared" si="2"/>
        <v>0</v>
      </c>
      <c r="I14" s="42">
        <f t="shared" si="3"/>
        <v>0</v>
      </c>
      <c r="J14" s="29"/>
    </row>
    <row r="15" spans="1:25" x14ac:dyDescent="0.25">
      <c r="A15" s="38">
        <f>Données!A15</f>
        <v>5410</v>
      </c>
      <c r="B15" s="168" t="str">
        <f>Données!B15</f>
        <v>Ormont-Dessous</v>
      </c>
      <c r="C15" s="348">
        <f>VPI!R15</f>
        <v>38418.577099567097</v>
      </c>
      <c r="D15" s="206">
        <f>Effort!I15-IF(PCS!I21&lt;0, Effort!D15, 0)</f>
        <v>14.32317765208769</v>
      </c>
      <c r="E15" s="505">
        <f>IF(PCS!I21&lt;0, 0, PCS!F21/Aide!C15)</f>
        <v>6.733434435366294</v>
      </c>
      <c r="F15" s="505">
        <f>Effort!G15</f>
        <v>0</v>
      </c>
      <c r="G15" s="371">
        <f t="shared" si="1"/>
        <v>21.056612087453985</v>
      </c>
      <c r="H15" s="223">
        <f t="shared" si="2"/>
        <v>0</v>
      </c>
      <c r="I15" s="42">
        <f t="shared" si="3"/>
        <v>0</v>
      </c>
      <c r="J15" s="29"/>
    </row>
    <row r="16" spans="1:25" x14ac:dyDescent="0.25">
      <c r="A16" s="38">
        <f>Données!A16</f>
        <v>5411</v>
      </c>
      <c r="B16" s="168" t="str">
        <f>Données!B16</f>
        <v>Ormont-Dessus</v>
      </c>
      <c r="C16" s="348">
        <f>VPI!R16</f>
        <v>76161.465657894747</v>
      </c>
      <c r="D16" s="206">
        <f>Effort!I16-IF(PCS!I22&lt;0, Effort!D16, 0)</f>
        <v>28.569497979694564</v>
      </c>
      <c r="E16" s="505">
        <f>IF(PCS!I22&lt;0, 0, PCS!F22/Aide!C16)</f>
        <v>7.8904407210250014</v>
      </c>
      <c r="F16" s="505">
        <f>Effort!G16</f>
        <v>0</v>
      </c>
      <c r="G16" s="371">
        <f t="shared" si="1"/>
        <v>36.459938700719562</v>
      </c>
      <c r="H16" s="223">
        <f t="shared" si="2"/>
        <v>0</v>
      </c>
      <c r="I16" s="42">
        <f t="shared" si="3"/>
        <v>0</v>
      </c>
      <c r="J16" s="29"/>
    </row>
    <row r="17" spans="1:10" x14ac:dyDescent="0.25">
      <c r="A17" s="38">
        <f>Données!A17</f>
        <v>5412</v>
      </c>
      <c r="B17" s="168" t="str">
        <f>Données!B17</f>
        <v>Rennaz</v>
      </c>
      <c r="C17" s="348">
        <f>VPI!R17</f>
        <v>32240.440579710143</v>
      </c>
      <c r="D17" s="206">
        <f>Effort!I17-IF(PCS!I23&lt;0, Effort!D17, 0)</f>
        <v>19.606194060768054</v>
      </c>
      <c r="E17" s="505">
        <f>IF(PCS!I23&lt;0, 0, PCS!F23/Aide!C17)</f>
        <v>13.234098304119266</v>
      </c>
      <c r="F17" s="505">
        <f>Effort!G17</f>
        <v>0</v>
      </c>
      <c r="G17" s="371">
        <f t="shared" si="1"/>
        <v>32.840292364887318</v>
      </c>
      <c r="H17" s="223">
        <f t="shared" si="2"/>
        <v>0</v>
      </c>
      <c r="I17" s="42">
        <f t="shared" si="3"/>
        <v>0</v>
      </c>
      <c r="J17" s="29"/>
    </row>
    <row r="18" spans="1:10" x14ac:dyDescent="0.25">
      <c r="A18" s="38">
        <f>Données!A18</f>
        <v>5413</v>
      </c>
      <c r="B18" s="168" t="str">
        <f>Données!B18</f>
        <v>Roche</v>
      </c>
      <c r="C18" s="348">
        <f>VPI!R18</f>
        <v>42596.643504901964</v>
      </c>
      <c r="D18" s="206">
        <f>Effort!I18-IF(PCS!I24&lt;0, Effort!D18, 0)</f>
        <v>-2.5254244279922062</v>
      </c>
      <c r="E18" s="505">
        <f>IF(PCS!I24&lt;0, 0, PCS!F24/Aide!C18)</f>
        <v>9.5080084174564625</v>
      </c>
      <c r="F18" s="505">
        <f>Effort!G18</f>
        <v>0</v>
      </c>
      <c r="G18" s="371">
        <f t="shared" si="1"/>
        <v>6.9825839894642563</v>
      </c>
      <c r="H18" s="223">
        <f t="shared" si="2"/>
        <v>0</v>
      </c>
      <c r="I18" s="42">
        <f t="shared" si="3"/>
        <v>0</v>
      </c>
      <c r="J18" s="29"/>
    </row>
    <row r="19" spans="1:10" x14ac:dyDescent="0.25">
      <c r="A19" s="38">
        <f>Données!A19</f>
        <v>5414</v>
      </c>
      <c r="B19" s="168" t="str">
        <f>Données!B19</f>
        <v>Villeneuve</v>
      </c>
      <c r="C19" s="348">
        <f>VPI!R19</f>
        <v>165881.46711111109</v>
      </c>
      <c r="D19" s="206">
        <f>Effort!I19-IF(PCS!I25&lt;0, Effort!D19, 0)</f>
        <v>2.250765990846233</v>
      </c>
      <c r="E19" s="505">
        <f>IF(PCS!I25&lt;0, 0, PCS!F25/Aide!C19)</f>
        <v>6.3866762420805543</v>
      </c>
      <c r="F19" s="505">
        <f>Effort!G19</f>
        <v>0</v>
      </c>
      <c r="G19" s="371">
        <f t="shared" si="1"/>
        <v>8.6374422329267873</v>
      </c>
      <c r="H19" s="223">
        <f t="shared" si="2"/>
        <v>0</v>
      </c>
      <c r="I19" s="42">
        <f t="shared" si="3"/>
        <v>0</v>
      </c>
      <c r="J19" s="29"/>
    </row>
    <row r="20" spans="1:10" x14ac:dyDescent="0.25">
      <c r="A20" s="38">
        <f>Données!A20</f>
        <v>5415</v>
      </c>
      <c r="B20" s="168" t="str">
        <f>Données!B20</f>
        <v>Yvorne</v>
      </c>
      <c r="C20" s="348">
        <f>VPI!R20</f>
        <v>33675.515990675995</v>
      </c>
      <c r="D20" s="206">
        <f>Effort!I20-IF(PCS!I26&lt;0, Effort!D20, 0)</f>
        <v>14.53495030790738</v>
      </c>
      <c r="E20" s="505">
        <f>IF(PCS!I26&lt;0, 0, PCS!F26/Aide!C20)</f>
        <v>5.7825064968244622</v>
      </c>
      <c r="F20" s="505">
        <f>Effort!G20</f>
        <v>0</v>
      </c>
      <c r="G20" s="371">
        <f t="shared" si="1"/>
        <v>20.31745680473184</v>
      </c>
      <c r="H20" s="223">
        <f t="shared" si="2"/>
        <v>0</v>
      </c>
      <c r="I20" s="42">
        <f t="shared" si="3"/>
        <v>0</v>
      </c>
      <c r="J20" s="29"/>
    </row>
    <row r="21" spans="1:10" x14ac:dyDescent="0.25">
      <c r="A21" s="38">
        <f>Données!A21</f>
        <v>5422</v>
      </c>
      <c r="B21" s="168" t="str">
        <f>Données!B21</f>
        <v>Aubonne</v>
      </c>
      <c r="C21" s="348">
        <f>VPI!R21</f>
        <v>297608.37742857152</v>
      </c>
      <c r="D21" s="206">
        <f>Effort!I21-IF(PCS!I27&lt;0, Effort!D21, 0)</f>
        <v>34.300536723523862</v>
      </c>
      <c r="E21" s="505">
        <f>IF(PCS!I27&lt;0, 0, PCS!F27/Aide!C21)</f>
        <v>5.097779111961076</v>
      </c>
      <c r="F21" s="505">
        <f>Effort!G21</f>
        <v>0</v>
      </c>
      <c r="G21" s="371">
        <f t="shared" si="1"/>
        <v>39.398315835484937</v>
      </c>
      <c r="H21" s="223">
        <f t="shared" si="2"/>
        <v>0</v>
      </c>
      <c r="I21" s="42">
        <f t="shared" si="3"/>
        <v>0</v>
      </c>
      <c r="J21" s="29"/>
    </row>
    <row r="22" spans="1:10" x14ac:dyDescent="0.25">
      <c r="A22" s="38">
        <f>Données!A22</f>
        <v>5423</v>
      </c>
      <c r="B22" s="168" t="str">
        <f>Données!B22</f>
        <v>Ballens</v>
      </c>
      <c r="C22" s="348">
        <f>VPI!R22</f>
        <v>17345.890547945211</v>
      </c>
      <c r="D22" s="206">
        <f>Effort!I22-IF(PCS!I28&lt;0, Effort!D22, 0)</f>
        <v>12.672653051274056</v>
      </c>
      <c r="E22" s="505">
        <f>IF(PCS!I28&lt;0, 0, PCS!F28/Aide!C22)</f>
        <v>6.2579684046754691</v>
      </c>
      <c r="F22" s="505">
        <f>Effort!G22</f>
        <v>0</v>
      </c>
      <c r="G22" s="371">
        <f t="shared" si="1"/>
        <v>18.930621455949524</v>
      </c>
      <c r="H22" s="223">
        <f t="shared" si="2"/>
        <v>0</v>
      </c>
      <c r="I22" s="42">
        <f t="shared" si="3"/>
        <v>0</v>
      </c>
      <c r="J22" s="29"/>
    </row>
    <row r="23" spans="1:10" x14ac:dyDescent="0.25">
      <c r="A23" s="38">
        <f>Données!A23</f>
        <v>5424</v>
      </c>
      <c r="B23" s="168" t="str">
        <f>Données!B23</f>
        <v>Berolle</v>
      </c>
      <c r="C23" s="348">
        <f>VPI!R23</f>
        <v>10263.254304635762</v>
      </c>
      <c r="D23" s="206">
        <f>Effort!I23-IF(PCS!I29&lt;0, Effort!D23, 0)</f>
        <v>17.00725502251737</v>
      </c>
      <c r="E23" s="505">
        <f>IF(PCS!I29&lt;0, 0, PCS!F29/Aide!C23)</f>
        <v>3.7558676669045115</v>
      </c>
      <c r="F23" s="505">
        <f>Effort!G23</f>
        <v>0</v>
      </c>
      <c r="G23" s="371">
        <f t="shared" si="1"/>
        <v>20.763122689421881</v>
      </c>
      <c r="H23" s="223">
        <f t="shared" si="2"/>
        <v>0</v>
      </c>
      <c r="I23" s="42">
        <f t="shared" si="3"/>
        <v>0</v>
      </c>
      <c r="J23" s="29"/>
    </row>
    <row r="24" spans="1:10" x14ac:dyDescent="0.25">
      <c r="A24" s="38">
        <f>Données!A24</f>
        <v>5425</v>
      </c>
      <c r="B24" s="168" t="str">
        <f>Données!B24</f>
        <v>Bière</v>
      </c>
      <c r="C24" s="348">
        <f>VPI!R24</f>
        <v>42247.955252373817</v>
      </c>
      <c r="D24" s="206">
        <f>Effort!I24-IF(PCS!I30&lt;0, Effort!D24, 0)</f>
        <v>4.1184006157810096</v>
      </c>
      <c r="E24" s="505">
        <f>IF(PCS!I30&lt;0, 0, PCS!F30/Aide!C24)</f>
        <v>2.8005648863527419</v>
      </c>
      <c r="F24" s="505">
        <f>Effort!G24</f>
        <v>0</v>
      </c>
      <c r="G24" s="371">
        <f t="shared" si="1"/>
        <v>6.9189655021337515</v>
      </c>
      <c r="H24" s="223">
        <f t="shared" si="2"/>
        <v>0</v>
      </c>
      <c r="I24" s="42">
        <f t="shared" si="3"/>
        <v>0</v>
      </c>
      <c r="J24" s="29"/>
    </row>
    <row r="25" spans="1:10" x14ac:dyDescent="0.25">
      <c r="A25" s="38">
        <f>Données!A25</f>
        <v>5426</v>
      </c>
      <c r="B25" s="168" t="str">
        <f>Données!B25</f>
        <v>Bougy-Villars</v>
      </c>
      <c r="C25" s="348">
        <f>VPI!R25</f>
        <v>61985.534935400508</v>
      </c>
      <c r="D25" s="206">
        <f>Effort!I25-IF(PCS!I31&lt;0, Effort!D25, 0)</f>
        <v>44.964014321723738</v>
      </c>
      <c r="E25" s="505">
        <f>IF(PCS!I31&lt;0, 0, PCS!F31/Aide!C25)</f>
        <v>5.7904367587382968</v>
      </c>
      <c r="F25" s="505">
        <f>Effort!G25</f>
        <v>0</v>
      </c>
      <c r="G25" s="371">
        <f t="shared" si="1"/>
        <v>50.754451080462033</v>
      </c>
      <c r="H25" s="223">
        <f t="shared" si="2"/>
        <v>0</v>
      </c>
      <c r="I25" s="42">
        <f t="shared" si="3"/>
        <v>0</v>
      </c>
      <c r="J25" s="29"/>
    </row>
    <row r="26" spans="1:10" x14ac:dyDescent="0.25">
      <c r="A26" s="38">
        <f>Données!A26</f>
        <v>5427</v>
      </c>
      <c r="B26" s="168" t="str">
        <f>Données!B26</f>
        <v>Féchy</v>
      </c>
      <c r="C26" s="348">
        <f>VPI!R26</f>
        <v>86972.782199519221</v>
      </c>
      <c r="D26" s="206">
        <f>Effort!I26-IF(PCS!I32&lt;0, Effort!D26, 0)</f>
        <v>40.35597973602124</v>
      </c>
      <c r="E26" s="505">
        <f>IF(PCS!I32&lt;0, 0, PCS!F32/Aide!C26)</f>
        <v>3.0878617793772793</v>
      </c>
      <c r="F26" s="505">
        <f>Effort!G26</f>
        <v>0</v>
      </c>
      <c r="G26" s="371">
        <f t="shared" si="1"/>
        <v>43.443841515398518</v>
      </c>
      <c r="H26" s="223">
        <f t="shared" si="2"/>
        <v>0</v>
      </c>
      <c r="I26" s="42">
        <f t="shared" si="3"/>
        <v>0</v>
      </c>
      <c r="J26" s="29"/>
    </row>
    <row r="27" spans="1:10" x14ac:dyDescent="0.25">
      <c r="A27" s="38">
        <f>Données!A27</f>
        <v>5428</v>
      </c>
      <c r="B27" s="168" t="str">
        <f>Données!B27</f>
        <v>Gimel</v>
      </c>
      <c r="C27" s="348">
        <f>VPI!R27</f>
        <v>71357.587986577171</v>
      </c>
      <c r="D27" s="206">
        <f>Effort!I27-IF(PCS!I33&lt;0, Effort!D27, 0)</f>
        <v>7.7195550107853403</v>
      </c>
      <c r="E27" s="505">
        <f>IF(PCS!I33&lt;0, 0, PCS!F33/Aide!C27)</f>
        <v>6.2752816853090945</v>
      </c>
      <c r="F27" s="505">
        <f>Effort!G27</f>
        <v>0</v>
      </c>
      <c r="G27" s="371">
        <f t="shared" si="1"/>
        <v>13.994836696094435</v>
      </c>
      <c r="H27" s="223">
        <f t="shared" si="2"/>
        <v>0</v>
      </c>
      <c r="I27" s="42">
        <f t="shared" si="3"/>
        <v>0</v>
      </c>
      <c r="J27" s="29"/>
    </row>
    <row r="28" spans="1:10" x14ac:dyDescent="0.25">
      <c r="A28" s="38">
        <f>Données!A28</f>
        <v>5429</v>
      </c>
      <c r="B28" s="168" t="str">
        <f>Données!B28</f>
        <v>Longirod</v>
      </c>
      <c r="C28" s="348">
        <f>VPI!R28</f>
        <v>17142.381290322584</v>
      </c>
      <c r="D28" s="206">
        <f>Effort!I28-IF(PCS!I34&lt;0, Effort!D28, 0)</f>
        <v>14.015218873447548</v>
      </c>
      <c r="E28" s="505">
        <f>IF(PCS!I34&lt;0, 0, PCS!F34/Aide!C28)</f>
        <v>3.5414563456403894</v>
      </c>
      <c r="F28" s="505">
        <f>Effort!G28</f>
        <v>0</v>
      </c>
      <c r="G28" s="371">
        <f t="shared" si="1"/>
        <v>17.556675219087936</v>
      </c>
      <c r="H28" s="223">
        <f t="shared" si="2"/>
        <v>0</v>
      </c>
      <c r="I28" s="42">
        <f t="shared" si="3"/>
        <v>0</v>
      </c>
      <c r="J28" s="29"/>
    </row>
    <row r="29" spans="1:10" x14ac:dyDescent="0.25">
      <c r="A29" s="38">
        <f>Données!A29</f>
        <v>5430</v>
      </c>
      <c r="B29" s="168" t="str">
        <f>Données!B29</f>
        <v>Marchissy</v>
      </c>
      <c r="C29" s="348">
        <f>VPI!R29</f>
        <v>17121.715483870968</v>
      </c>
      <c r="D29" s="206">
        <f>Effort!I29-IF(PCS!I35&lt;0, Effort!D29, 0)</f>
        <v>17.059507312461754</v>
      </c>
      <c r="E29" s="505">
        <f>IF(PCS!I35&lt;0, 0, PCS!F35/Aide!C29)</f>
        <v>3.5409795856678361</v>
      </c>
      <c r="F29" s="505">
        <f>Effort!G29</f>
        <v>0</v>
      </c>
      <c r="G29" s="371">
        <f t="shared" si="1"/>
        <v>20.600486898129589</v>
      </c>
      <c r="H29" s="223">
        <f t="shared" si="2"/>
        <v>0</v>
      </c>
      <c r="I29" s="42">
        <f t="shared" si="3"/>
        <v>0</v>
      </c>
      <c r="J29" s="29"/>
    </row>
    <row r="30" spans="1:10" x14ac:dyDescent="0.25">
      <c r="A30" s="38">
        <f>Données!A30</f>
        <v>5431</v>
      </c>
      <c r="B30" s="168" t="str">
        <f>Données!B30</f>
        <v>Mollens</v>
      </c>
      <c r="C30" s="348">
        <f>VPI!R30</f>
        <v>9475.049594594595</v>
      </c>
      <c r="D30" s="206">
        <f>Effort!I30-IF(PCS!I36&lt;0, Effort!D30, 0)</f>
        <v>12.076571578899159</v>
      </c>
      <c r="E30" s="505">
        <f>IF(PCS!I36&lt;0, 0, PCS!F36/Aide!C30)</f>
        <v>3.071622972464795</v>
      </c>
      <c r="F30" s="505">
        <f>Effort!G30</f>
        <v>0</v>
      </c>
      <c r="G30" s="371">
        <f t="shared" si="1"/>
        <v>15.148194551363954</v>
      </c>
      <c r="H30" s="223">
        <f t="shared" si="2"/>
        <v>0</v>
      </c>
      <c r="I30" s="42">
        <f t="shared" si="3"/>
        <v>0</v>
      </c>
      <c r="J30" s="29"/>
    </row>
    <row r="31" spans="1:10" x14ac:dyDescent="0.25">
      <c r="A31" s="38">
        <f>Données!A31</f>
        <v>5434</v>
      </c>
      <c r="B31" s="168" t="str">
        <f>Données!B31</f>
        <v>Saint-George</v>
      </c>
      <c r="C31" s="348">
        <f>VPI!R31</f>
        <v>41109.419880095913</v>
      </c>
      <c r="D31" s="206">
        <f>Effort!I31-IF(PCS!I37&lt;0, Effort!D31, 0)</f>
        <v>22.098282109708151</v>
      </c>
      <c r="E31" s="505">
        <f>IF(PCS!I37&lt;0, 0, PCS!F37/Aide!C31)</f>
        <v>8.2623558296538899</v>
      </c>
      <c r="F31" s="505">
        <f>Effort!G31</f>
        <v>0</v>
      </c>
      <c r="G31" s="371">
        <f t="shared" si="1"/>
        <v>30.360637939362043</v>
      </c>
      <c r="H31" s="223">
        <f t="shared" si="2"/>
        <v>0</v>
      </c>
      <c r="I31" s="42">
        <f t="shared" si="3"/>
        <v>0</v>
      </c>
      <c r="J31" s="29"/>
    </row>
    <row r="32" spans="1:10" x14ac:dyDescent="0.25">
      <c r="A32" s="38">
        <f>Données!A32</f>
        <v>5435</v>
      </c>
      <c r="B32" s="168" t="str">
        <f>Données!B32</f>
        <v>Saint-Livres</v>
      </c>
      <c r="C32" s="348">
        <f>VPI!R32</f>
        <v>25462.29188405797</v>
      </c>
      <c r="D32" s="206">
        <f>Effort!I32-IF(PCS!I38&lt;0, Effort!D32, 0)</f>
        <v>21.079054074203807</v>
      </c>
      <c r="E32" s="505">
        <f>IF(PCS!I38&lt;0, 0, PCS!F38/Aide!C32)</f>
        <v>7.1001424704109493</v>
      </c>
      <c r="F32" s="505">
        <f>Effort!G32</f>
        <v>0</v>
      </c>
      <c r="G32" s="371">
        <f t="shared" si="1"/>
        <v>28.179196544614754</v>
      </c>
      <c r="H32" s="223">
        <f t="shared" si="2"/>
        <v>0</v>
      </c>
      <c r="I32" s="42">
        <f t="shared" si="3"/>
        <v>0</v>
      </c>
      <c r="J32" s="29"/>
    </row>
    <row r="33" spans="1:10" x14ac:dyDescent="0.25">
      <c r="A33" s="38">
        <f>Données!A33</f>
        <v>5436</v>
      </c>
      <c r="B33" s="168" t="str">
        <f>Données!B33</f>
        <v>Saint-Oyens</v>
      </c>
      <c r="C33" s="348">
        <f>VPI!R33</f>
        <v>16425.371772151899</v>
      </c>
      <c r="D33" s="206">
        <f>Effort!I33-IF(PCS!I39&lt;0, Effort!D33, 0)</f>
        <v>18.672719150400944</v>
      </c>
      <c r="E33" s="505">
        <f>IF(PCS!I39&lt;0, 0, PCS!F39/Aide!C33)</f>
        <v>1.3399148771362417</v>
      </c>
      <c r="F33" s="505">
        <f>Effort!G33</f>
        <v>0</v>
      </c>
      <c r="G33" s="371">
        <f t="shared" si="1"/>
        <v>20.012634027537185</v>
      </c>
      <c r="H33" s="223">
        <f t="shared" si="2"/>
        <v>0</v>
      </c>
      <c r="I33" s="42">
        <f t="shared" si="3"/>
        <v>0</v>
      </c>
      <c r="J33" s="29"/>
    </row>
    <row r="34" spans="1:10" x14ac:dyDescent="0.25">
      <c r="A34" s="38">
        <f>Données!A34</f>
        <v>5437</v>
      </c>
      <c r="B34" s="168" t="str">
        <f>Données!B34</f>
        <v>Saubraz</v>
      </c>
      <c r="C34" s="348">
        <f>VPI!R34</f>
        <v>12127.91725</v>
      </c>
      <c r="D34" s="206">
        <f>Effort!I34-IF(PCS!I40&lt;0, Effort!D34, 0)</f>
        <v>5.7846128565361656</v>
      </c>
      <c r="E34" s="505">
        <f>IF(PCS!I40&lt;0, 0, PCS!F40/Aide!C34)</f>
        <v>6.983828983496732</v>
      </c>
      <c r="F34" s="505">
        <f>Effort!G34</f>
        <v>0</v>
      </c>
      <c r="G34" s="371">
        <f t="shared" si="1"/>
        <v>12.768441840032898</v>
      </c>
      <c r="H34" s="223">
        <f t="shared" si="2"/>
        <v>0</v>
      </c>
      <c r="I34" s="42">
        <f t="shared" si="3"/>
        <v>0</v>
      </c>
      <c r="J34" s="29"/>
    </row>
    <row r="35" spans="1:10" x14ac:dyDescent="0.25">
      <c r="A35" s="38">
        <f>Données!A35</f>
        <v>5451</v>
      </c>
      <c r="B35" s="168" t="str">
        <f>Données!B35</f>
        <v>Avenches</v>
      </c>
      <c r="C35" s="348">
        <f>VPI!R35</f>
        <v>142633.11649122802</v>
      </c>
      <c r="D35" s="206">
        <f>Effort!I35-IF(PCS!I41&lt;0, Effort!D35, 0)</f>
        <v>8.2060618175429116</v>
      </c>
      <c r="E35" s="505">
        <f>IF(PCS!I41&lt;0, 0, PCS!F41/Aide!C35)</f>
        <v>4.2181709956327129</v>
      </c>
      <c r="F35" s="505">
        <f>Effort!G35</f>
        <v>0</v>
      </c>
      <c r="G35" s="371">
        <f t="shared" si="1"/>
        <v>12.424232813175625</v>
      </c>
      <c r="H35" s="223">
        <f t="shared" si="2"/>
        <v>0</v>
      </c>
      <c r="I35" s="42">
        <f t="shared" si="3"/>
        <v>0</v>
      </c>
      <c r="J35" s="29"/>
    </row>
    <row r="36" spans="1:10" x14ac:dyDescent="0.25">
      <c r="A36" s="38">
        <f>Données!A36</f>
        <v>5456</v>
      </c>
      <c r="B36" s="168" t="str">
        <f>Données!B36</f>
        <v>Cudrefin</v>
      </c>
      <c r="C36" s="348">
        <f>VPI!R36</f>
        <v>64060.385932203382</v>
      </c>
      <c r="D36" s="206">
        <f>Effort!I36-IF(PCS!I42&lt;0, Effort!D36, 0)</f>
        <v>18.077891907933402</v>
      </c>
      <c r="E36" s="505">
        <f>IF(PCS!I42&lt;0, 0, PCS!F42/Aide!C36)</f>
        <v>5.0533025252547938</v>
      </c>
      <c r="F36" s="505">
        <f>Effort!G36</f>
        <v>0</v>
      </c>
      <c r="G36" s="371">
        <f t="shared" si="1"/>
        <v>23.131194433188195</v>
      </c>
      <c r="H36" s="223">
        <f t="shared" si="2"/>
        <v>0</v>
      </c>
      <c r="I36" s="42">
        <f t="shared" si="3"/>
        <v>0</v>
      </c>
      <c r="J36" s="29"/>
    </row>
    <row r="37" spans="1:10" x14ac:dyDescent="0.25">
      <c r="A37" s="38">
        <f>Données!A37</f>
        <v>5458</v>
      </c>
      <c r="B37" s="168" t="str">
        <f>Données!B37</f>
        <v>Faoug</v>
      </c>
      <c r="C37" s="348">
        <f>VPI!R37</f>
        <v>32630.920512820507</v>
      </c>
      <c r="D37" s="206">
        <f>Effort!I37-IF(PCS!I43&lt;0, Effort!D37, 0)</f>
        <v>21.506282157179051</v>
      </c>
      <c r="E37" s="505">
        <f>IF(PCS!I43&lt;0, 0, PCS!F43/Aide!C37)</f>
        <v>2.487255147096207</v>
      </c>
      <c r="F37" s="505">
        <f>Effort!G37</f>
        <v>0</v>
      </c>
      <c r="G37" s="371">
        <f t="shared" si="1"/>
        <v>23.993537304275257</v>
      </c>
      <c r="H37" s="223">
        <f t="shared" si="2"/>
        <v>0</v>
      </c>
      <c r="I37" s="42">
        <f t="shared" si="3"/>
        <v>0</v>
      </c>
      <c r="J37" s="29"/>
    </row>
    <row r="38" spans="1:10" x14ac:dyDescent="0.25">
      <c r="A38" s="38">
        <f>Données!A38</f>
        <v>5464</v>
      </c>
      <c r="B38" s="168" t="str">
        <f>Données!B38</f>
        <v>Vully-les-Lacs</v>
      </c>
      <c r="C38" s="348">
        <f>VPI!R38</f>
        <v>117933.44731343284</v>
      </c>
      <c r="D38" s="206">
        <f>Effort!I38-IF(PCS!I44&lt;0, Effort!D38, 0)</f>
        <v>13.090429571573315</v>
      </c>
      <c r="E38" s="505">
        <f>IF(PCS!I44&lt;0, 0, PCS!F44/Aide!C38)</f>
        <v>4.3955355906988354</v>
      </c>
      <c r="F38" s="505">
        <f>Effort!G38</f>
        <v>0</v>
      </c>
      <c r="G38" s="371">
        <f t="shared" si="1"/>
        <v>17.485965162272151</v>
      </c>
      <c r="H38" s="223">
        <f t="shared" si="2"/>
        <v>0</v>
      </c>
      <c r="I38" s="42">
        <f t="shared" si="3"/>
        <v>0</v>
      </c>
      <c r="J38" s="29"/>
    </row>
    <row r="39" spans="1:10" x14ac:dyDescent="0.25">
      <c r="A39" s="38">
        <f>Données!A39</f>
        <v>5471</v>
      </c>
      <c r="B39" s="168" t="str">
        <f>Données!B39</f>
        <v>Bettens</v>
      </c>
      <c r="C39" s="348">
        <f>VPI!R39</f>
        <v>22692.287412698413</v>
      </c>
      <c r="D39" s="206">
        <f>Effort!I39-IF(PCS!I45&lt;0, Effort!D39, 0)</f>
        <v>19.570198566581553</v>
      </c>
      <c r="E39" s="505">
        <f>IF(PCS!I45&lt;0, 0, PCS!F45/Aide!C39)</f>
        <v>1.6877176947163408</v>
      </c>
      <c r="F39" s="505">
        <f>Effort!G39</f>
        <v>0</v>
      </c>
      <c r="G39" s="371">
        <f t="shared" si="1"/>
        <v>21.257916261297893</v>
      </c>
      <c r="H39" s="223">
        <f t="shared" si="2"/>
        <v>0</v>
      </c>
      <c r="I39" s="42">
        <f t="shared" si="3"/>
        <v>0</v>
      </c>
      <c r="J39" s="29"/>
    </row>
    <row r="40" spans="1:10" x14ac:dyDescent="0.25">
      <c r="A40" s="38">
        <f>Données!A40</f>
        <v>5472</v>
      </c>
      <c r="B40" s="168" t="str">
        <f>Données!B40</f>
        <v>Bournens</v>
      </c>
      <c r="C40" s="348">
        <f>VPI!R40</f>
        <v>19974.836617647059</v>
      </c>
      <c r="D40" s="206">
        <f>Effort!I40-IF(PCS!I46&lt;0, Effort!D40, 0)</f>
        <v>22.980127470272706</v>
      </c>
      <c r="E40" s="505">
        <f>IF(PCS!I46&lt;0, 0, PCS!F46/Aide!C40)</f>
        <v>3.5787789591653065</v>
      </c>
      <c r="F40" s="505">
        <f>Effort!G40</f>
        <v>0</v>
      </c>
      <c r="G40" s="371">
        <f t="shared" si="1"/>
        <v>26.558906429438011</v>
      </c>
      <c r="H40" s="223">
        <f t="shared" si="2"/>
        <v>0</v>
      </c>
      <c r="I40" s="42">
        <f t="shared" si="3"/>
        <v>0</v>
      </c>
      <c r="J40" s="29"/>
    </row>
    <row r="41" spans="1:10" x14ac:dyDescent="0.25">
      <c r="A41" s="38">
        <f>Données!A41</f>
        <v>5473</v>
      </c>
      <c r="B41" s="168" t="str">
        <f>Données!B41</f>
        <v>Boussens</v>
      </c>
      <c r="C41" s="348">
        <f>VPI!R41</f>
        <v>42017.076666666668</v>
      </c>
      <c r="D41" s="206">
        <f>Effort!I41-IF(PCS!I47&lt;0, Effort!D41, 0)</f>
        <v>24.836649746590592</v>
      </c>
      <c r="E41" s="505">
        <f>IF(PCS!I47&lt;0, 0, PCS!F47/Aide!C41)</f>
        <v>2.6355906642085132</v>
      </c>
      <c r="F41" s="505">
        <f>Effort!G41</f>
        <v>0</v>
      </c>
      <c r="G41" s="371">
        <f t="shared" si="1"/>
        <v>27.472240410799106</v>
      </c>
      <c r="H41" s="223">
        <f t="shared" si="2"/>
        <v>0</v>
      </c>
      <c r="I41" s="42">
        <f t="shared" si="3"/>
        <v>0</v>
      </c>
      <c r="J41" s="29"/>
    </row>
    <row r="42" spans="1:10" x14ac:dyDescent="0.25">
      <c r="A42" s="38">
        <f>Données!A42</f>
        <v>5474</v>
      </c>
      <c r="B42" s="168" t="str">
        <f>Données!B42</f>
        <v>La Chaux (Cossonay)</v>
      </c>
      <c r="C42" s="348">
        <f>VPI!R42</f>
        <v>13862.516425438596</v>
      </c>
      <c r="D42" s="206">
        <f>Effort!I42-IF(PCS!I48&lt;0, Effort!D42, 0)</f>
        <v>16.870724088890803</v>
      </c>
      <c r="E42" s="505">
        <f>IF(PCS!I48&lt;0, 0, PCS!F48/Aide!C42)</f>
        <v>3.2737054086891133</v>
      </c>
      <c r="F42" s="505">
        <f>Effort!G42</f>
        <v>0</v>
      </c>
      <c r="G42" s="371">
        <f t="shared" si="1"/>
        <v>20.144429497579917</v>
      </c>
      <c r="H42" s="223">
        <f t="shared" si="2"/>
        <v>0</v>
      </c>
      <c r="I42" s="42">
        <f t="shared" si="3"/>
        <v>0</v>
      </c>
      <c r="J42" s="29"/>
    </row>
    <row r="43" spans="1:10" x14ac:dyDescent="0.25">
      <c r="A43" s="38">
        <f>Données!A43</f>
        <v>5475</v>
      </c>
      <c r="B43" s="168" t="str">
        <f>Données!B43</f>
        <v>Chavannes-le-Veyron</v>
      </c>
      <c r="C43" s="348">
        <f>VPI!R43</f>
        <v>4297.2048000000004</v>
      </c>
      <c r="D43" s="206">
        <f>Effort!I43-IF(PCS!I49&lt;0, Effort!D43, 0)</f>
        <v>7.1342088994189048</v>
      </c>
      <c r="E43" s="505">
        <f>IF(PCS!I49&lt;0, 0, PCS!F49/Aide!C43)</f>
        <v>2.5854015614987675</v>
      </c>
      <c r="F43" s="505">
        <f>Effort!G43</f>
        <v>0</v>
      </c>
      <c r="G43" s="371">
        <f t="shared" si="1"/>
        <v>9.7196104609176714</v>
      </c>
      <c r="H43" s="223">
        <f t="shared" si="2"/>
        <v>0</v>
      </c>
      <c r="I43" s="42">
        <f t="shared" si="3"/>
        <v>0</v>
      </c>
      <c r="J43" s="29"/>
    </row>
    <row r="44" spans="1:10" x14ac:dyDescent="0.25">
      <c r="A44" s="38">
        <f>Données!A44</f>
        <v>5476</v>
      </c>
      <c r="B44" s="168" t="str">
        <f>Données!B44</f>
        <v>Chevilly</v>
      </c>
      <c r="C44" s="348">
        <f>VPI!R44</f>
        <v>13558.452965517243</v>
      </c>
      <c r="D44" s="206">
        <f>Effort!I44-IF(PCS!I50&lt;0, Effort!D44, 0)</f>
        <v>23.870302641155959</v>
      </c>
      <c r="E44" s="505">
        <f>IF(PCS!I50&lt;0, 0, PCS!F50/Aide!C44)</f>
        <v>2.1527714167857863</v>
      </c>
      <c r="F44" s="505">
        <f>Effort!G44</f>
        <v>0</v>
      </c>
      <c r="G44" s="371">
        <f t="shared" si="1"/>
        <v>26.023074057941745</v>
      </c>
      <c r="H44" s="223">
        <f t="shared" si="2"/>
        <v>0</v>
      </c>
      <c r="I44" s="42">
        <f t="shared" si="3"/>
        <v>0</v>
      </c>
      <c r="J44" s="29"/>
    </row>
    <row r="45" spans="1:10" x14ac:dyDescent="0.25">
      <c r="A45" s="38">
        <f>Données!A45</f>
        <v>5477</v>
      </c>
      <c r="B45" s="168" t="str">
        <f>Données!B45</f>
        <v>Cossonay</v>
      </c>
      <c r="C45" s="348">
        <f>VPI!R45</f>
        <v>151490.5288235294</v>
      </c>
      <c r="D45" s="206">
        <f>Effort!I45-IF(PCS!I51&lt;0, Effort!D45, 0)</f>
        <v>13.037297573709612</v>
      </c>
      <c r="E45" s="505">
        <f>IF(PCS!I51&lt;0, 0, PCS!F51/Aide!C45)</f>
        <v>5.0639876034339073</v>
      </c>
      <c r="F45" s="505">
        <f>Effort!G45</f>
        <v>0</v>
      </c>
      <c r="G45" s="371">
        <f t="shared" si="1"/>
        <v>18.10128517714352</v>
      </c>
      <c r="H45" s="223">
        <f t="shared" si="2"/>
        <v>0</v>
      </c>
      <c r="I45" s="42">
        <f t="shared" si="3"/>
        <v>0</v>
      </c>
      <c r="J45" s="29"/>
    </row>
    <row r="46" spans="1:10" x14ac:dyDescent="0.25">
      <c r="A46" s="38">
        <f>Données!A46</f>
        <v>5479</v>
      </c>
      <c r="B46" s="168" t="str">
        <f>Données!B46</f>
        <v>Cuarnens</v>
      </c>
      <c r="C46" s="348">
        <f>VPI!R46</f>
        <v>14331.337792207793</v>
      </c>
      <c r="D46" s="206">
        <f>Effort!I46-IF(PCS!I52&lt;0, Effort!D46, 0)</f>
        <v>5.9929114778014814</v>
      </c>
      <c r="E46" s="505">
        <f>IF(PCS!I52&lt;0, 0, PCS!F52/Aide!C46)</f>
        <v>4.047200675957594</v>
      </c>
      <c r="F46" s="505">
        <f>Effort!G46</f>
        <v>0</v>
      </c>
      <c r="G46" s="371">
        <f t="shared" si="1"/>
        <v>10.040112153759075</v>
      </c>
      <c r="H46" s="223">
        <f t="shared" si="2"/>
        <v>0</v>
      </c>
      <c r="I46" s="42">
        <f t="shared" si="3"/>
        <v>0</v>
      </c>
      <c r="J46" s="29"/>
    </row>
    <row r="47" spans="1:10" x14ac:dyDescent="0.25">
      <c r="A47" s="38">
        <f>Données!A47</f>
        <v>5480</v>
      </c>
      <c r="B47" s="168" t="str">
        <f>Données!B47</f>
        <v>Daillens</v>
      </c>
      <c r="C47" s="348">
        <f>VPI!R47</f>
        <v>42720.265505050505</v>
      </c>
      <c r="D47" s="206">
        <f>Effort!I47-IF(PCS!I53&lt;0, Effort!D47, 0)</f>
        <v>23.896993055434592</v>
      </c>
      <c r="E47" s="505">
        <f>IF(PCS!I53&lt;0, 0, PCS!F53/Aide!C47)</f>
        <v>10.311153378668106</v>
      </c>
      <c r="F47" s="505">
        <f>Effort!G47</f>
        <v>0</v>
      </c>
      <c r="G47" s="371">
        <f t="shared" si="1"/>
        <v>34.208146434102702</v>
      </c>
      <c r="H47" s="223">
        <f t="shared" si="2"/>
        <v>0</v>
      </c>
      <c r="I47" s="42">
        <f t="shared" si="3"/>
        <v>0</v>
      </c>
      <c r="J47" s="29"/>
    </row>
    <row r="48" spans="1:10" x14ac:dyDescent="0.25">
      <c r="A48" s="38">
        <f>Données!A48</f>
        <v>5481</v>
      </c>
      <c r="B48" s="168" t="str">
        <f>Données!B48</f>
        <v>Dizy</v>
      </c>
      <c r="C48" s="348">
        <f>VPI!R48</f>
        <v>8552.7156000000014</v>
      </c>
      <c r="D48" s="206">
        <f>Effort!I48-IF(PCS!I54&lt;0, Effort!D48, 0)</f>
        <v>20.296453120665415</v>
      </c>
      <c r="E48" s="505">
        <f>IF(PCS!I54&lt;0, 0, PCS!F54/Aide!C48)</f>
        <v>2.5122576272733768</v>
      </c>
      <c r="F48" s="505">
        <f>Effort!G48</f>
        <v>0</v>
      </c>
      <c r="G48" s="371">
        <f t="shared" si="1"/>
        <v>22.808710747938793</v>
      </c>
      <c r="H48" s="223">
        <f t="shared" si="2"/>
        <v>0</v>
      </c>
      <c r="I48" s="42">
        <f t="shared" si="3"/>
        <v>0</v>
      </c>
      <c r="J48" s="29"/>
    </row>
    <row r="49" spans="1:10" x14ac:dyDescent="0.25">
      <c r="A49" s="38">
        <f>Données!A49</f>
        <v>5482</v>
      </c>
      <c r="B49" s="168" t="str">
        <f>Données!B49</f>
        <v>Eclépens</v>
      </c>
      <c r="C49" s="348">
        <f>VPI!R49</f>
        <v>48314.544130434791</v>
      </c>
      <c r="D49" s="206">
        <f>Effort!I49-IF(PCS!I55&lt;0, Effort!D49, 0)</f>
        <v>24.988003278610442</v>
      </c>
      <c r="E49" s="505">
        <f>IF(PCS!I55&lt;0, 0, PCS!F55/Aide!C49)</f>
        <v>4.5540428655601994</v>
      </c>
      <c r="F49" s="505">
        <f>Effort!G49</f>
        <v>0</v>
      </c>
      <c r="G49" s="371">
        <f t="shared" si="1"/>
        <v>29.542046144170641</v>
      </c>
      <c r="H49" s="223">
        <f t="shared" si="2"/>
        <v>0</v>
      </c>
      <c r="I49" s="42">
        <f t="shared" si="3"/>
        <v>0</v>
      </c>
      <c r="J49" s="29"/>
    </row>
    <row r="50" spans="1:10" x14ac:dyDescent="0.25">
      <c r="A50" s="38">
        <f>Données!A50</f>
        <v>5483</v>
      </c>
      <c r="B50" s="168" t="str">
        <f>Données!B50</f>
        <v>Ferreyres</v>
      </c>
      <c r="C50" s="348">
        <f>VPI!R50</f>
        <v>10284.283289473684</v>
      </c>
      <c r="D50" s="206">
        <f>Effort!I50-IF(PCS!I56&lt;0, Effort!D50, 0)</f>
        <v>16.586115452295957</v>
      </c>
      <c r="E50" s="505">
        <f>IF(PCS!I56&lt;0, 0, PCS!F56/Aide!C50)</f>
        <v>0.55668925474465358</v>
      </c>
      <c r="F50" s="505">
        <f>Effort!G50</f>
        <v>0</v>
      </c>
      <c r="G50" s="371">
        <f t="shared" si="1"/>
        <v>17.142804707040611</v>
      </c>
      <c r="H50" s="223">
        <f t="shared" si="2"/>
        <v>0</v>
      </c>
      <c r="I50" s="42">
        <f t="shared" si="3"/>
        <v>0</v>
      </c>
      <c r="J50" s="29"/>
    </row>
    <row r="51" spans="1:10" x14ac:dyDescent="0.25">
      <c r="A51" s="38">
        <f>Données!A51</f>
        <v>5484</v>
      </c>
      <c r="B51" s="168" t="str">
        <f>Données!B51</f>
        <v>Gollion</v>
      </c>
      <c r="C51" s="348">
        <f>VPI!R51</f>
        <v>32601.670945945945</v>
      </c>
      <c r="D51" s="206">
        <f>Effort!I51-IF(PCS!I57&lt;0, Effort!D51, 0)</f>
        <v>14.651553240497247</v>
      </c>
      <c r="E51" s="505">
        <f>IF(PCS!I57&lt;0, 0, PCS!F57/Aide!C51)</f>
        <v>3.402967908729102</v>
      </c>
      <c r="F51" s="505">
        <f>Effort!G51</f>
        <v>0</v>
      </c>
      <c r="G51" s="371">
        <f t="shared" si="1"/>
        <v>18.05452114922635</v>
      </c>
      <c r="H51" s="223">
        <f t="shared" si="2"/>
        <v>0</v>
      </c>
      <c r="I51" s="42">
        <f t="shared" si="3"/>
        <v>0</v>
      </c>
      <c r="J51" s="29"/>
    </row>
    <row r="52" spans="1:10" x14ac:dyDescent="0.25">
      <c r="A52" s="38">
        <f>Données!A52</f>
        <v>5485</v>
      </c>
      <c r="B52" s="168" t="str">
        <f>Données!B52</f>
        <v>Grancy</v>
      </c>
      <c r="C52" s="348">
        <f>VPI!R52</f>
        <v>18961.380428571429</v>
      </c>
      <c r="D52" s="206">
        <f>Effort!I52-IF(PCS!I58&lt;0, Effort!D52, 0)</f>
        <v>22.590045635114762</v>
      </c>
      <c r="E52" s="505">
        <f>IF(PCS!I58&lt;0, 0, PCS!F58/Aide!C52)</f>
        <v>2.1612208116583558</v>
      </c>
      <c r="F52" s="505">
        <f>Effort!G52</f>
        <v>0</v>
      </c>
      <c r="G52" s="371">
        <f t="shared" si="1"/>
        <v>24.751266446773119</v>
      </c>
      <c r="H52" s="223">
        <f t="shared" si="2"/>
        <v>0</v>
      </c>
      <c r="I52" s="42">
        <f t="shared" si="3"/>
        <v>0</v>
      </c>
      <c r="J52" s="29"/>
    </row>
    <row r="53" spans="1:10" x14ac:dyDescent="0.25">
      <c r="A53" s="38">
        <f>Données!A53</f>
        <v>5486</v>
      </c>
      <c r="B53" s="168" t="str">
        <f>Données!B53</f>
        <v>L'Isle</v>
      </c>
      <c r="C53" s="348">
        <f>VPI!R53</f>
        <v>34756.215466666676</v>
      </c>
      <c r="D53" s="206">
        <f>Effort!I53-IF(PCS!I59&lt;0, Effort!D53, 0)</f>
        <v>14.327364592425539</v>
      </c>
      <c r="E53" s="505">
        <f>IF(PCS!I59&lt;0, 0, PCS!F59/Aide!C53)</f>
        <v>5.2192392803518723</v>
      </c>
      <c r="F53" s="505">
        <f>Effort!G53</f>
        <v>0</v>
      </c>
      <c r="G53" s="371">
        <f t="shared" si="1"/>
        <v>19.546603872777411</v>
      </c>
      <c r="H53" s="223">
        <f t="shared" si="2"/>
        <v>0</v>
      </c>
      <c r="I53" s="42">
        <f t="shared" si="3"/>
        <v>0</v>
      </c>
      <c r="J53" s="29"/>
    </row>
    <row r="54" spans="1:10" x14ac:dyDescent="0.25">
      <c r="A54" s="38">
        <f>Données!A54</f>
        <v>5487</v>
      </c>
      <c r="B54" s="168" t="str">
        <f>Données!B54</f>
        <v>Lussery-Villars</v>
      </c>
      <c r="C54" s="348">
        <f>VPI!R54</f>
        <v>12042.619866666666</v>
      </c>
      <c r="D54" s="206">
        <f>Effort!I54-IF(PCS!I60&lt;0, Effort!D54, 0)</f>
        <v>4.5849182899586225</v>
      </c>
      <c r="E54" s="505">
        <f>IF(PCS!I60&lt;0, 0, PCS!F60/Aide!C54)</f>
        <v>3.5002308855296813</v>
      </c>
      <c r="F54" s="505">
        <f>Effort!G54</f>
        <v>0</v>
      </c>
      <c r="G54" s="371">
        <f t="shared" si="1"/>
        <v>8.0851491754883043</v>
      </c>
      <c r="H54" s="223">
        <f t="shared" si="2"/>
        <v>0</v>
      </c>
      <c r="I54" s="42">
        <f t="shared" si="3"/>
        <v>0</v>
      </c>
      <c r="J54" s="29"/>
    </row>
    <row r="55" spans="1:10" x14ac:dyDescent="0.25">
      <c r="A55" s="38">
        <f>Données!A55</f>
        <v>5488</v>
      </c>
      <c r="B55" s="168" t="str">
        <f>Données!B55</f>
        <v>Mauraz</v>
      </c>
      <c r="C55" s="348">
        <f>VPI!R55</f>
        <v>2131.6062337662343</v>
      </c>
      <c r="D55" s="206">
        <f>Effort!I55-IF(PCS!I61&lt;0, Effort!D55, 0)</f>
        <v>15.614765332310519</v>
      </c>
      <c r="E55" s="505">
        <f>IF(PCS!I61&lt;0, 0, PCS!F61/Aide!C55)</f>
        <v>9.1139135794676616</v>
      </c>
      <c r="F55" s="505">
        <f>Effort!G55</f>
        <v>0</v>
      </c>
      <c r="G55" s="371">
        <f t="shared" si="1"/>
        <v>24.728678911778182</v>
      </c>
      <c r="H55" s="223">
        <f t="shared" si="2"/>
        <v>0</v>
      </c>
      <c r="I55" s="42">
        <f t="shared" si="3"/>
        <v>0</v>
      </c>
      <c r="J55" s="29"/>
    </row>
    <row r="56" spans="1:10" x14ac:dyDescent="0.25">
      <c r="A56" s="38">
        <f>Données!A56</f>
        <v>5489</v>
      </c>
      <c r="B56" s="168" t="str">
        <f>Données!B56</f>
        <v>Mex</v>
      </c>
      <c r="C56" s="348">
        <f>VPI!R56</f>
        <v>60740.368067226897</v>
      </c>
      <c r="D56" s="206">
        <f>Effort!I56-IF(PCS!I62&lt;0, Effort!D56, 0)</f>
        <v>34.699418550014641</v>
      </c>
      <c r="E56" s="505">
        <f>IF(PCS!I62&lt;0, 0, PCS!F62/Aide!C56)</f>
        <v>3.6925346707112858</v>
      </c>
      <c r="F56" s="505">
        <f>Effort!G56</f>
        <v>0</v>
      </c>
      <c r="G56" s="371">
        <f t="shared" si="1"/>
        <v>38.391953220725924</v>
      </c>
      <c r="H56" s="223">
        <f t="shared" si="2"/>
        <v>0</v>
      </c>
      <c r="I56" s="42">
        <f t="shared" si="3"/>
        <v>0</v>
      </c>
      <c r="J56" s="29"/>
    </row>
    <row r="57" spans="1:10" x14ac:dyDescent="0.25">
      <c r="A57" s="38">
        <f>Données!A57</f>
        <v>5490</v>
      </c>
      <c r="B57" s="168" t="str">
        <f>Données!B57</f>
        <v>Moiry</v>
      </c>
      <c r="C57" s="348">
        <f>VPI!R57</f>
        <v>8460.9523376623383</v>
      </c>
      <c r="D57" s="206">
        <f>Effort!I57-IF(PCS!I63&lt;0, Effort!D57, 0)</f>
        <v>9.8802974158090926</v>
      </c>
      <c r="E57" s="505">
        <f>IF(PCS!I63&lt;0, 0, PCS!F63/Aide!C57)</f>
        <v>1.1739044972263952</v>
      </c>
      <c r="F57" s="505">
        <f>Effort!G57</f>
        <v>0</v>
      </c>
      <c r="G57" s="371">
        <f t="shared" si="1"/>
        <v>11.054201913035488</v>
      </c>
      <c r="H57" s="223">
        <f t="shared" si="2"/>
        <v>0</v>
      </c>
      <c r="I57" s="42">
        <f t="shared" si="3"/>
        <v>0</v>
      </c>
      <c r="J57" s="29"/>
    </row>
    <row r="58" spans="1:10" x14ac:dyDescent="0.25">
      <c r="A58" s="38">
        <f>Données!A58</f>
        <v>5491</v>
      </c>
      <c r="B58" s="168" t="str">
        <f>Données!B58</f>
        <v>Mont-la-Ville</v>
      </c>
      <c r="C58" s="348">
        <f>VPI!R58</f>
        <v>13842.217236842105</v>
      </c>
      <c r="D58" s="206">
        <f>Effort!I58-IF(PCS!I64&lt;0, Effort!D58, 0)</f>
        <v>8.7065193811733206</v>
      </c>
      <c r="E58" s="505">
        <f>IF(PCS!I64&lt;0, 0, PCS!F64/Aide!C58)</f>
        <v>4.9808151266761147</v>
      </c>
      <c r="F58" s="505">
        <f>Effort!G58</f>
        <v>0</v>
      </c>
      <c r="G58" s="371">
        <f t="shared" si="1"/>
        <v>13.687334507849435</v>
      </c>
      <c r="H58" s="223">
        <f t="shared" si="2"/>
        <v>0</v>
      </c>
      <c r="I58" s="42">
        <f t="shared" si="3"/>
        <v>0</v>
      </c>
      <c r="J58" s="29"/>
    </row>
    <row r="59" spans="1:10" x14ac:dyDescent="0.25">
      <c r="A59" s="38">
        <f>Données!A59</f>
        <v>5492</v>
      </c>
      <c r="B59" s="168" t="str">
        <f>Données!B59</f>
        <v>Montricher</v>
      </c>
      <c r="C59" s="348">
        <f>VPI!R59</f>
        <v>149907.58062499994</v>
      </c>
      <c r="D59" s="206">
        <f>Effort!I59-IF(PCS!I65&lt;0, Effort!D59, 0)</f>
        <v>48.774054128502208</v>
      </c>
      <c r="E59" s="505">
        <f>IF(PCS!I65&lt;0, 0, PCS!F65/Aide!C59)</f>
        <v>0.79120705240852829</v>
      </c>
      <c r="F59" s="505">
        <f>Effort!G59</f>
        <v>0</v>
      </c>
      <c r="G59" s="371">
        <f t="shared" si="1"/>
        <v>49.565261180910738</v>
      </c>
      <c r="H59" s="223">
        <f t="shared" si="2"/>
        <v>0</v>
      </c>
      <c r="I59" s="42">
        <f t="shared" si="3"/>
        <v>0</v>
      </c>
      <c r="J59" s="29"/>
    </row>
    <row r="60" spans="1:10" x14ac:dyDescent="0.25">
      <c r="A60" s="38">
        <f>Données!A60</f>
        <v>5493</v>
      </c>
      <c r="B60" s="168" t="str">
        <f>Données!B60</f>
        <v>Orny</v>
      </c>
      <c r="C60" s="348">
        <f>VPI!R60</f>
        <v>14635.830579557431</v>
      </c>
      <c r="D60" s="206">
        <f>Effort!I60-IF(PCS!I66&lt;0, Effort!D60, 0)</f>
        <v>13.768759425853048</v>
      </c>
      <c r="E60" s="505">
        <f>IF(PCS!I66&lt;0, 0, PCS!F66/Aide!C60)</f>
        <v>3.7755868858705353</v>
      </c>
      <c r="F60" s="505">
        <f>Effort!G60</f>
        <v>0</v>
      </c>
      <c r="G60" s="371">
        <f t="shared" si="1"/>
        <v>17.544346311723583</v>
      </c>
      <c r="H60" s="223">
        <f t="shared" si="2"/>
        <v>0</v>
      </c>
      <c r="I60" s="42">
        <f t="shared" si="3"/>
        <v>0</v>
      </c>
      <c r="J60" s="29"/>
    </row>
    <row r="61" spans="1:10" x14ac:dyDescent="0.25">
      <c r="A61" s="38">
        <f>Données!A61</f>
        <v>5495</v>
      </c>
      <c r="B61" s="168" t="str">
        <f>Données!B61</f>
        <v>Penthalaz</v>
      </c>
      <c r="C61" s="348">
        <f>VPI!R61</f>
        <v>103056.57202702702</v>
      </c>
      <c r="D61" s="206">
        <f>Effort!I61-IF(PCS!I67&lt;0, Effort!D61, 0)</f>
        <v>10.312689205834486</v>
      </c>
      <c r="E61" s="505">
        <f>IF(PCS!I67&lt;0, 0, PCS!F67/Aide!C61)</f>
        <v>10.713681847582132</v>
      </c>
      <c r="F61" s="505">
        <f>Effort!G61</f>
        <v>0</v>
      </c>
      <c r="G61" s="371">
        <f t="shared" si="1"/>
        <v>21.026371053416618</v>
      </c>
      <c r="H61" s="223">
        <f t="shared" si="2"/>
        <v>0</v>
      </c>
      <c r="I61" s="42">
        <f t="shared" si="3"/>
        <v>0</v>
      </c>
      <c r="J61" s="29"/>
    </row>
    <row r="62" spans="1:10" x14ac:dyDescent="0.25">
      <c r="A62" s="38">
        <f>Données!A62</f>
        <v>5496</v>
      </c>
      <c r="B62" s="168" t="str">
        <f>Données!B62</f>
        <v>Penthaz</v>
      </c>
      <c r="C62" s="348">
        <f>VPI!R62</f>
        <v>61651.518705035967</v>
      </c>
      <c r="D62" s="206">
        <f>Effort!I62-IF(PCS!I68&lt;0, Effort!D62, 0)</f>
        <v>13.49035885037469</v>
      </c>
      <c r="E62" s="505">
        <f>IF(PCS!I68&lt;0, 0, PCS!F68/Aide!C62)</f>
        <v>2.5615900194701924</v>
      </c>
      <c r="F62" s="505">
        <f>Effort!G62</f>
        <v>0</v>
      </c>
      <c r="G62" s="371">
        <f t="shared" si="1"/>
        <v>16.051948869844882</v>
      </c>
      <c r="H62" s="223">
        <f t="shared" si="2"/>
        <v>0</v>
      </c>
      <c r="I62" s="42">
        <f t="shared" si="3"/>
        <v>0</v>
      </c>
      <c r="J62" s="29"/>
    </row>
    <row r="63" spans="1:10" x14ac:dyDescent="0.25">
      <c r="A63" s="38">
        <f>Données!A63</f>
        <v>5497</v>
      </c>
      <c r="B63" s="168" t="str">
        <f>Données!B63</f>
        <v>Pompaples</v>
      </c>
      <c r="C63" s="348">
        <f>VPI!R63</f>
        <v>22949.830606060608</v>
      </c>
      <c r="D63" s="206">
        <f>Effort!I63-IF(PCS!I69&lt;0, Effort!D63, 0)</f>
        <v>11.827703685805254</v>
      </c>
      <c r="E63" s="505">
        <f>IF(PCS!I69&lt;0, 0, PCS!F69/Aide!C63)</f>
        <v>4.5883985728500987</v>
      </c>
      <c r="F63" s="505">
        <f>Effort!G63</f>
        <v>0</v>
      </c>
      <c r="G63" s="371">
        <f t="shared" si="1"/>
        <v>16.416102258655354</v>
      </c>
      <c r="H63" s="223">
        <f t="shared" si="2"/>
        <v>0</v>
      </c>
      <c r="I63" s="42">
        <f t="shared" si="3"/>
        <v>0</v>
      </c>
      <c r="J63" s="29"/>
    </row>
    <row r="64" spans="1:10" x14ac:dyDescent="0.25">
      <c r="A64" s="38">
        <f>Données!A64</f>
        <v>5498</v>
      </c>
      <c r="B64" s="168" t="str">
        <f>Données!B64</f>
        <v>La Sarraz</v>
      </c>
      <c r="C64" s="348">
        <f>VPI!R64</f>
        <v>73743.655606060609</v>
      </c>
      <c r="D64" s="206">
        <f>Effort!I64-IF(PCS!I70&lt;0, Effort!D64, 0)</f>
        <v>8.7963398449731631</v>
      </c>
      <c r="E64" s="505">
        <f>IF(PCS!I70&lt;0, 0, PCS!F70/Aide!C64)</f>
        <v>2.0850417400159831</v>
      </c>
      <c r="F64" s="505">
        <f>Effort!G64</f>
        <v>0</v>
      </c>
      <c r="G64" s="371">
        <f t="shared" si="1"/>
        <v>10.881381584989146</v>
      </c>
      <c r="H64" s="223">
        <f t="shared" si="2"/>
        <v>0</v>
      </c>
      <c r="I64" s="42">
        <f t="shared" si="3"/>
        <v>0</v>
      </c>
      <c r="J64" s="29"/>
    </row>
    <row r="65" spans="1:10" x14ac:dyDescent="0.25">
      <c r="A65" s="38">
        <f>Données!A65</f>
        <v>5499</v>
      </c>
      <c r="B65" s="168" t="str">
        <f>Données!B65</f>
        <v>Senarclens</v>
      </c>
      <c r="C65" s="348">
        <f>VPI!R65</f>
        <v>20491.103065693427</v>
      </c>
      <c r="D65" s="206">
        <f>Effort!I65-IF(PCS!I71&lt;0, Effort!D65, 0)</f>
        <v>24.496866471010364</v>
      </c>
      <c r="E65" s="505">
        <f>IF(PCS!I71&lt;0, 0, PCS!F71/Aide!C65)</f>
        <v>2.3861770566105616</v>
      </c>
      <c r="F65" s="505">
        <f>Effort!G65</f>
        <v>0</v>
      </c>
      <c r="G65" s="371">
        <f t="shared" si="1"/>
        <v>26.883043527620927</v>
      </c>
      <c r="H65" s="223">
        <f t="shared" si="2"/>
        <v>0</v>
      </c>
      <c r="I65" s="42">
        <f t="shared" si="3"/>
        <v>0</v>
      </c>
      <c r="J65" s="29"/>
    </row>
    <row r="66" spans="1:10" x14ac:dyDescent="0.25">
      <c r="A66" s="38">
        <f>Données!A66</f>
        <v>5501</v>
      </c>
      <c r="B66" s="168" t="str">
        <f>Données!B66</f>
        <v>Sullens</v>
      </c>
      <c r="C66" s="348">
        <f>VPI!R66</f>
        <v>53840.673124999994</v>
      </c>
      <c r="D66" s="206">
        <f>Effort!I66-IF(PCS!I72&lt;0, Effort!D66, 0)</f>
        <v>26.456721031623168</v>
      </c>
      <c r="E66" s="505">
        <f>IF(PCS!I72&lt;0, 0, PCS!F72/Aide!C66)</f>
        <v>5.2585302814228152</v>
      </c>
      <c r="F66" s="505">
        <f>Effort!G66</f>
        <v>0</v>
      </c>
      <c r="G66" s="371">
        <f t="shared" si="1"/>
        <v>31.715251313045982</v>
      </c>
      <c r="H66" s="223">
        <f t="shared" si="2"/>
        <v>0</v>
      </c>
      <c r="I66" s="42">
        <f t="shared" si="3"/>
        <v>0</v>
      </c>
      <c r="J66" s="29"/>
    </row>
    <row r="67" spans="1:10" x14ac:dyDescent="0.25">
      <c r="A67" s="38">
        <f>Données!A67</f>
        <v>5503</v>
      </c>
      <c r="B67" s="168" t="str">
        <f>Données!B67</f>
        <v>Vufflens-la-Ville</v>
      </c>
      <c r="C67" s="348">
        <f>VPI!R67</f>
        <v>75222.663980099518</v>
      </c>
      <c r="D67" s="206">
        <f>Effort!I67-IF(PCS!I73&lt;0, Effort!D67, 0)</f>
        <v>29.425369470212544</v>
      </c>
      <c r="E67" s="505">
        <f>IF(PCS!I73&lt;0, 0, PCS!F73/Aide!C67)</f>
        <v>1.8817469032663834</v>
      </c>
      <c r="F67" s="505">
        <f>Effort!G67</f>
        <v>0</v>
      </c>
      <c r="G67" s="371">
        <f t="shared" si="1"/>
        <v>31.307116373478927</v>
      </c>
      <c r="H67" s="223">
        <f t="shared" si="2"/>
        <v>0</v>
      </c>
      <c r="I67" s="42">
        <f t="shared" si="3"/>
        <v>0</v>
      </c>
      <c r="J67" s="29"/>
    </row>
    <row r="68" spans="1:10" x14ac:dyDescent="0.25">
      <c r="A68" s="38">
        <f>Données!A68</f>
        <v>5511</v>
      </c>
      <c r="B68" s="168" t="str">
        <f>Données!B68</f>
        <v>Assens</v>
      </c>
      <c r="C68" s="348">
        <f>VPI!R68</f>
        <v>72835.778857142868</v>
      </c>
      <c r="D68" s="206">
        <f>Effort!I68-IF(PCS!I74&lt;0, Effort!D68, 0)</f>
        <v>23.611811407255189</v>
      </c>
      <c r="E68" s="505">
        <f>IF(PCS!I74&lt;0, 0, PCS!F74/Aide!C68)</f>
        <v>2.1877552145427925</v>
      </c>
      <c r="F68" s="505">
        <f>Effort!G68</f>
        <v>0</v>
      </c>
      <c r="G68" s="371">
        <f t="shared" si="1"/>
        <v>25.799566621797982</v>
      </c>
      <c r="H68" s="223">
        <f t="shared" si="2"/>
        <v>0</v>
      </c>
      <c r="I68" s="42">
        <f t="shared" si="3"/>
        <v>0</v>
      </c>
      <c r="J68" s="29"/>
    </row>
    <row r="69" spans="1:10" x14ac:dyDescent="0.25">
      <c r="A69" s="38">
        <f>Données!A69</f>
        <v>5512</v>
      </c>
      <c r="B69" s="168" t="str">
        <f>Données!B69</f>
        <v>Bercher</v>
      </c>
      <c r="C69" s="348">
        <f>VPI!R69</f>
        <v>41198.7282278481</v>
      </c>
      <c r="D69" s="206">
        <f>Effort!I69-IF(PCS!I75&lt;0, Effort!D69, 0)</f>
        <v>9.6620048577440159</v>
      </c>
      <c r="E69" s="505">
        <f>IF(PCS!I75&lt;0, 0, PCS!F75/Aide!C69)</f>
        <v>2.5098174008707956</v>
      </c>
      <c r="F69" s="505">
        <f>Effort!G69</f>
        <v>0</v>
      </c>
      <c r="G69" s="371">
        <f t="shared" si="1"/>
        <v>12.171822258614812</v>
      </c>
      <c r="H69" s="223">
        <f t="shared" si="2"/>
        <v>0</v>
      </c>
      <c r="I69" s="42">
        <f t="shared" si="3"/>
        <v>0</v>
      </c>
      <c r="J69" s="29"/>
    </row>
    <row r="70" spans="1:10" x14ac:dyDescent="0.25">
      <c r="A70" s="38">
        <f>Données!A70</f>
        <v>5514</v>
      </c>
      <c r="B70" s="168" t="str">
        <f>Données!B70</f>
        <v>Bottens</v>
      </c>
      <c r="C70" s="348">
        <f>VPI!R70</f>
        <v>45712.235586206894</v>
      </c>
      <c r="D70" s="206">
        <f>Effort!I70-IF(PCS!I76&lt;0, Effort!D70, 0)</f>
        <v>16.040366673497825</v>
      </c>
      <c r="E70" s="505">
        <f>IF(PCS!I76&lt;0, 0, PCS!F76/Aide!C70)</f>
        <v>2.2559972986995458</v>
      </c>
      <c r="F70" s="505">
        <f>Effort!G70</f>
        <v>0</v>
      </c>
      <c r="G70" s="371">
        <f t="shared" si="1"/>
        <v>18.296363972197369</v>
      </c>
      <c r="H70" s="223">
        <f t="shared" si="2"/>
        <v>0</v>
      </c>
      <c r="I70" s="42">
        <f t="shared" si="3"/>
        <v>0</v>
      </c>
      <c r="J70" s="29"/>
    </row>
    <row r="71" spans="1:10" x14ac:dyDescent="0.25">
      <c r="A71" s="38">
        <f>Données!A71</f>
        <v>5515</v>
      </c>
      <c r="B71" s="168" t="str">
        <f>Données!B71</f>
        <v>Bretigny-sur-Morrens</v>
      </c>
      <c r="C71" s="348">
        <f>VPI!R71</f>
        <v>29285.295897435899</v>
      </c>
      <c r="D71" s="206">
        <f>Effort!I71-IF(PCS!I77&lt;0, Effort!D71, 0)</f>
        <v>15.989005813567609</v>
      </c>
      <c r="E71" s="505">
        <f>IF(PCS!I77&lt;0, 0, PCS!F77/Aide!C71)</f>
        <v>1.6355288048905683</v>
      </c>
      <c r="F71" s="505">
        <f>Effort!G71</f>
        <v>0</v>
      </c>
      <c r="G71" s="371">
        <f t="shared" ref="G71:G134" si="4">D71+E71-F71</f>
        <v>17.624534618458178</v>
      </c>
      <c r="H71" s="223">
        <f t="shared" ref="H71:H134" si="5">IF(G71&lt;H$5,G71-H$5,0)</f>
        <v>0</v>
      </c>
      <c r="I71" s="42">
        <f t="shared" ref="I71:I134" si="6">-H71*C71</f>
        <v>0</v>
      </c>
      <c r="J71" s="29"/>
    </row>
    <row r="72" spans="1:10" x14ac:dyDescent="0.25">
      <c r="A72" s="38">
        <f>Données!A72</f>
        <v>5516</v>
      </c>
      <c r="B72" s="168" t="str">
        <f>Données!B72</f>
        <v>Cugy</v>
      </c>
      <c r="C72" s="348">
        <f>VPI!R72</f>
        <v>110290.24758771928</v>
      </c>
      <c r="D72" s="206">
        <f>Effort!I72-IF(PCS!I78&lt;0, Effort!D72, 0)</f>
        <v>19.839758509352649</v>
      </c>
      <c r="E72" s="505">
        <f>IF(PCS!I78&lt;0, 0, PCS!F78/Aide!C72)</f>
        <v>2.7997646823161459</v>
      </c>
      <c r="F72" s="505">
        <f>Effort!G72</f>
        <v>0</v>
      </c>
      <c r="G72" s="371">
        <f t="shared" si="4"/>
        <v>22.639523191668793</v>
      </c>
      <c r="H72" s="223">
        <f t="shared" si="5"/>
        <v>0</v>
      </c>
      <c r="I72" s="42">
        <f t="shared" si="6"/>
        <v>0</v>
      </c>
      <c r="J72" s="29"/>
    </row>
    <row r="73" spans="1:10" x14ac:dyDescent="0.25">
      <c r="A73" s="38">
        <f>Données!A73</f>
        <v>5518</v>
      </c>
      <c r="B73" s="168" t="str">
        <f>Données!B73</f>
        <v>Echallens</v>
      </c>
      <c r="C73" s="348">
        <f>VPI!R73</f>
        <v>193282.28662068967</v>
      </c>
      <c r="D73" s="206">
        <f>Effort!I73-IF(PCS!I79&lt;0, Effort!D73, 0)</f>
        <v>8.8727612890536509</v>
      </c>
      <c r="E73" s="505">
        <f>IF(PCS!I79&lt;0, 0, PCS!F79/Aide!C73)</f>
        <v>3.2173660653155465</v>
      </c>
      <c r="F73" s="505">
        <f>Effort!G73</f>
        <v>0</v>
      </c>
      <c r="G73" s="371">
        <f t="shared" si="4"/>
        <v>12.090127354369198</v>
      </c>
      <c r="H73" s="223">
        <f t="shared" si="5"/>
        <v>0</v>
      </c>
      <c r="I73" s="42">
        <f t="shared" si="6"/>
        <v>0</v>
      </c>
      <c r="J73" s="29"/>
    </row>
    <row r="74" spans="1:10" x14ac:dyDescent="0.25">
      <c r="A74" s="38">
        <f>Données!A74</f>
        <v>5520</v>
      </c>
      <c r="B74" s="168" t="str">
        <f>Données!B74</f>
        <v>Essertines-sur-Yverdon</v>
      </c>
      <c r="C74" s="348">
        <f>VPI!R74</f>
        <v>31422.035945945943</v>
      </c>
      <c r="D74" s="206">
        <f>Effort!I74-IF(PCS!I80&lt;0, Effort!D74, 0)</f>
        <v>11.231083291609878</v>
      </c>
      <c r="E74" s="505">
        <f>IF(PCS!I80&lt;0, 0, PCS!F80/Aide!C74)</f>
        <v>4.149830081803584</v>
      </c>
      <c r="F74" s="505">
        <f>Effort!G74</f>
        <v>0</v>
      </c>
      <c r="G74" s="371">
        <f t="shared" si="4"/>
        <v>15.380913373413462</v>
      </c>
      <c r="H74" s="223">
        <f t="shared" si="5"/>
        <v>0</v>
      </c>
      <c r="I74" s="42">
        <f t="shared" si="6"/>
        <v>0</v>
      </c>
      <c r="J74" s="29"/>
    </row>
    <row r="75" spans="1:10" x14ac:dyDescent="0.25">
      <c r="A75" s="38">
        <f>Données!A75</f>
        <v>5521</v>
      </c>
      <c r="B75" s="168" t="str">
        <f>Données!B75</f>
        <v>Etagnières</v>
      </c>
      <c r="C75" s="348">
        <f>VPI!R75</f>
        <v>47189.665890410972</v>
      </c>
      <c r="D75" s="206">
        <f>Effort!I75-IF(PCS!I81&lt;0, Effort!D75, 0)</f>
        <v>23.099463602831552</v>
      </c>
      <c r="E75" s="505">
        <f>IF(PCS!I81&lt;0, 0, PCS!F81/Aide!C75)</f>
        <v>7.8478229928568535</v>
      </c>
      <c r="F75" s="505">
        <f>Effort!G75</f>
        <v>0</v>
      </c>
      <c r="G75" s="371">
        <f t="shared" si="4"/>
        <v>30.947286595688404</v>
      </c>
      <c r="H75" s="223">
        <f t="shared" si="5"/>
        <v>0</v>
      </c>
      <c r="I75" s="42">
        <f t="shared" si="6"/>
        <v>0</v>
      </c>
      <c r="J75" s="29"/>
    </row>
    <row r="76" spans="1:10" x14ac:dyDescent="0.25">
      <c r="A76" s="38">
        <f>Données!A76</f>
        <v>5522</v>
      </c>
      <c r="B76" s="168" t="str">
        <f>Données!B76</f>
        <v>Fey</v>
      </c>
      <c r="C76" s="348">
        <f>VPI!R76</f>
        <v>24172.463733333334</v>
      </c>
      <c r="D76" s="206">
        <f>Effort!I76-IF(PCS!I82&lt;0, Effort!D76, 0)</f>
        <v>16.250020253551774</v>
      </c>
      <c r="E76" s="505">
        <f>IF(PCS!I82&lt;0, 0, PCS!F82/Aide!C76)</f>
        <v>3.046206245764671</v>
      </c>
      <c r="F76" s="505">
        <f>Effort!G76</f>
        <v>0</v>
      </c>
      <c r="G76" s="371">
        <f t="shared" si="4"/>
        <v>19.296226499316447</v>
      </c>
      <c r="H76" s="223">
        <f t="shared" si="5"/>
        <v>0</v>
      </c>
      <c r="I76" s="42">
        <f t="shared" si="6"/>
        <v>0</v>
      </c>
      <c r="J76" s="29"/>
    </row>
    <row r="77" spans="1:10" x14ac:dyDescent="0.25">
      <c r="A77" s="38">
        <f>Données!A77</f>
        <v>5523</v>
      </c>
      <c r="B77" s="168" t="str">
        <f>Données!B77</f>
        <v>Froideville</v>
      </c>
      <c r="C77" s="348">
        <f>VPI!R77</f>
        <v>92231.307222222211</v>
      </c>
      <c r="D77" s="206">
        <f>Effort!I77-IF(PCS!I83&lt;0, Effort!D77, 0)</f>
        <v>13.839855196761491</v>
      </c>
      <c r="E77" s="505">
        <f>IF(PCS!I83&lt;0, 0, PCS!F83/Aide!C77)</f>
        <v>3.6194556388068593</v>
      </c>
      <c r="F77" s="505">
        <f>Effort!G77</f>
        <v>0</v>
      </c>
      <c r="G77" s="371">
        <f t="shared" si="4"/>
        <v>17.459310835568349</v>
      </c>
      <c r="H77" s="223">
        <f t="shared" si="5"/>
        <v>0</v>
      </c>
      <c r="I77" s="42">
        <f t="shared" si="6"/>
        <v>0</v>
      </c>
      <c r="J77" s="29"/>
    </row>
    <row r="78" spans="1:10" x14ac:dyDescent="0.25">
      <c r="A78" s="38">
        <f>Données!A78</f>
        <v>5527</v>
      </c>
      <c r="B78" s="168" t="str">
        <f>Données!B78</f>
        <v>Morrens</v>
      </c>
      <c r="C78" s="348">
        <f>VPI!R78</f>
        <v>40722.505675675682</v>
      </c>
      <c r="D78" s="206">
        <f>Effort!I78-IF(PCS!I84&lt;0, Effort!D78, 0)</f>
        <v>17.535226814481543</v>
      </c>
      <c r="E78" s="505">
        <f>IF(PCS!I84&lt;0, 0, PCS!F84/Aide!C78)</f>
        <v>3.5136528960070157</v>
      </c>
      <c r="F78" s="505">
        <f>Effort!G78</f>
        <v>0</v>
      </c>
      <c r="G78" s="371">
        <f t="shared" si="4"/>
        <v>21.04887971048856</v>
      </c>
      <c r="H78" s="223">
        <f t="shared" si="5"/>
        <v>0</v>
      </c>
      <c r="I78" s="42">
        <f t="shared" si="6"/>
        <v>0</v>
      </c>
      <c r="J78" s="29"/>
    </row>
    <row r="79" spans="1:10" x14ac:dyDescent="0.25">
      <c r="A79" s="38">
        <f>Données!A79</f>
        <v>5529</v>
      </c>
      <c r="B79" s="168" t="str">
        <f>Données!B79</f>
        <v>Oulens-sous-Echallens</v>
      </c>
      <c r="C79" s="348">
        <f>VPI!R79</f>
        <v>22677.013380281693</v>
      </c>
      <c r="D79" s="206">
        <f>Effort!I79-IF(PCS!I85&lt;0, Effort!D79, 0)</f>
        <v>21.474508747023577</v>
      </c>
      <c r="E79" s="505">
        <f>IF(PCS!I85&lt;0, 0, PCS!F85/Aide!C79)</f>
        <v>0.2692153458492233</v>
      </c>
      <c r="F79" s="505">
        <f>Effort!G79</f>
        <v>0</v>
      </c>
      <c r="G79" s="371">
        <f t="shared" si="4"/>
        <v>21.7437240928728</v>
      </c>
      <c r="H79" s="223">
        <f t="shared" si="5"/>
        <v>0</v>
      </c>
      <c r="I79" s="42">
        <f t="shared" si="6"/>
        <v>0</v>
      </c>
      <c r="J79" s="29"/>
    </row>
    <row r="80" spans="1:10" x14ac:dyDescent="0.25">
      <c r="A80" s="38">
        <f>Données!A80</f>
        <v>5530</v>
      </c>
      <c r="B80" s="168" t="str">
        <f>Données!B80</f>
        <v>Pailly</v>
      </c>
      <c r="C80" s="348">
        <f>VPI!R80</f>
        <v>20112.17390350877</v>
      </c>
      <c r="D80" s="206">
        <f>Effort!I80-IF(PCS!I86&lt;0, Effort!D80, 0)</f>
        <v>18.839326704980259</v>
      </c>
      <c r="E80" s="505">
        <f>IF(PCS!I86&lt;0, 0, PCS!F86/Aide!C80)</f>
        <v>13.562694480899033</v>
      </c>
      <c r="F80" s="505">
        <f>Effort!G80</f>
        <v>0</v>
      </c>
      <c r="G80" s="371">
        <f t="shared" si="4"/>
        <v>32.402021185879292</v>
      </c>
      <c r="H80" s="223">
        <f t="shared" si="5"/>
        <v>0</v>
      </c>
      <c r="I80" s="42">
        <f t="shared" si="6"/>
        <v>0</v>
      </c>
      <c r="J80" s="29"/>
    </row>
    <row r="81" spans="1:10" x14ac:dyDescent="0.25">
      <c r="A81" s="38">
        <f>Données!A81</f>
        <v>5531</v>
      </c>
      <c r="B81" s="168" t="str">
        <f>Données!B81</f>
        <v>Penthéréaz</v>
      </c>
      <c r="C81" s="348">
        <f>VPI!R81</f>
        <v>17299.306216216217</v>
      </c>
      <c r="D81" s="206">
        <f>Effort!I81-IF(PCS!I87&lt;0, Effort!D81, 0)</f>
        <v>22.976065277479766</v>
      </c>
      <c r="E81" s="505">
        <f>IF(PCS!I87&lt;0, 0, PCS!F87/Aide!C81)</f>
        <v>1.3769861462808546</v>
      </c>
      <c r="F81" s="505">
        <f>Effort!G81</f>
        <v>0</v>
      </c>
      <c r="G81" s="371">
        <f t="shared" si="4"/>
        <v>24.353051423760618</v>
      </c>
      <c r="H81" s="223">
        <f t="shared" si="5"/>
        <v>0</v>
      </c>
      <c r="I81" s="42">
        <f t="shared" si="6"/>
        <v>0</v>
      </c>
      <c r="J81" s="29"/>
    </row>
    <row r="82" spans="1:10" x14ac:dyDescent="0.25">
      <c r="A82" s="38">
        <f>Données!A82</f>
        <v>5533</v>
      </c>
      <c r="B82" s="168" t="str">
        <f>Données!B82</f>
        <v>Poliez-Pittet</v>
      </c>
      <c r="C82" s="348">
        <f>VPI!R82</f>
        <v>28012.381095890411</v>
      </c>
      <c r="D82" s="206">
        <f>Effort!I82-IF(PCS!I88&lt;0, Effort!D82, 0)</f>
        <v>17.05710105752566</v>
      </c>
      <c r="E82" s="505">
        <f>IF(PCS!I88&lt;0, 0, PCS!F88/Aide!C82)</f>
        <v>2.1257662744255619</v>
      </c>
      <c r="F82" s="505">
        <f>Effort!G82</f>
        <v>0</v>
      </c>
      <c r="G82" s="371">
        <f t="shared" si="4"/>
        <v>19.182867331951222</v>
      </c>
      <c r="H82" s="223">
        <f t="shared" si="5"/>
        <v>0</v>
      </c>
      <c r="I82" s="42">
        <f t="shared" si="6"/>
        <v>0</v>
      </c>
      <c r="J82" s="29"/>
    </row>
    <row r="83" spans="1:10" x14ac:dyDescent="0.25">
      <c r="A83" s="38">
        <f>Données!A83</f>
        <v>5534</v>
      </c>
      <c r="B83" s="168" t="str">
        <f>Données!B83</f>
        <v>Rueyres</v>
      </c>
      <c r="C83" s="348">
        <f>VPI!R83</f>
        <v>15042.055228310503</v>
      </c>
      <c r="D83" s="206">
        <f>Effort!I83-IF(PCS!I89&lt;0, Effort!D83, 0)</f>
        <v>28.610678975195025</v>
      </c>
      <c r="E83" s="505">
        <f>IF(PCS!I89&lt;0, 0, PCS!F89/Aide!C83)</f>
        <v>1.6895729748530199</v>
      </c>
      <c r="F83" s="505">
        <f>Effort!G83</f>
        <v>0</v>
      </c>
      <c r="G83" s="371">
        <f t="shared" si="4"/>
        <v>30.300251950048047</v>
      </c>
      <c r="H83" s="223">
        <f t="shared" si="5"/>
        <v>0</v>
      </c>
      <c r="I83" s="42">
        <f t="shared" si="6"/>
        <v>0</v>
      </c>
      <c r="J83" s="29"/>
    </row>
    <row r="84" spans="1:10" x14ac:dyDescent="0.25">
      <c r="A84" s="38">
        <f>Données!A84</f>
        <v>5535</v>
      </c>
      <c r="B84" s="168" t="str">
        <f>Données!B84</f>
        <v>Saint-Barthélemy</v>
      </c>
      <c r="C84" s="348">
        <f>VPI!R84</f>
        <v>25488.94373333333</v>
      </c>
      <c r="D84" s="206">
        <f>Effort!I84-IF(PCS!I90&lt;0, Effort!D84, 0)</f>
        <v>14.438072286963941</v>
      </c>
      <c r="E84" s="505">
        <f>IF(PCS!I90&lt;0, 0, PCS!F90/Aide!C84)</f>
        <v>3.2797559551545801</v>
      </c>
      <c r="F84" s="505">
        <f>Effort!G84</f>
        <v>0</v>
      </c>
      <c r="G84" s="371">
        <f t="shared" si="4"/>
        <v>17.717828242118522</v>
      </c>
      <c r="H84" s="223">
        <f t="shared" si="5"/>
        <v>0</v>
      </c>
      <c r="I84" s="42">
        <f t="shared" si="6"/>
        <v>0</v>
      </c>
      <c r="J84" s="29"/>
    </row>
    <row r="85" spans="1:10" x14ac:dyDescent="0.25">
      <c r="A85" s="38">
        <f>Données!A85</f>
        <v>5537</v>
      </c>
      <c r="B85" s="168" t="str">
        <f>Données!B85</f>
        <v>Villars-le-Terroir</v>
      </c>
      <c r="C85" s="348">
        <f>VPI!R85</f>
        <v>39164.122763157902</v>
      </c>
      <c r="D85" s="206">
        <f>Effort!I85-IF(PCS!I91&lt;0, Effort!D85, 0)</f>
        <v>10.381755961147171</v>
      </c>
      <c r="E85" s="505">
        <f>IF(PCS!I91&lt;0, 0, PCS!F91/Aide!C85)</f>
        <v>1.6552292104696935</v>
      </c>
      <c r="F85" s="505">
        <f>Effort!G85</f>
        <v>0</v>
      </c>
      <c r="G85" s="371">
        <f t="shared" si="4"/>
        <v>12.036985171616864</v>
      </c>
      <c r="H85" s="223">
        <f t="shared" si="5"/>
        <v>0</v>
      </c>
      <c r="I85" s="42">
        <f t="shared" si="6"/>
        <v>0</v>
      </c>
      <c r="J85" s="29"/>
    </row>
    <row r="86" spans="1:10" x14ac:dyDescent="0.25">
      <c r="A86" s="38">
        <f>Données!A86</f>
        <v>5539</v>
      </c>
      <c r="B86" s="168" t="str">
        <f>Données!B86</f>
        <v>Vuarrens</v>
      </c>
      <c r="C86" s="348">
        <f>VPI!R86</f>
        <v>34442.458945578233</v>
      </c>
      <c r="D86" s="206">
        <f>Effort!I86-IF(PCS!I92&lt;0, Effort!D86, 0)</f>
        <v>14.003383366524396</v>
      </c>
      <c r="E86" s="505">
        <f>IF(PCS!I92&lt;0, 0, PCS!F92/Aide!C86)</f>
        <v>3.0873631922743887</v>
      </c>
      <c r="F86" s="505">
        <f>Effort!G86</f>
        <v>0</v>
      </c>
      <c r="G86" s="371">
        <f t="shared" si="4"/>
        <v>17.090746558798784</v>
      </c>
      <c r="H86" s="223">
        <f t="shared" si="5"/>
        <v>0</v>
      </c>
      <c r="I86" s="42">
        <f t="shared" si="6"/>
        <v>0</v>
      </c>
      <c r="J86" s="29"/>
    </row>
    <row r="87" spans="1:10" x14ac:dyDescent="0.25">
      <c r="A87" s="38">
        <f>Données!A87</f>
        <v>5540</v>
      </c>
      <c r="B87" s="168" t="str">
        <f>Données!B87</f>
        <v>Montilliez</v>
      </c>
      <c r="C87" s="348">
        <f>VPI!R87</f>
        <v>67464.467689655183</v>
      </c>
      <c r="D87" s="206">
        <f>Effort!I87-IF(PCS!I93&lt;0, Effort!D87, 0)</f>
        <v>16.574039685170757</v>
      </c>
      <c r="E87" s="505">
        <f>IF(PCS!I93&lt;0, 0, PCS!F93/Aide!C87)</f>
        <v>1.7779420650256235</v>
      </c>
      <c r="F87" s="505">
        <f>Effort!G87</f>
        <v>0</v>
      </c>
      <c r="G87" s="371">
        <f t="shared" si="4"/>
        <v>18.35198175019638</v>
      </c>
      <c r="H87" s="223">
        <f t="shared" si="5"/>
        <v>0</v>
      </c>
      <c r="I87" s="42">
        <f t="shared" si="6"/>
        <v>0</v>
      </c>
      <c r="J87" s="29"/>
    </row>
    <row r="88" spans="1:10" x14ac:dyDescent="0.25">
      <c r="A88" s="38">
        <f>Données!A88</f>
        <v>5541</v>
      </c>
      <c r="B88" s="168" t="str">
        <f>Données!B88</f>
        <v>Goumoëns</v>
      </c>
      <c r="C88" s="348">
        <f>VPI!R88</f>
        <v>41726.211258278148</v>
      </c>
      <c r="D88" s="206">
        <f>Effort!I88-IF(PCS!I94&lt;0, Effort!D88, 0)</f>
        <v>17.953580247869148</v>
      </c>
      <c r="E88" s="505">
        <f>IF(PCS!I94&lt;0, 0, PCS!F94/Aide!C88)</f>
        <v>3.2991853525327888</v>
      </c>
      <c r="F88" s="505">
        <f>Effort!G88</f>
        <v>0</v>
      </c>
      <c r="G88" s="371">
        <f t="shared" si="4"/>
        <v>21.252765600401936</v>
      </c>
      <c r="H88" s="223">
        <f t="shared" si="5"/>
        <v>0</v>
      </c>
      <c r="I88" s="42">
        <f t="shared" si="6"/>
        <v>0</v>
      </c>
      <c r="J88" s="29"/>
    </row>
    <row r="89" spans="1:10" x14ac:dyDescent="0.25">
      <c r="A89" s="38">
        <f>Données!A89</f>
        <v>5551</v>
      </c>
      <c r="B89" s="168" t="str">
        <f>Données!B89</f>
        <v>Bonvillars</v>
      </c>
      <c r="C89" s="348">
        <f>VPI!R89</f>
        <v>18575.023035714283</v>
      </c>
      <c r="D89" s="206">
        <f>Effort!I89-IF(PCS!I95&lt;0, Effort!D89, 0)</f>
        <v>23.533855830982858</v>
      </c>
      <c r="E89" s="505">
        <f>IF(PCS!I95&lt;0, 0, PCS!F95/Aide!C89)</f>
        <v>9.507281076338602</v>
      </c>
      <c r="F89" s="505">
        <f>Effort!G89</f>
        <v>0</v>
      </c>
      <c r="G89" s="371">
        <f t="shared" si="4"/>
        <v>33.041136907321459</v>
      </c>
      <c r="H89" s="223">
        <f t="shared" si="5"/>
        <v>0</v>
      </c>
      <c r="I89" s="42">
        <f t="shared" si="6"/>
        <v>0</v>
      </c>
      <c r="J89" s="29"/>
    </row>
    <row r="90" spans="1:10" x14ac:dyDescent="0.25">
      <c r="A90" s="38">
        <f>Données!A90</f>
        <v>5552</v>
      </c>
      <c r="B90" s="168" t="str">
        <f>Données!B90</f>
        <v>Bullet</v>
      </c>
      <c r="C90" s="348">
        <f>VPI!R90</f>
        <v>19038.952167832165</v>
      </c>
      <c r="D90" s="206">
        <f>Effort!I90-IF(PCS!I96&lt;0, Effort!D90, 0)</f>
        <v>13.033210437052173</v>
      </c>
      <c r="E90" s="505">
        <f>IF(PCS!I96&lt;0, 0, PCS!F96/Aide!C90)</f>
        <v>4.2662957122838669</v>
      </c>
      <c r="F90" s="505">
        <f>Effort!G90</f>
        <v>0</v>
      </c>
      <c r="G90" s="371">
        <f t="shared" si="4"/>
        <v>17.29950614933604</v>
      </c>
      <c r="H90" s="223">
        <f t="shared" si="5"/>
        <v>0</v>
      </c>
      <c r="I90" s="42">
        <f t="shared" si="6"/>
        <v>0</v>
      </c>
      <c r="J90" s="29"/>
    </row>
    <row r="91" spans="1:10" x14ac:dyDescent="0.25">
      <c r="A91" s="38">
        <f>Données!A91</f>
        <v>5553</v>
      </c>
      <c r="B91" s="168" t="str">
        <f>Données!B91</f>
        <v>Champagne</v>
      </c>
      <c r="C91" s="348">
        <f>VPI!R91</f>
        <v>38263.796923076923</v>
      </c>
      <c r="D91" s="206">
        <f>Effort!I91-IF(PCS!I97&lt;0, Effort!D91, 0)</f>
        <v>20.619466730129357</v>
      </c>
      <c r="E91" s="505">
        <f>IF(PCS!I97&lt;0, 0, PCS!F97/Aide!C91)</f>
        <v>3.3690677707483934</v>
      </c>
      <c r="F91" s="505">
        <f>Effort!G91</f>
        <v>0</v>
      </c>
      <c r="G91" s="371">
        <f t="shared" si="4"/>
        <v>23.988534500877751</v>
      </c>
      <c r="H91" s="223">
        <f t="shared" si="5"/>
        <v>0</v>
      </c>
      <c r="I91" s="42">
        <f t="shared" si="6"/>
        <v>0</v>
      </c>
      <c r="J91" s="29"/>
    </row>
    <row r="92" spans="1:10" x14ac:dyDescent="0.25">
      <c r="A92" s="38">
        <f>Données!A92</f>
        <v>5554</v>
      </c>
      <c r="B92" s="168" t="str">
        <f>Données!B92</f>
        <v>Concise</v>
      </c>
      <c r="C92" s="348">
        <f>VPI!R92</f>
        <v>33907.166000000005</v>
      </c>
      <c r="D92" s="206">
        <f>Effort!I92-IF(PCS!I98&lt;0, Effort!D92, 0)</f>
        <v>17.328442121755252</v>
      </c>
      <c r="E92" s="505">
        <f>IF(PCS!I98&lt;0, 0, PCS!F98/Aide!C92)</f>
        <v>3.94110392475738</v>
      </c>
      <c r="F92" s="505">
        <f>Effort!G92</f>
        <v>0</v>
      </c>
      <c r="G92" s="371">
        <f t="shared" si="4"/>
        <v>21.26954604651263</v>
      </c>
      <c r="H92" s="223">
        <f t="shared" si="5"/>
        <v>0</v>
      </c>
      <c r="I92" s="42">
        <f t="shared" si="6"/>
        <v>0</v>
      </c>
      <c r="J92" s="29"/>
    </row>
    <row r="93" spans="1:10" x14ac:dyDescent="0.25">
      <c r="A93" s="38">
        <f>Données!A93</f>
        <v>5555</v>
      </c>
      <c r="B93" s="168" t="str">
        <f>Données!B93</f>
        <v>Corcelles-près-Concise</v>
      </c>
      <c r="C93" s="348">
        <f>VPI!R93</f>
        <v>13425.201594202899</v>
      </c>
      <c r="D93" s="206">
        <f>Effort!I93-IF(PCS!I99&lt;0, Effort!D93, 0)</f>
        <v>17.637196020453892</v>
      </c>
      <c r="E93" s="505">
        <f>IF(PCS!I99&lt;0, 0, PCS!F99/Aide!C93)</f>
        <v>1.1529137861649359</v>
      </c>
      <c r="F93" s="505">
        <f>Effort!G93</f>
        <v>0</v>
      </c>
      <c r="G93" s="371">
        <f t="shared" si="4"/>
        <v>18.79010980661883</v>
      </c>
      <c r="H93" s="223">
        <f t="shared" si="5"/>
        <v>0</v>
      </c>
      <c r="I93" s="42">
        <f t="shared" si="6"/>
        <v>0</v>
      </c>
      <c r="J93" s="29"/>
    </row>
    <row r="94" spans="1:10" x14ac:dyDescent="0.25">
      <c r="A94" s="38">
        <f>Données!A94</f>
        <v>5556</v>
      </c>
      <c r="B94" s="168" t="str">
        <f>Données!B94</f>
        <v>Fiez</v>
      </c>
      <c r="C94" s="348">
        <f>VPI!R94</f>
        <v>13304.241787439612</v>
      </c>
      <c r="D94" s="206">
        <f>Effort!I94-IF(PCS!I100&lt;0, Effort!D94, 0)</f>
        <v>15.448432391593826</v>
      </c>
      <c r="E94" s="505">
        <f>IF(PCS!I100&lt;0, 0, PCS!F100/Aide!C94)</f>
        <v>4.6315284992921431</v>
      </c>
      <c r="F94" s="505">
        <f>Effort!G94</f>
        <v>0</v>
      </c>
      <c r="G94" s="371">
        <f t="shared" si="4"/>
        <v>20.079960890885971</v>
      </c>
      <c r="H94" s="223">
        <f t="shared" si="5"/>
        <v>0</v>
      </c>
      <c r="I94" s="42">
        <f t="shared" si="6"/>
        <v>0</v>
      </c>
      <c r="J94" s="29"/>
    </row>
    <row r="95" spans="1:10" x14ac:dyDescent="0.25">
      <c r="A95" s="38">
        <f>Données!A95</f>
        <v>5557</v>
      </c>
      <c r="B95" s="168" t="str">
        <f>Données!B95</f>
        <v>Fontaines-sur-Grandson</v>
      </c>
      <c r="C95" s="348">
        <f>VPI!R95</f>
        <v>5098.7534782608691</v>
      </c>
      <c r="D95" s="206">
        <f>Effort!I95-IF(PCS!I101&lt;0, Effort!D95, 0)</f>
        <v>5.7815609206258003</v>
      </c>
      <c r="E95" s="505">
        <f>IF(PCS!I101&lt;0, 0, PCS!F101/Aide!C95)</f>
        <v>1.740459709973444</v>
      </c>
      <c r="F95" s="505">
        <f>Effort!G95</f>
        <v>0</v>
      </c>
      <c r="G95" s="371">
        <f t="shared" si="4"/>
        <v>7.5220206305992443</v>
      </c>
      <c r="H95" s="223">
        <f t="shared" si="5"/>
        <v>0</v>
      </c>
      <c r="I95" s="42">
        <f t="shared" si="6"/>
        <v>0</v>
      </c>
      <c r="J95" s="29"/>
    </row>
    <row r="96" spans="1:10" x14ac:dyDescent="0.25">
      <c r="A96" s="38">
        <f>Données!A96</f>
        <v>5559</v>
      </c>
      <c r="B96" s="168" t="str">
        <f>Données!B96</f>
        <v>Giez</v>
      </c>
      <c r="C96" s="348">
        <f>VPI!R96</f>
        <v>21011.030606060605</v>
      </c>
      <c r="D96" s="206">
        <f>Effort!I96-IF(PCS!I102&lt;0, Effort!D96, 0)</f>
        <v>27.440088288249623</v>
      </c>
      <c r="E96" s="505">
        <f>IF(PCS!I102&lt;0, 0, PCS!F102/Aide!C96)</f>
        <v>2.9454735543599964</v>
      </c>
      <c r="F96" s="505">
        <f>Effort!G96</f>
        <v>0</v>
      </c>
      <c r="G96" s="371">
        <f t="shared" si="4"/>
        <v>30.385561842609619</v>
      </c>
      <c r="H96" s="223">
        <f t="shared" si="5"/>
        <v>0</v>
      </c>
      <c r="I96" s="42">
        <f t="shared" si="6"/>
        <v>0</v>
      </c>
      <c r="J96" s="29"/>
    </row>
    <row r="97" spans="1:10" x14ac:dyDescent="0.25">
      <c r="A97" s="38">
        <f>Données!A97</f>
        <v>5560</v>
      </c>
      <c r="B97" s="168" t="str">
        <f>Données!B97</f>
        <v>Grandevent</v>
      </c>
      <c r="C97" s="348">
        <f>VPI!R97</f>
        <v>8996.1449295774655</v>
      </c>
      <c r="D97" s="206">
        <f>Effort!I97-IF(PCS!I103&lt;0, Effort!D97, 0)</f>
        <v>21.892730715194386</v>
      </c>
      <c r="E97" s="505">
        <f>IF(PCS!I103&lt;0, 0, PCS!F103/Aide!C97)</f>
        <v>2.9622132823122089</v>
      </c>
      <c r="F97" s="505">
        <f>Effort!G97</f>
        <v>0</v>
      </c>
      <c r="G97" s="371">
        <f t="shared" si="4"/>
        <v>24.854943997506595</v>
      </c>
      <c r="H97" s="223">
        <f t="shared" si="5"/>
        <v>0</v>
      </c>
      <c r="I97" s="42">
        <f t="shared" si="6"/>
        <v>0</v>
      </c>
      <c r="J97" s="29"/>
    </row>
    <row r="98" spans="1:10" x14ac:dyDescent="0.25">
      <c r="A98" s="38">
        <f>Données!A98</f>
        <v>5561</v>
      </c>
      <c r="B98" s="168" t="str">
        <f>Données!B98</f>
        <v>Grandson</v>
      </c>
      <c r="C98" s="348">
        <f>VPI!R98</f>
        <v>132376.08594202899</v>
      </c>
      <c r="D98" s="206">
        <f>Effort!I98-IF(PCS!I104&lt;0, Effort!D98, 0)</f>
        <v>18.662444607754104</v>
      </c>
      <c r="E98" s="505">
        <f>IF(PCS!I104&lt;0, 0, PCS!F104/Aide!C98)</f>
        <v>3.3368668657678966</v>
      </c>
      <c r="F98" s="505">
        <f>Effort!G98</f>
        <v>0</v>
      </c>
      <c r="G98" s="371">
        <f t="shared" si="4"/>
        <v>21.999311473521999</v>
      </c>
      <c r="H98" s="223">
        <f t="shared" si="5"/>
        <v>0</v>
      </c>
      <c r="I98" s="42">
        <f t="shared" si="6"/>
        <v>0</v>
      </c>
      <c r="J98" s="29"/>
    </row>
    <row r="99" spans="1:10" x14ac:dyDescent="0.25">
      <c r="A99" s="38">
        <f>Données!A99</f>
        <v>5562</v>
      </c>
      <c r="B99" s="168" t="str">
        <f>Données!B99</f>
        <v>Mauborget</v>
      </c>
      <c r="C99" s="348">
        <f>VPI!R99</f>
        <v>4559.8505476190467</v>
      </c>
      <c r="D99" s="206">
        <f>Effort!I99-IF(PCS!I105&lt;0, Effort!D99, 0)</f>
        <v>17.824245626918781</v>
      </c>
      <c r="E99" s="505">
        <f>IF(PCS!I105&lt;0, 0, PCS!F105/Aide!C99)</f>
        <v>0.88796769931729658</v>
      </c>
      <c r="F99" s="505">
        <f>Effort!G99</f>
        <v>0</v>
      </c>
      <c r="G99" s="371">
        <f t="shared" si="4"/>
        <v>18.712213326236078</v>
      </c>
      <c r="H99" s="223">
        <f t="shared" si="5"/>
        <v>0</v>
      </c>
      <c r="I99" s="42">
        <f t="shared" si="6"/>
        <v>0</v>
      </c>
      <c r="J99" s="29"/>
    </row>
    <row r="100" spans="1:10" x14ac:dyDescent="0.25">
      <c r="A100" s="38">
        <f>Données!A100</f>
        <v>5563</v>
      </c>
      <c r="B100" s="168" t="str">
        <f>Données!B100</f>
        <v>Mutrux</v>
      </c>
      <c r="C100" s="348">
        <f>VPI!R100</f>
        <v>2282.3142499999999</v>
      </c>
      <c r="D100" s="206">
        <f>Effort!I100-IF(PCS!I106&lt;0, Effort!D100, 0)</f>
        <v>-34.081055852357409</v>
      </c>
      <c r="E100" s="505">
        <f>IF(PCS!I106&lt;0, 0, PCS!F106/Aide!C100)</f>
        <v>13.51583157314993</v>
      </c>
      <c r="F100" s="505">
        <f>Effort!G100</f>
        <v>0</v>
      </c>
      <c r="G100" s="371">
        <f t="shared" si="4"/>
        <v>-20.565224279207477</v>
      </c>
      <c r="H100" s="223">
        <f t="shared" si="5"/>
        <v>-12.565224279207477</v>
      </c>
      <c r="I100" s="42">
        <f t="shared" si="6"/>
        <v>28677.790426881202</v>
      </c>
      <c r="J100" s="29"/>
    </row>
    <row r="101" spans="1:10" x14ac:dyDescent="0.25">
      <c r="A101" s="38">
        <f>Données!A101</f>
        <v>5564</v>
      </c>
      <c r="B101" s="168" t="str">
        <f>Données!B101</f>
        <v>Novalles</v>
      </c>
      <c r="C101" s="348">
        <f>VPI!R101</f>
        <v>2548.8725328947371</v>
      </c>
      <c r="D101" s="206">
        <f>Effort!I101-IF(PCS!I107&lt;0, Effort!D101, 0)</f>
        <v>5.4948920563042751</v>
      </c>
      <c r="E101" s="505">
        <f>IF(PCS!I107&lt;0, 0, PCS!F107/Aide!C101)</f>
        <v>0</v>
      </c>
      <c r="F101" s="505">
        <f>Effort!G101</f>
        <v>0</v>
      </c>
      <c r="G101" s="371">
        <f t="shared" si="4"/>
        <v>5.4948920563042751</v>
      </c>
      <c r="H101" s="223">
        <f t="shared" si="5"/>
        <v>0</v>
      </c>
      <c r="I101" s="42">
        <f t="shared" si="6"/>
        <v>0</v>
      </c>
      <c r="J101" s="29"/>
    </row>
    <row r="102" spans="1:10" x14ac:dyDescent="0.25">
      <c r="A102" s="38">
        <f>Données!A102</f>
        <v>5565</v>
      </c>
      <c r="B102" s="168" t="str">
        <f>Données!B102</f>
        <v>Onnens</v>
      </c>
      <c r="C102" s="348">
        <f>VPI!R102</f>
        <v>11658.700944881888</v>
      </c>
      <c r="D102" s="206">
        <f>Effort!I102-IF(PCS!I108&lt;0, Effort!D102, 0)</f>
        <v>8.2701316345334988</v>
      </c>
      <c r="E102" s="505">
        <f>IF(PCS!I108&lt;0, 0, PCS!F108/Aide!C102)</f>
        <v>3.3151274899942602</v>
      </c>
      <c r="F102" s="505">
        <f>Effort!G102</f>
        <v>0</v>
      </c>
      <c r="G102" s="371">
        <f t="shared" si="4"/>
        <v>11.585259124527759</v>
      </c>
      <c r="H102" s="223">
        <f t="shared" si="5"/>
        <v>0</v>
      </c>
      <c r="I102" s="42">
        <f t="shared" si="6"/>
        <v>0</v>
      </c>
      <c r="J102" s="29"/>
    </row>
    <row r="103" spans="1:10" x14ac:dyDescent="0.25">
      <c r="A103" s="38">
        <f>Données!A103</f>
        <v>5566</v>
      </c>
      <c r="B103" s="168" t="str">
        <f>Données!B103</f>
        <v>Provence</v>
      </c>
      <c r="C103" s="348">
        <f>VPI!R103</f>
        <v>8528.9197942386818</v>
      </c>
      <c r="D103" s="206">
        <f>Effort!I103-IF(PCS!I109&lt;0, Effort!D103, 0)</f>
        <v>-9.0393086727440703</v>
      </c>
      <c r="E103" s="505">
        <f>IF(PCS!I109&lt;0, 0, PCS!F109/Aide!C103)</f>
        <v>4.565198282941008</v>
      </c>
      <c r="F103" s="505">
        <f>Effort!G103</f>
        <v>0</v>
      </c>
      <c r="G103" s="371">
        <f t="shared" si="4"/>
        <v>-4.4741103898030623</v>
      </c>
      <c r="H103" s="223">
        <f t="shared" si="5"/>
        <v>0</v>
      </c>
      <c r="I103" s="42">
        <f t="shared" si="6"/>
        <v>0</v>
      </c>
      <c r="J103" s="29"/>
    </row>
    <row r="104" spans="1:10" x14ac:dyDescent="0.25">
      <c r="A104" s="38">
        <f>Données!A104</f>
        <v>5568</v>
      </c>
      <c r="B104" s="168" t="str">
        <f>Données!B104</f>
        <v>Sainte-Croix</v>
      </c>
      <c r="C104" s="348">
        <f>VPI!R104</f>
        <v>106004.96942857141</v>
      </c>
      <c r="D104" s="206">
        <f>Effort!I104-IF(PCS!I110&lt;0, Effort!D104, 0)</f>
        <v>-10.267283353857962</v>
      </c>
      <c r="E104" s="505">
        <f>IF(PCS!I110&lt;0, 0, PCS!F110/Aide!C104)</f>
        <v>10.159113585006514</v>
      </c>
      <c r="F104" s="505">
        <f>Effort!G104</f>
        <v>0</v>
      </c>
      <c r="G104" s="371">
        <f t="shared" si="4"/>
        <v>-0.10816976885144847</v>
      </c>
      <c r="H104" s="223">
        <f t="shared" si="5"/>
        <v>0</v>
      </c>
      <c r="I104" s="42">
        <f t="shared" si="6"/>
        <v>0</v>
      </c>
      <c r="J104" s="29"/>
    </row>
    <row r="105" spans="1:10" x14ac:dyDescent="0.25">
      <c r="A105" s="38">
        <f>Données!A105</f>
        <v>5571</v>
      </c>
      <c r="B105" s="168" t="str">
        <f>Données!B105</f>
        <v>Tévenon</v>
      </c>
      <c r="C105" s="348">
        <f>VPI!R105</f>
        <v>25907.008578088578</v>
      </c>
      <c r="D105" s="206">
        <f>Effort!I105-IF(PCS!I111&lt;0, Effort!D105, 0)</f>
        <v>13.846817246075416</v>
      </c>
      <c r="E105" s="505">
        <f>IF(PCS!I111&lt;0, 0, PCS!F111/Aide!C105)</f>
        <v>2.1905207553757258</v>
      </c>
      <c r="F105" s="505">
        <f>Effort!G105</f>
        <v>0</v>
      </c>
      <c r="G105" s="371">
        <f t="shared" si="4"/>
        <v>16.03733800145114</v>
      </c>
      <c r="H105" s="223">
        <f t="shared" si="5"/>
        <v>0</v>
      </c>
      <c r="I105" s="42">
        <f t="shared" si="6"/>
        <v>0</v>
      </c>
      <c r="J105" s="29"/>
    </row>
    <row r="106" spans="1:10" x14ac:dyDescent="0.25">
      <c r="A106" s="38">
        <f>Données!A106</f>
        <v>5581</v>
      </c>
      <c r="B106" s="168" t="str">
        <f>Données!B106</f>
        <v>Belmont-sur-Lausanne</v>
      </c>
      <c r="C106" s="348">
        <f>VPI!R106</f>
        <v>233711.86319444442</v>
      </c>
      <c r="D106" s="206">
        <f>Effort!I106-IF(PCS!I112&lt;0, Effort!D106, 0)</f>
        <v>28.633545875410462</v>
      </c>
      <c r="E106" s="505">
        <f>IF(PCS!I112&lt;0, 0, PCS!F112/Aide!C106)</f>
        <v>2.6505506675312214</v>
      </c>
      <c r="F106" s="505">
        <f>Effort!G106</f>
        <v>0</v>
      </c>
      <c r="G106" s="371">
        <f t="shared" si="4"/>
        <v>31.284096542941683</v>
      </c>
      <c r="H106" s="223">
        <f t="shared" si="5"/>
        <v>0</v>
      </c>
      <c r="I106" s="42">
        <f t="shared" si="6"/>
        <v>0</v>
      </c>
      <c r="J106" s="29"/>
    </row>
    <row r="107" spans="1:10" x14ac:dyDescent="0.25">
      <c r="A107" s="38">
        <f>Données!A107</f>
        <v>5582</v>
      </c>
      <c r="B107" s="168" t="str">
        <f>Données!B107</f>
        <v>Cheseaux-sur-Lausanne</v>
      </c>
      <c r="C107" s="348">
        <f>VPI!R107</f>
        <v>170428.79082191776</v>
      </c>
      <c r="D107" s="206">
        <f>Effort!I107-IF(PCS!I113&lt;0, Effort!D107, 0)</f>
        <v>15.128544909643505</v>
      </c>
      <c r="E107" s="505">
        <f>IF(PCS!I113&lt;0, 0, PCS!F113/Aide!C107)</f>
        <v>2.6166458310789644</v>
      </c>
      <c r="F107" s="505">
        <f>Effort!G107</f>
        <v>0</v>
      </c>
      <c r="G107" s="371">
        <f t="shared" si="4"/>
        <v>17.745190740722471</v>
      </c>
      <c r="H107" s="223">
        <f t="shared" si="5"/>
        <v>0</v>
      </c>
      <c r="I107" s="42">
        <f t="shared" si="6"/>
        <v>0</v>
      </c>
      <c r="J107" s="29"/>
    </row>
    <row r="108" spans="1:10" x14ac:dyDescent="0.25">
      <c r="A108" s="38">
        <f>Données!A108</f>
        <v>5583</v>
      </c>
      <c r="B108" s="168" t="str">
        <f>Données!B108</f>
        <v>Crissier</v>
      </c>
      <c r="C108" s="348">
        <f>VPI!R108</f>
        <v>340496.54456692917</v>
      </c>
      <c r="D108" s="206">
        <f>Effort!I108-IF(PCS!I114&lt;0, Effort!D108, 0)</f>
        <v>12.725812853471343</v>
      </c>
      <c r="E108" s="505">
        <f>IF(PCS!I114&lt;0, 0, PCS!F114/Aide!C108)</f>
        <v>6.4860848817392078</v>
      </c>
      <c r="F108" s="505">
        <f>Effort!G108</f>
        <v>0</v>
      </c>
      <c r="G108" s="371">
        <f t="shared" si="4"/>
        <v>19.211897735210549</v>
      </c>
      <c r="H108" s="223">
        <f t="shared" si="5"/>
        <v>0</v>
      </c>
      <c r="I108" s="42">
        <f t="shared" si="6"/>
        <v>0</v>
      </c>
      <c r="J108" s="29"/>
    </row>
    <row r="109" spans="1:10" x14ac:dyDescent="0.25">
      <c r="A109" s="38">
        <f>Données!A109</f>
        <v>5584</v>
      </c>
      <c r="B109" s="168" t="str">
        <f>Données!B109</f>
        <v>Epalinges</v>
      </c>
      <c r="C109" s="348">
        <f>VPI!R109</f>
        <v>489766.22341085278</v>
      </c>
      <c r="D109" s="206">
        <f>Effort!I109-IF(PCS!I115&lt;0, Effort!D109, 0)</f>
        <v>20.828959892320981</v>
      </c>
      <c r="E109" s="505">
        <f>IF(PCS!I115&lt;0, 0, PCS!F115/Aide!C109)</f>
        <v>5.0199483395929088</v>
      </c>
      <c r="F109" s="505">
        <f>Effort!G109</f>
        <v>0</v>
      </c>
      <c r="G109" s="371">
        <f t="shared" si="4"/>
        <v>25.848908231913889</v>
      </c>
      <c r="H109" s="223">
        <f t="shared" si="5"/>
        <v>0</v>
      </c>
      <c r="I109" s="42">
        <f t="shared" si="6"/>
        <v>0</v>
      </c>
      <c r="J109" s="29"/>
    </row>
    <row r="110" spans="1:10" x14ac:dyDescent="0.25">
      <c r="A110" s="38">
        <f>Données!A110</f>
        <v>5585</v>
      </c>
      <c r="B110" s="168" t="str">
        <f>Données!B110</f>
        <v>Jouxtens-Mézery</v>
      </c>
      <c r="C110" s="348">
        <f>VPI!R110</f>
        <v>252946.52254237281</v>
      </c>
      <c r="D110" s="206">
        <f>Effort!I110-IF(PCS!I116&lt;0, Effort!D110, 0)</f>
        <v>48.975851438225874</v>
      </c>
      <c r="E110" s="505">
        <f>IF(PCS!I116&lt;0, 0, PCS!F116/Aide!C110)</f>
        <v>1.4544094194391333</v>
      </c>
      <c r="F110" s="505">
        <f>Effort!G110</f>
        <v>0</v>
      </c>
      <c r="G110" s="371">
        <f t="shared" si="4"/>
        <v>50.430260857665004</v>
      </c>
      <c r="H110" s="223">
        <f t="shared" si="5"/>
        <v>0</v>
      </c>
      <c r="I110" s="42">
        <f t="shared" si="6"/>
        <v>0</v>
      </c>
      <c r="J110" s="29"/>
    </row>
    <row r="111" spans="1:10" x14ac:dyDescent="0.25">
      <c r="A111" s="38">
        <f>Données!A111</f>
        <v>5586</v>
      </c>
      <c r="B111" s="168" t="str">
        <f>Données!B111</f>
        <v>Lausanne</v>
      </c>
      <c r="C111" s="348">
        <f>VPI!R111</f>
        <v>6671451.3923142245</v>
      </c>
      <c r="D111" s="206">
        <f>Effort!I111-IF(PCS!I117&lt;0, Effort!D111, 0)</f>
        <v>8.0780273224269159</v>
      </c>
      <c r="E111" s="505">
        <f>IF(PCS!I117&lt;0, 0, PCS!F117/Aide!C111)</f>
        <v>3.4781035280766526</v>
      </c>
      <c r="F111" s="505">
        <f>Effort!G111</f>
        <v>0</v>
      </c>
      <c r="G111" s="371">
        <f t="shared" si="4"/>
        <v>11.556130850503568</v>
      </c>
      <c r="H111" s="223">
        <f t="shared" si="5"/>
        <v>0</v>
      </c>
      <c r="I111" s="42">
        <f t="shared" si="6"/>
        <v>0</v>
      </c>
      <c r="J111" s="29"/>
    </row>
    <row r="112" spans="1:10" x14ac:dyDescent="0.25">
      <c r="A112" s="38">
        <f>Données!A112</f>
        <v>5587</v>
      </c>
      <c r="B112" s="168" t="str">
        <f>Données!B112</f>
        <v>Le Mont-sur-Lausanne</v>
      </c>
      <c r="C112" s="348">
        <f>VPI!R112</f>
        <v>484050.33068027202</v>
      </c>
      <c r="D112" s="206">
        <f>Effort!I112-IF(PCS!I118&lt;0, Effort!D112, 0)</f>
        <v>22.318333215093986</v>
      </c>
      <c r="E112" s="505">
        <f>IF(PCS!I118&lt;0, 0, PCS!F118/Aide!C112)</f>
        <v>4.8506099287242828</v>
      </c>
      <c r="F112" s="505">
        <f>Effort!G112</f>
        <v>0</v>
      </c>
      <c r="G112" s="371">
        <f t="shared" si="4"/>
        <v>27.168943143818268</v>
      </c>
      <c r="H112" s="223">
        <f t="shared" si="5"/>
        <v>0</v>
      </c>
      <c r="I112" s="42">
        <f t="shared" si="6"/>
        <v>0</v>
      </c>
      <c r="J112" s="29"/>
    </row>
    <row r="113" spans="1:10" x14ac:dyDescent="0.25">
      <c r="A113" s="38">
        <f>Données!A113</f>
        <v>5588</v>
      </c>
      <c r="B113" s="168" t="str">
        <f>Données!B113</f>
        <v>Paudex</v>
      </c>
      <c r="C113" s="348">
        <f>VPI!R113</f>
        <v>137556.51114930178</v>
      </c>
      <c r="D113" s="206">
        <f>Effort!I113-IF(PCS!I119&lt;0, Effort!D113, 0)</f>
        <v>38.026937436068565</v>
      </c>
      <c r="E113" s="505">
        <f>IF(PCS!I119&lt;0, 0, PCS!F119/Aide!C113)</f>
        <v>2.137278363224119</v>
      </c>
      <c r="F113" s="505">
        <f>Effort!G113</f>
        <v>0</v>
      </c>
      <c r="G113" s="371">
        <f t="shared" si="4"/>
        <v>40.164215799292684</v>
      </c>
      <c r="H113" s="223">
        <f t="shared" si="5"/>
        <v>0</v>
      </c>
      <c r="I113" s="42">
        <f t="shared" si="6"/>
        <v>0</v>
      </c>
      <c r="J113" s="29"/>
    </row>
    <row r="114" spans="1:10" x14ac:dyDescent="0.25">
      <c r="A114" s="38">
        <f>Données!A114</f>
        <v>5589</v>
      </c>
      <c r="B114" s="168" t="str">
        <f>Données!B114</f>
        <v>Prilly</v>
      </c>
      <c r="C114" s="348">
        <f>VPI!R114</f>
        <v>404219.10002122016</v>
      </c>
      <c r="D114" s="206">
        <f>Effort!I114-IF(PCS!I120&lt;0, Effort!D114, 0)</f>
        <v>2.7146749020883689</v>
      </c>
      <c r="E114" s="505">
        <f>IF(PCS!I120&lt;0, 0, PCS!F120/Aide!C114)</f>
        <v>4.3156846989873081</v>
      </c>
      <c r="F114" s="505">
        <f>Effort!G114</f>
        <v>0</v>
      </c>
      <c r="G114" s="371">
        <f t="shared" si="4"/>
        <v>7.030359601075677</v>
      </c>
      <c r="H114" s="223">
        <f t="shared" si="5"/>
        <v>0</v>
      </c>
      <c r="I114" s="42">
        <f t="shared" si="6"/>
        <v>0</v>
      </c>
      <c r="J114" s="29"/>
    </row>
    <row r="115" spans="1:10" x14ac:dyDescent="0.25">
      <c r="A115" s="38">
        <f>Données!A115</f>
        <v>5590</v>
      </c>
      <c r="B115" s="168" t="str">
        <f>Données!B115</f>
        <v>Pully</v>
      </c>
      <c r="C115" s="348">
        <f>VPI!R115</f>
        <v>1396472.1616393442</v>
      </c>
      <c r="D115" s="206">
        <f>Effort!I115-IF(PCS!I121&lt;0, Effort!D115, 0)</f>
        <v>26.005907697486876</v>
      </c>
      <c r="E115" s="505">
        <f>IF(PCS!I121&lt;0, 0, PCS!F121/Aide!C115)</f>
        <v>3.1831512199868848</v>
      </c>
      <c r="F115" s="505">
        <f>Effort!G115</f>
        <v>0</v>
      </c>
      <c r="G115" s="371">
        <f t="shared" si="4"/>
        <v>29.189058917473762</v>
      </c>
      <c r="H115" s="223">
        <f t="shared" si="5"/>
        <v>0</v>
      </c>
      <c r="I115" s="42">
        <f t="shared" si="6"/>
        <v>0</v>
      </c>
      <c r="J115" s="29"/>
    </row>
    <row r="116" spans="1:10" x14ac:dyDescent="0.25">
      <c r="A116" s="38">
        <f>Données!A116</f>
        <v>5591</v>
      </c>
      <c r="B116" s="168" t="str">
        <f>Données!B116</f>
        <v>Renens</v>
      </c>
      <c r="C116" s="348">
        <f>VPI!R116</f>
        <v>592907.73419294995</v>
      </c>
      <c r="D116" s="206">
        <f>Effort!I116-IF(PCS!I122&lt;0, Effort!D116, 0)</f>
        <v>-14.571333423644894</v>
      </c>
      <c r="E116" s="505">
        <f>IF(PCS!I122&lt;0, 0, PCS!F122/Aide!C116)</f>
        <v>4.9722547961241537</v>
      </c>
      <c r="F116" s="505">
        <f>Effort!G116</f>
        <v>0</v>
      </c>
      <c r="G116" s="371">
        <f t="shared" si="4"/>
        <v>-9.5990786275207398</v>
      </c>
      <c r="H116" s="223">
        <f t="shared" si="5"/>
        <v>-1.5990786275207398</v>
      </c>
      <c r="I116" s="42">
        <f t="shared" si="6"/>
        <v>948106.08583969402</v>
      </c>
      <c r="J116" s="29"/>
    </row>
    <row r="117" spans="1:10" x14ac:dyDescent="0.25">
      <c r="A117" s="38">
        <f>Données!A117</f>
        <v>5592</v>
      </c>
      <c r="B117" s="168" t="str">
        <f>Données!B117</f>
        <v>Romanel-sur-Lausanne</v>
      </c>
      <c r="C117" s="348">
        <f>VPI!R117</f>
        <v>113604.64354609928</v>
      </c>
      <c r="D117" s="206">
        <f>Effort!I117-IF(PCS!I123&lt;0, Effort!D117, 0)</f>
        <v>7.4550353180543301</v>
      </c>
      <c r="E117" s="505">
        <f>IF(PCS!I123&lt;0, 0, PCS!F123/Aide!C117)</f>
        <v>6.901150521033605</v>
      </c>
      <c r="F117" s="505">
        <f>Effort!G117</f>
        <v>0</v>
      </c>
      <c r="G117" s="371">
        <f t="shared" si="4"/>
        <v>14.356185839087935</v>
      </c>
      <c r="H117" s="223">
        <f t="shared" si="5"/>
        <v>0</v>
      </c>
      <c r="I117" s="42">
        <f t="shared" si="6"/>
        <v>0</v>
      </c>
      <c r="J117" s="29"/>
    </row>
    <row r="118" spans="1:10" x14ac:dyDescent="0.25">
      <c r="A118" s="38">
        <f>Données!A118</f>
        <v>5601</v>
      </c>
      <c r="B118" s="168" t="str">
        <f>Données!B118</f>
        <v>Chexbres</v>
      </c>
      <c r="C118" s="348">
        <f>VPI!R118</f>
        <v>106015.29511111112</v>
      </c>
      <c r="D118" s="206">
        <f>Effort!I118-IF(PCS!I124&lt;0, Effort!D118, 0)</f>
        <v>25.372215594908031</v>
      </c>
      <c r="E118" s="505">
        <f>IF(PCS!I124&lt;0, 0, PCS!F124/Aide!C118)</f>
        <v>4.3364678136128401</v>
      </c>
      <c r="F118" s="505">
        <f>Effort!G118</f>
        <v>0</v>
      </c>
      <c r="G118" s="371">
        <f t="shared" si="4"/>
        <v>29.708683408520869</v>
      </c>
      <c r="H118" s="223">
        <f t="shared" si="5"/>
        <v>0</v>
      </c>
      <c r="I118" s="42">
        <f t="shared" si="6"/>
        <v>0</v>
      </c>
      <c r="J118" s="29"/>
    </row>
    <row r="119" spans="1:10" x14ac:dyDescent="0.25">
      <c r="A119" s="38">
        <f>Données!A119</f>
        <v>5604</v>
      </c>
      <c r="B119" s="168" t="str">
        <f>Données!B119</f>
        <v>Forel (Lavaux)</v>
      </c>
      <c r="C119" s="348">
        <f>VPI!R119</f>
        <v>70961.315942029003</v>
      </c>
      <c r="D119" s="206">
        <f>Effort!I119-IF(PCS!I125&lt;0, Effort!D119, 0)</f>
        <v>15.712028916628466</v>
      </c>
      <c r="E119" s="505">
        <f>IF(PCS!I125&lt;0, 0, PCS!F125/Aide!C119)</f>
        <v>3.2189069772409975</v>
      </c>
      <c r="F119" s="505">
        <f>Effort!G119</f>
        <v>0</v>
      </c>
      <c r="G119" s="371">
        <f t="shared" si="4"/>
        <v>18.930935893869464</v>
      </c>
      <c r="H119" s="223">
        <f t="shared" si="5"/>
        <v>0</v>
      </c>
      <c r="I119" s="42">
        <f t="shared" si="6"/>
        <v>0</v>
      </c>
      <c r="J119" s="29"/>
    </row>
    <row r="120" spans="1:10" x14ac:dyDescent="0.25">
      <c r="A120" s="38">
        <f>Données!A120</f>
        <v>5606</v>
      </c>
      <c r="B120" s="168" t="str">
        <f>Données!B120</f>
        <v>Lutry</v>
      </c>
      <c r="C120" s="348">
        <f>VPI!R120</f>
        <v>1212171.2253174603</v>
      </c>
      <c r="D120" s="206">
        <f>Effort!I120-IF(PCS!I126&lt;0, Effort!D120, 0)</f>
        <v>37.51834566673017</v>
      </c>
      <c r="E120" s="505">
        <f>IF(PCS!I126&lt;0, 0, PCS!F126/Aide!C120)</f>
        <v>2.6603658564452726</v>
      </c>
      <c r="F120" s="505">
        <f>Effort!G120</f>
        <v>0</v>
      </c>
      <c r="G120" s="371">
        <f t="shared" si="4"/>
        <v>40.178711523175444</v>
      </c>
      <c r="H120" s="223">
        <f t="shared" si="5"/>
        <v>0</v>
      </c>
      <c r="I120" s="42">
        <f t="shared" si="6"/>
        <v>0</v>
      </c>
      <c r="J120" s="29"/>
    </row>
    <row r="121" spans="1:10" x14ac:dyDescent="0.25">
      <c r="A121" s="38">
        <f>Données!A121</f>
        <v>5607</v>
      </c>
      <c r="B121" s="168" t="str">
        <f>Données!B121</f>
        <v>Puidoux</v>
      </c>
      <c r="C121" s="348">
        <f>VPI!R121</f>
        <v>117496.04099650904</v>
      </c>
      <c r="D121" s="206">
        <f>Effort!I121-IF(PCS!I127&lt;0, Effort!D121, 0)</f>
        <v>19.231591388703315</v>
      </c>
      <c r="E121" s="505">
        <f>IF(PCS!I127&lt;0, 0, PCS!F127/Aide!C121)</f>
        <v>5.7616186831360006</v>
      </c>
      <c r="F121" s="505">
        <f>Effort!G121</f>
        <v>0</v>
      </c>
      <c r="G121" s="371">
        <f t="shared" si="4"/>
        <v>24.993210071839314</v>
      </c>
      <c r="H121" s="223">
        <f t="shared" si="5"/>
        <v>0</v>
      </c>
      <c r="I121" s="42">
        <f t="shared" si="6"/>
        <v>0</v>
      </c>
      <c r="J121" s="29"/>
    </row>
    <row r="122" spans="1:10" x14ac:dyDescent="0.25">
      <c r="A122" s="38">
        <f>Données!A122</f>
        <v>5609</v>
      </c>
      <c r="B122" s="168" t="str">
        <f>Données!B122</f>
        <v>Rivaz</v>
      </c>
      <c r="C122" s="348">
        <f>VPI!R122</f>
        <v>14930.201612903227</v>
      </c>
      <c r="D122" s="206">
        <f>Effort!I122-IF(PCS!I128&lt;0, Effort!D122, 0)</f>
        <v>26.801187264436212</v>
      </c>
      <c r="E122" s="505">
        <f>IF(PCS!I128&lt;0, 0, PCS!F128/Aide!C122)</f>
        <v>4.7278112399363694</v>
      </c>
      <c r="F122" s="505">
        <f>Effort!G122</f>
        <v>0</v>
      </c>
      <c r="G122" s="371">
        <f t="shared" si="4"/>
        <v>31.528998504372581</v>
      </c>
      <c r="H122" s="223">
        <f t="shared" si="5"/>
        <v>0</v>
      </c>
      <c r="I122" s="42">
        <f t="shared" si="6"/>
        <v>0</v>
      </c>
      <c r="J122" s="29"/>
    </row>
    <row r="123" spans="1:10" x14ac:dyDescent="0.25">
      <c r="A123" s="38">
        <f>Données!A123</f>
        <v>5610</v>
      </c>
      <c r="B123" s="168" t="str">
        <f>Données!B123</f>
        <v>St-Saphorin (Lavaux)</v>
      </c>
      <c r="C123" s="348">
        <f>VPI!R123</f>
        <v>21326.679629629627</v>
      </c>
      <c r="D123" s="206">
        <f>Effort!I123-IF(PCS!I129&lt;0, Effort!D123, 0)</f>
        <v>29.675350686509709</v>
      </c>
      <c r="E123" s="505">
        <f>IF(PCS!I129&lt;0, 0, PCS!F129/Aide!C123)</f>
        <v>1.7586270179579451</v>
      </c>
      <c r="F123" s="505">
        <f>Effort!G123</f>
        <v>0</v>
      </c>
      <c r="G123" s="371">
        <f t="shared" si="4"/>
        <v>31.433977704467654</v>
      </c>
      <c r="H123" s="223">
        <f t="shared" si="5"/>
        <v>0</v>
      </c>
      <c r="I123" s="42">
        <f t="shared" si="6"/>
        <v>0</v>
      </c>
      <c r="J123" s="29"/>
    </row>
    <row r="124" spans="1:10" x14ac:dyDescent="0.25">
      <c r="A124" s="38">
        <f>Données!A124</f>
        <v>5611</v>
      </c>
      <c r="B124" s="168" t="str">
        <f>Données!B124</f>
        <v>Savigny</v>
      </c>
      <c r="C124" s="348">
        <f>VPI!R124</f>
        <v>139629.67036231884</v>
      </c>
      <c r="D124" s="206">
        <f>Effort!I124-IF(PCS!I130&lt;0, Effort!D124, 0)</f>
        <v>19.645941046654343</v>
      </c>
      <c r="E124" s="505">
        <f>IF(PCS!I130&lt;0, 0, PCS!F130/Aide!C124)</f>
        <v>3.2679427575526234</v>
      </c>
      <c r="F124" s="505">
        <f>Effort!G124</f>
        <v>0</v>
      </c>
      <c r="G124" s="371">
        <f t="shared" si="4"/>
        <v>22.913883804206968</v>
      </c>
      <c r="H124" s="223">
        <f t="shared" si="5"/>
        <v>0</v>
      </c>
      <c r="I124" s="42">
        <f t="shared" si="6"/>
        <v>0</v>
      </c>
      <c r="J124" s="29"/>
    </row>
    <row r="125" spans="1:10" x14ac:dyDescent="0.25">
      <c r="A125" s="38">
        <f>Données!A125</f>
        <v>5613</v>
      </c>
      <c r="B125" s="168" t="str">
        <f>Données!B125</f>
        <v>Bourg-en-Lavaux</v>
      </c>
      <c r="C125" s="348">
        <f>VPI!R125</f>
        <v>367206.35685333336</v>
      </c>
      <c r="D125" s="206">
        <f>Effort!I125-IF(PCS!I131&lt;0, Effort!D125, 0)</f>
        <v>29.580220489943905</v>
      </c>
      <c r="E125" s="505">
        <f>IF(PCS!I131&lt;0, 0, PCS!F131/Aide!C125)</f>
        <v>4.7413587006485267</v>
      </c>
      <c r="F125" s="505">
        <f>Effort!G125</f>
        <v>0</v>
      </c>
      <c r="G125" s="371">
        <f t="shared" si="4"/>
        <v>34.321579190592431</v>
      </c>
      <c r="H125" s="223">
        <f t="shared" si="5"/>
        <v>0</v>
      </c>
      <c r="I125" s="42">
        <f t="shared" si="6"/>
        <v>0</v>
      </c>
      <c r="J125" s="29"/>
    </row>
    <row r="126" spans="1:10" x14ac:dyDescent="0.25">
      <c r="A126" s="38">
        <f>Données!A126</f>
        <v>5621</v>
      </c>
      <c r="B126" s="168" t="str">
        <f>Données!B126</f>
        <v>Aclens</v>
      </c>
      <c r="C126" s="348">
        <f>VPI!R126</f>
        <v>39203.094076246336</v>
      </c>
      <c r="D126" s="206">
        <f>Effort!I126-IF(PCS!I132&lt;0, Effort!D126, 0)</f>
        <v>33.967849091307819</v>
      </c>
      <c r="E126" s="505">
        <f>IF(PCS!I132&lt;0, 0, PCS!F132/Aide!C126)</f>
        <v>4.3616984584797436</v>
      </c>
      <c r="F126" s="505">
        <f>Effort!G126</f>
        <v>0</v>
      </c>
      <c r="G126" s="371">
        <f t="shared" si="4"/>
        <v>38.329547549787563</v>
      </c>
      <c r="H126" s="223">
        <f t="shared" si="5"/>
        <v>0</v>
      </c>
      <c r="I126" s="42">
        <f t="shared" si="6"/>
        <v>0</v>
      </c>
      <c r="J126" s="29"/>
    </row>
    <row r="127" spans="1:10" x14ac:dyDescent="0.25">
      <c r="A127" s="38">
        <f>Données!A127</f>
        <v>5622</v>
      </c>
      <c r="B127" s="168" t="str">
        <f>Données!B127</f>
        <v>Bremblens</v>
      </c>
      <c r="C127" s="348">
        <f>VPI!R127</f>
        <v>30852.761617647058</v>
      </c>
      <c r="D127" s="206">
        <f>Effort!I127-IF(PCS!I133&lt;0, Effort!D127, 0)</f>
        <v>29.032907021046817</v>
      </c>
      <c r="E127" s="505">
        <f>IF(PCS!I133&lt;0, 0, PCS!F133/Aide!C127)</f>
        <v>5.1199591776461206</v>
      </c>
      <c r="F127" s="505">
        <f>Effort!G127</f>
        <v>0</v>
      </c>
      <c r="G127" s="371">
        <f t="shared" si="4"/>
        <v>34.152866198692941</v>
      </c>
      <c r="H127" s="223">
        <f t="shared" si="5"/>
        <v>0</v>
      </c>
      <c r="I127" s="42">
        <f t="shared" si="6"/>
        <v>0</v>
      </c>
      <c r="J127" s="29"/>
    </row>
    <row r="128" spans="1:10" x14ac:dyDescent="0.25">
      <c r="A128" s="38">
        <f>Données!A128</f>
        <v>5623</v>
      </c>
      <c r="B128" s="168" t="str">
        <f>Données!B128</f>
        <v>Buchillon</v>
      </c>
      <c r="C128" s="348">
        <f>VPI!R128</f>
        <v>88403.083461538452</v>
      </c>
      <c r="D128" s="206">
        <f>Effort!I128-IF(PCS!I134&lt;0, Effort!D128, 0)</f>
        <v>43.087288523462561</v>
      </c>
      <c r="E128" s="505">
        <f>IF(PCS!I134&lt;0, 0, PCS!F134/Aide!C128)</f>
        <v>1.0250027651967952</v>
      </c>
      <c r="F128" s="505">
        <f>Effort!G128</f>
        <v>0</v>
      </c>
      <c r="G128" s="371">
        <f t="shared" si="4"/>
        <v>44.112291288659357</v>
      </c>
      <c r="H128" s="223">
        <f t="shared" si="5"/>
        <v>0</v>
      </c>
      <c r="I128" s="42">
        <f t="shared" si="6"/>
        <v>0</v>
      </c>
      <c r="J128" s="29"/>
    </row>
    <row r="129" spans="1:10" x14ac:dyDescent="0.25">
      <c r="A129" s="38">
        <f>Données!A129</f>
        <v>5624</v>
      </c>
      <c r="B129" s="168" t="str">
        <f>Données!B129</f>
        <v>Bussigny</v>
      </c>
      <c r="C129" s="348">
        <f>VPI!R129</f>
        <v>522747.79375999991</v>
      </c>
      <c r="D129" s="206">
        <f>Effort!I129-IF(PCS!I135&lt;0, Effort!D129, 0)</f>
        <v>20.625704091365968</v>
      </c>
      <c r="E129" s="505">
        <f>IF(PCS!I135&lt;0, 0, PCS!F135/Aide!C129)</f>
        <v>3.48420896604723</v>
      </c>
      <c r="F129" s="505">
        <f>Effort!G129</f>
        <v>0</v>
      </c>
      <c r="G129" s="371">
        <f t="shared" si="4"/>
        <v>24.109913057413198</v>
      </c>
      <c r="H129" s="223">
        <f t="shared" si="5"/>
        <v>0</v>
      </c>
      <c r="I129" s="42">
        <f t="shared" si="6"/>
        <v>0</v>
      </c>
      <c r="J129" s="29"/>
    </row>
    <row r="130" spans="1:10" x14ac:dyDescent="0.25">
      <c r="A130" s="38">
        <f>Données!A130</f>
        <v>5627</v>
      </c>
      <c r="B130" s="168" t="str">
        <f>Données!B130</f>
        <v>Chavannes-près-Renens</v>
      </c>
      <c r="C130" s="348">
        <f>VPI!R130</f>
        <v>188690.75535483871</v>
      </c>
      <c r="D130" s="206">
        <f>Effort!I130-IF(PCS!I136&lt;0, Effort!D130, 0)</f>
        <v>-21.20334529688229</v>
      </c>
      <c r="E130" s="505">
        <f>IF(PCS!I136&lt;0, 0, PCS!F136/Aide!C130)</f>
        <v>5.2595362085106556</v>
      </c>
      <c r="F130" s="505">
        <f>Effort!G130</f>
        <v>0</v>
      </c>
      <c r="G130" s="371">
        <f t="shared" si="4"/>
        <v>-15.943809088371633</v>
      </c>
      <c r="H130" s="223">
        <f t="shared" si="5"/>
        <v>-7.9438090883716335</v>
      </c>
      <c r="I130" s="42">
        <f t="shared" si="6"/>
        <v>1498923.3372794762</v>
      </c>
      <c r="J130" s="29"/>
    </row>
    <row r="131" spans="1:10" x14ac:dyDescent="0.25">
      <c r="A131" s="38">
        <f>Données!A131</f>
        <v>5628</v>
      </c>
      <c r="B131" s="168" t="str">
        <f>Données!B131</f>
        <v>Chigny</v>
      </c>
      <c r="C131" s="348">
        <f>VPI!R131</f>
        <v>27627.379193548386</v>
      </c>
      <c r="D131" s="206">
        <f>Effort!I131-IF(PCS!I137&lt;0, Effort!D131, 0)</f>
        <v>32.923468355568055</v>
      </c>
      <c r="E131" s="505">
        <f>IF(PCS!I137&lt;0, 0, PCS!F137/Aide!C131)</f>
        <v>3.5785077298641177</v>
      </c>
      <c r="F131" s="505">
        <f>Effort!G131</f>
        <v>0</v>
      </c>
      <c r="G131" s="371">
        <f t="shared" si="4"/>
        <v>36.501976085432176</v>
      </c>
      <c r="H131" s="223">
        <f t="shared" si="5"/>
        <v>0</v>
      </c>
      <c r="I131" s="42">
        <f t="shared" si="6"/>
        <v>0</v>
      </c>
      <c r="J131" s="29"/>
    </row>
    <row r="132" spans="1:10" x14ac:dyDescent="0.25">
      <c r="A132" s="38">
        <f>Données!A132</f>
        <v>5629</v>
      </c>
      <c r="B132" s="168" t="str">
        <f>Données!B132</f>
        <v>Clarmont</v>
      </c>
      <c r="C132" s="348">
        <f>VPI!R132</f>
        <v>9964.7430555555547</v>
      </c>
      <c r="D132" s="206">
        <f>Effort!I132-IF(PCS!I138&lt;0, Effort!D132, 0)</f>
        <v>26.795189350385485</v>
      </c>
      <c r="E132" s="505">
        <f>IF(PCS!I138&lt;0, 0, PCS!F138/Aide!C132)</f>
        <v>1.6122583302379292</v>
      </c>
      <c r="F132" s="505">
        <f>Effort!G132</f>
        <v>0</v>
      </c>
      <c r="G132" s="371">
        <f t="shared" si="4"/>
        <v>28.407447680623413</v>
      </c>
      <c r="H132" s="223">
        <f t="shared" si="5"/>
        <v>0</v>
      </c>
      <c r="I132" s="42">
        <f t="shared" si="6"/>
        <v>0</v>
      </c>
      <c r="J132" s="29"/>
    </row>
    <row r="133" spans="1:10" x14ac:dyDescent="0.25">
      <c r="A133" s="38">
        <f>Données!A133</f>
        <v>5631</v>
      </c>
      <c r="B133" s="168" t="str">
        <f>Données!B133</f>
        <v>Denens</v>
      </c>
      <c r="C133" s="348">
        <f>VPI!R133</f>
        <v>41694.310588235297</v>
      </c>
      <c r="D133" s="206">
        <f>Effort!I133-IF(PCS!I139&lt;0, Effort!D133, 0)</f>
        <v>30.938982938196098</v>
      </c>
      <c r="E133" s="505">
        <f>IF(PCS!I139&lt;0, 0, PCS!F139/Aide!C133)</f>
        <v>3.3503495567909902</v>
      </c>
      <c r="F133" s="505">
        <f>Effort!G133</f>
        <v>0</v>
      </c>
      <c r="G133" s="371">
        <f t="shared" si="4"/>
        <v>34.289332494987086</v>
      </c>
      <c r="H133" s="223">
        <f t="shared" si="5"/>
        <v>0</v>
      </c>
      <c r="I133" s="42">
        <f t="shared" si="6"/>
        <v>0</v>
      </c>
      <c r="J133" s="29"/>
    </row>
    <row r="134" spans="1:10" x14ac:dyDescent="0.25">
      <c r="A134" s="38">
        <f>Données!A134</f>
        <v>5632</v>
      </c>
      <c r="B134" s="168" t="str">
        <f>Données!B134</f>
        <v>Denges</v>
      </c>
      <c r="C134" s="348">
        <f>VPI!R134</f>
        <v>81642.531612903229</v>
      </c>
      <c r="D134" s="206">
        <f>Effort!I134-IF(PCS!I140&lt;0, Effort!D134, 0)</f>
        <v>25.0023746488</v>
      </c>
      <c r="E134" s="505">
        <f>IF(PCS!I140&lt;0, 0, PCS!F140/Aide!C134)</f>
        <v>4.1572393493290223</v>
      </c>
      <c r="F134" s="505">
        <f>Effort!G134</f>
        <v>0</v>
      </c>
      <c r="G134" s="371">
        <f t="shared" si="4"/>
        <v>29.159613998129021</v>
      </c>
      <c r="H134" s="223">
        <f t="shared" si="5"/>
        <v>0</v>
      </c>
      <c r="I134" s="42">
        <f t="shared" si="6"/>
        <v>0</v>
      </c>
      <c r="J134" s="29"/>
    </row>
    <row r="135" spans="1:10" x14ac:dyDescent="0.25">
      <c r="A135" s="38">
        <f>Données!A135</f>
        <v>5633</v>
      </c>
      <c r="B135" s="168" t="str">
        <f>Données!B135</f>
        <v>Echandens</v>
      </c>
      <c r="C135" s="348">
        <f>VPI!R135</f>
        <v>149835.3479338843</v>
      </c>
      <c r="D135" s="206">
        <f>Effort!I135-IF(PCS!I141&lt;0, Effort!D135, 0)</f>
        <v>26.226300553395212</v>
      </c>
      <c r="E135" s="505">
        <f>IF(PCS!I141&lt;0, 0, PCS!F141/Aide!C135)</f>
        <v>3.7071735919424191</v>
      </c>
      <c r="F135" s="505">
        <f>Effort!G135</f>
        <v>0</v>
      </c>
      <c r="G135" s="371">
        <f t="shared" ref="G135:G198" si="7">D135+E135-F135</f>
        <v>29.93347414533763</v>
      </c>
      <c r="H135" s="223">
        <f t="shared" ref="H135:H198" si="8">IF(G135&lt;H$5,G135-H$5,0)</f>
        <v>0</v>
      </c>
      <c r="I135" s="42">
        <f t="shared" ref="I135:I198" si="9">-H135*C135</f>
        <v>0</v>
      </c>
      <c r="J135" s="29"/>
    </row>
    <row r="136" spans="1:10" x14ac:dyDescent="0.25">
      <c r="A136" s="38">
        <f>Données!A136</f>
        <v>5634</v>
      </c>
      <c r="B136" s="168" t="str">
        <f>Données!B136</f>
        <v>Echichens</v>
      </c>
      <c r="C136" s="348">
        <f>VPI!R136</f>
        <v>183137.63424242428</v>
      </c>
      <c r="D136" s="206">
        <f>Effort!I136-IF(PCS!I142&lt;0, Effort!D136, 0)</f>
        <v>27.581488107986644</v>
      </c>
      <c r="E136" s="505">
        <f>IF(PCS!I142&lt;0, 0, PCS!F142/Aide!C136)</f>
        <v>5.0276587540776765</v>
      </c>
      <c r="F136" s="505">
        <f>Effort!G136</f>
        <v>0</v>
      </c>
      <c r="G136" s="371">
        <f t="shared" si="7"/>
        <v>32.609146862064321</v>
      </c>
      <c r="H136" s="223">
        <f t="shared" si="8"/>
        <v>0</v>
      </c>
      <c r="I136" s="42">
        <f t="shared" si="9"/>
        <v>0</v>
      </c>
      <c r="J136" s="29"/>
    </row>
    <row r="137" spans="1:10" x14ac:dyDescent="0.25">
      <c r="A137" s="38">
        <f>Données!A137</f>
        <v>5635</v>
      </c>
      <c r="B137" s="168" t="str">
        <f>Données!B137</f>
        <v>Ecublens</v>
      </c>
      <c r="C137" s="348">
        <f>VPI!R137</f>
        <v>516165.47293333331</v>
      </c>
      <c r="D137" s="206">
        <f>Effort!I137-IF(PCS!I143&lt;0, Effort!D137, 0)</f>
        <v>11.380894030733034</v>
      </c>
      <c r="E137" s="505">
        <f>IF(PCS!I143&lt;0, 0, PCS!F143/Aide!C137)</f>
        <v>4.4314729673819766</v>
      </c>
      <c r="F137" s="505">
        <f>Effort!G137</f>
        <v>0</v>
      </c>
      <c r="G137" s="371">
        <f t="shared" si="7"/>
        <v>15.81236699811501</v>
      </c>
      <c r="H137" s="223">
        <f t="shared" si="8"/>
        <v>0</v>
      </c>
      <c r="I137" s="42">
        <f t="shared" si="9"/>
        <v>0</v>
      </c>
      <c r="J137" s="29"/>
    </row>
    <row r="138" spans="1:10" x14ac:dyDescent="0.25">
      <c r="A138" s="38">
        <f>Données!A138</f>
        <v>5636</v>
      </c>
      <c r="B138" s="168" t="str">
        <f>Données!B138</f>
        <v>Etoy</v>
      </c>
      <c r="C138" s="348">
        <f>VPI!R138</f>
        <v>189458.35050000003</v>
      </c>
      <c r="D138" s="206">
        <f>Effort!I138-IF(PCS!I144&lt;0, Effort!D138, 0)</f>
        <v>30.036133936184537</v>
      </c>
      <c r="E138" s="505">
        <f>IF(PCS!I144&lt;0, 0, PCS!F144/Aide!C138)</f>
        <v>4.8801576576589047</v>
      </c>
      <c r="F138" s="505">
        <f>Effort!G138</f>
        <v>0</v>
      </c>
      <c r="G138" s="371">
        <f t="shared" si="7"/>
        <v>34.91629159384344</v>
      </c>
      <c r="H138" s="223">
        <f t="shared" si="8"/>
        <v>0</v>
      </c>
      <c r="I138" s="42">
        <f t="shared" si="9"/>
        <v>0</v>
      </c>
      <c r="J138" s="29"/>
    </row>
    <row r="139" spans="1:10" x14ac:dyDescent="0.25">
      <c r="A139" s="38">
        <f>Données!A139</f>
        <v>5637</v>
      </c>
      <c r="B139" s="168" t="str">
        <f>Données!B139</f>
        <v>Lavigny</v>
      </c>
      <c r="C139" s="348">
        <f>VPI!R139</f>
        <v>36293.809863013703</v>
      </c>
      <c r="D139" s="206">
        <f>Effort!I139-IF(PCS!I145&lt;0, Effort!D139, 0)</f>
        <v>18.713784907059857</v>
      </c>
      <c r="E139" s="505">
        <f>IF(PCS!I145&lt;0, 0, PCS!F145/Aide!C139)</f>
        <v>5.3163808299065689</v>
      </c>
      <c r="F139" s="505">
        <f>Effort!G139</f>
        <v>0</v>
      </c>
      <c r="G139" s="371">
        <f t="shared" si="7"/>
        <v>24.030165736966424</v>
      </c>
      <c r="H139" s="223">
        <f t="shared" si="8"/>
        <v>0</v>
      </c>
      <c r="I139" s="42">
        <f t="shared" si="9"/>
        <v>0</v>
      </c>
      <c r="J139" s="29"/>
    </row>
    <row r="140" spans="1:10" x14ac:dyDescent="0.25">
      <c r="A140" s="38">
        <f>Données!A140</f>
        <v>5638</v>
      </c>
      <c r="B140" s="168" t="str">
        <f>Données!B140</f>
        <v>Lonay</v>
      </c>
      <c r="C140" s="348">
        <f>VPI!R140</f>
        <v>153893.84090909091</v>
      </c>
      <c r="D140" s="206">
        <f>Effort!I140-IF(PCS!I146&lt;0, Effort!D140, 0)</f>
        <v>27.811857913321074</v>
      </c>
      <c r="E140" s="505">
        <f>IF(PCS!I146&lt;0, 0, PCS!F146/Aide!C140)</f>
        <v>20.451913386574482</v>
      </c>
      <c r="F140" s="505">
        <f>Effort!G140</f>
        <v>0</v>
      </c>
      <c r="G140" s="371">
        <f t="shared" si="7"/>
        <v>48.263771299895552</v>
      </c>
      <c r="H140" s="223">
        <f t="shared" si="8"/>
        <v>0</v>
      </c>
      <c r="I140" s="42">
        <f t="shared" si="9"/>
        <v>0</v>
      </c>
      <c r="J140" s="29"/>
    </row>
    <row r="141" spans="1:10" x14ac:dyDescent="0.25">
      <c r="A141" s="38">
        <f>Données!A141</f>
        <v>5639</v>
      </c>
      <c r="B141" s="168" t="str">
        <f>Données!B141</f>
        <v>Lully</v>
      </c>
      <c r="C141" s="348">
        <f>VPI!R141</f>
        <v>52242.173114754092</v>
      </c>
      <c r="D141" s="206">
        <f>Effort!I141-IF(PCS!I147&lt;0, Effort!D141, 0)</f>
        <v>32.14501632642871</v>
      </c>
      <c r="E141" s="505">
        <f>IF(PCS!I147&lt;0, 0, PCS!F147/Aide!C141)</f>
        <v>2.2399654919207665</v>
      </c>
      <c r="F141" s="505">
        <f>Effort!G141</f>
        <v>0</v>
      </c>
      <c r="G141" s="371">
        <f t="shared" si="7"/>
        <v>34.384981818349473</v>
      </c>
      <c r="H141" s="223">
        <f t="shared" si="8"/>
        <v>0</v>
      </c>
      <c r="I141" s="42">
        <f t="shared" si="9"/>
        <v>0</v>
      </c>
      <c r="J141" s="29"/>
    </row>
    <row r="142" spans="1:10" x14ac:dyDescent="0.25">
      <c r="A142" s="38">
        <f>Données!A142</f>
        <v>5640</v>
      </c>
      <c r="B142" s="168" t="str">
        <f>Données!B142</f>
        <v>Lussy-sur-Morges</v>
      </c>
      <c r="C142" s="348">
        <f>VPI!R142</f>
        <v>57771.49271317829</v>
      </c>
      <c r="D142" s="206">
        <f>Effort!I142-IF(PCS!I148&lt;0, Effort!D142, 0)</f>
        <v>36.46973341771389</v>
      </c>
      <c r="E142" s="505">
        <f>IF(PCS!I148&lt;0, 0, PCS!F148/Aide!C142)</f>
        <v>37.167150166265316</v>
      </c>
      <c r="F142" s="505">
        <f>Effort!G142</f>
        <v>0</v>
      </c>
      <c r="G142" s="371">
        <f t="shared" si="7"/>
        <v>73.636883583979198</v>
      </c>
      <c r="H142" s="223">
        <f t="shared" si="8"/>
        <v>0</v>
      </c>
      <c r="I142" s="42">
        <f t="shared" si="9"/>
        <v>0</v>
      </c>
      <c r="J142" s="29"/>
    </row>
    <row r="143" spans="1:10" x14ac:dyDescent="0.25">
      <c r="A143" s="38">
        <f>Données!A143</f>
        <v>5642</v>
      </c>
      <c r="B143" s="168" t="str">
        <f>Données!B143</f>
        <v>Morges</v>
      </c>
      <c r="C143" s="348">
        <f>VPI!R143</f>
        <v>980547.23447761196</v>
      </c>
      <c r="D143" s="206">
        <f>Effort!I143-IF(PCS!I149&lt;0, Effort!D143, 0)</f>
        <v>19.55625773045465</v>
      </c>
      <c r="E143" s="505">
        <f>IF(PCS!I149&lt;0, 0, PCS!F149/Aide!C143)</f>
        <v>3.609760249730035</v>
      </c>
      <c r="F143" s="505">
        <f>Effort!G143</f>
        <v>0</v>
      </c>
      <c r="G143" s="371">
        <f t="shared" si="7"/>
        <v>23.166017980184684</v>
      </c>
      <c r="H143" s="223">
        <f t="shared" si="8"/>
        <v>0</v>
      </c>
      <c r="I143" s="42">
        <f t="shared" si="9"/>
        <v>0</v>
      </c>
      <c r="J143" s="29"/>
    </row>
    <row r="144" spans="1:10" x14ac:dyDescent="0.25">
      <c r="A144" s="38">
        <f>Données!A144</f>
        <v>5643</v>
      </c>
      <c r="B144" s="168" t="str">
        <f>Données!B144</f>
        <v>Préverenges</v>
      </c>
      <c r="C144" s="348">
        <f>VPI!R144</f>
        <v>252724.38943999997</v>
      </c>
      <c r="D144" s="206">
        <f>Effort!I144-IF(PCS!I150&lt;0, Effort!D144, 0)</f>
        <v>22.865415818759718</v>
      </c>
      <c r="E144" s="505">
        <f>IF(PCS!I150&lt;0, 0, PCS!F150/Aide!C144)</f>
        <v>2.4394070408719477</v>
      </c>
      <c r="F144" s="505">
        <f>Effort!G144</f>
        <v>0</v>
      </c>
      <c r="G144" s="371">
        <f t="shared" si="7"/>
        <v>25.304822859631667</v>
      </c>
      <c r="H144" s="223">
        <f t="shared" si="8"/>
        <v>0</v>
      </c>
      <c r="I144" s="42">
        <f t="shared" si="9"/>
        <v>0</v>
      </c>
      <c r="J144" s="29"/>
    </row>
    <row r="145" spans="1:10" x14ac:dyDescent="0.25">
      <c r="A145" s="38">
        <f>Données!A145</f>
        <v>5645</v>
      </c>
      <c r="B145" s="168" t="str">
        <f>Données!B145</f>
        <v>Romanel-sur-Morges</v>
      </c>
      <c r="C145" s="348">
        <f>VPI!R145</f>
        <v>23768.997321428575</v>
      </c>
      <c r="D145" s="206">
        <f>Effort!I145-IF(PCS!I151&lt;0, Effort!D145, 0)</f>
        <v>29.115796843023933</v>
      </c>
      <c r="E145" s="505">
        <f>IF(PCS!I151&lt;0, 0, PCS!F151/Aide!C145)</f>
        <v>2.5843366116508983</v>
      </c>
      <c r="F145" s="505">
        <f>Effort!G145</f>
        <v>0</v>
      </c>
      <c r="G145" s="371">
        <f t="shared" si="7"/>
        <v>31.70013345467483</v>
      </c>
      <c r="H145" s="223">
        <f t="shared" si="8"/>
        <v>0</v>
      </c>
      <c r="I145" s="42">
        <f t="shared" si="9"/>
        <v>0</v>
      </c>
      <c r="J145" s="29"/>
    </row>
    <row r="146" spans="1:10" x14ac:dyDescent="0.25">
      <c r="A146" s="38">
        <f>Données!A146</f>
        <v>5646</v>
      </c>
      <c r="B146" s="168" t="str">
        <f>Données!B146</f>
        <v>Saint-Prex</v>
      </c>
      <c r="C146" s="348">
        <f>VPI!R146</f>
        <v>515578.26330508466</v>
      </c>
      <c r="D146" s="206">
        <f>Effort!I146-IF(PCS!I152&lt;0, Effort!D146, 0)</f>
        <v>34.437091210021393</v>
      </c>
      <c r="E146" s="505">
        <f>IF(PCS!I152&lt;0, 0, PCS!F152/Aide!C146)</f>
        <v>4.6747888662904966</v>
      </c>
      <c r="F146" s="505">
        <f>Effort!G146</f>
        <v>0</v>
      </c>
      <c r="G146" s="371">
        <f t="shared" si="7"/>
        <v>39.111880076311891</v>
      </c>
      <c r="H146" s="223">
        <f t="shared" si="8"/>
        <v>0</v>
      </c>
      <c r="I146" s="42">
        <f t="shared" si="9"/>
        <v>0</v>
      </c>
      <c r="J146" s="29"/>
    </row>
    <row r="147" spans="1:10" x14ac:dyDescent="0.25">
      <c r="A147" s="38">
        <f>Données!A147</f>
        <v>5648</v>
      </c>
      <c r="B147" s="168" t="str">
        <f>Données!B147</f>
        <v>Saint-Sulpice</v>
      </c>
      <c r="C147" s="348">
        <f>VPI!R147</f>
        <v>417040.44568181824</v>
      </c>
      <c r="D147" s="206">
        <f>Effort!I147-IF(PCS!I153&lt;0, Effort!D147, 0)</f>
        <v>33.133092162947491</v>
      </c>
      <c r="E147" s="505">
        <f>IF(PCS!I153&lt;0, 0, PCS!F153/Aide!C147)</f>
        <v>2.1020677468507207</v>
      </c>
      <c r="F147" s="505">
        <f>Effort!G147</f>
        <v>0</v>
      </c>
      <c r="G147" s="371">
        <f t="shared" si="7"/>
        <v>35.235159909798213</v>
      </c>
      <c r="H147" s="223">
        <f t="shared" si="8"/>
        <v>0</v>
      </c>
      <c r="I147" s="42">
        <f t="shared" si="9"/>
        <v>0</v>
      </c>
      <c r="J147" s="29"/>
    </row>
    <row r="148" spans="1:10" x14ac:dyDescent="0.25">
      <c r="A148" s="38">
        <f>Données!A148</f>
        <v>5649</v>
      </c>
      <c r="B148" s="168" t="str">
        <f>Données!B148</f>
        <v>Tolochenaz</v>
      </c>
      <c r="C148" s="348">
        <f>VPI!R148</f>
        <v>173464.05234375002</v>
      </c>
      <c r="D148" s="206">
        <f>Effort!I148-IF(PCS!I154&lt;0, Effort!D148, 0)</f>
        <v>37.982472585690843</v>
      </c>
      <c r="E148" s="505">
        <f>IF(PCS!I154&lt;0, 0, PCS!F154/Aide!C148)</f>
        <v>2.9099135710246014</v>
      </c>
      <c r="F148" s="505">
        <f>Effort!G148</f>
        <v>0</v>
      </c>
      <c r="G148" s="371">
        <f t="shared" si="7"/>
        <v>40.892386156715446</v>
      </c>
      <c r="H148" s="223">
        <f t="shared" si="8"/>
        <v>0</v>
      </c>
      <c r="I148" s="42">
        <f t="shared" si="9"/>
        <v>0</v>
      </c>
      <c r="J148" s="29"/>
    </row>
    <row r="149" spans="1:10" x14ac:dyDescent="0.25">
      <c r="A149" s="38">
        <f>Données!A149</f>
        <v>5650</v>
      </c>
      <c r="B149" s="168" t="str">
        <f>Données!B149</f>
        <v>Vaux-sur-Morges</v>
      </c>
      <c r="C149" s="348">
        <f>VPI!R149</f>
        <v>90407.863928571445</v>
      </c>
      <c r="D149" s="206">
        <f>Effort!I149-IF(PCS!I155&lt;0, Effort!D149, 0)</f>
        <v>58.74659378888844</v>
      </c>
      <c r="E149" s="505">
        <f>IF(PCS!I155&lt;0, 0, PCS!F155/Aide!C149)</f>
        <v>0.17993678086291945</v>
      </c>
      <c r="F149" s="505">
        <f>Effort!G149</f>
        <v>0</v>
      </c>
      <c r="G149" s="371">
        <f t="shared" si="7"/>
        <v>58.926530569751357</v>
      </c>
      <c r="H149" s="223">
        <f t="shared" si="8"/>
        <v>0</v>
      </c>
      <c r="I149" s="42">
        <f t="shared" si="9"/>
        <v>0</v>
      </c>
      <c r="J149" s="29"/>
    </row>
    <row r="150" spans="1:10" x14ac:dyDescent="0.25">
      <c r="A150" s="38">
        <f>Données!A150</f>
        <v>5651</v>
      </c>
      <c r="B150" s="168" t="str">
        <f>Données!B150</f>
        <v>Villars-Sainte-Croix</v>
      </c>
      <c r="C150" s="348">
        <f>VPI!R150</f>
        <v>56008.147272727285</v>
      </c>
      <c r="D150" s="206">
        <f>Effort!I150-IF(PCS!I156&lt;0, Effort!D150, 0)</f>
        <v>30.468072356735519</v>
      </c>
      <c r="E150" s="505">
        <f>IF(PCS!I156&lt;0, 0, PCS!F156/Aide!C150)</f>
        <v>3.7889904475261242</v>
      </c>
      <c r="F150" s="505">
        <f>Effort!G150</f>
        <v>0</v>
      </c>
      <c r="G150" s="371">
        <f t="shared" si="7"/>
        <v>34.257062804261643</v>
      </c>
      <c r="H150" s="223">
        <f t="shared" si="8"/>
        <v>0</v>
      </c>
      <c r="I150" s="42">
        <f t="shared" si="9"/>
        <v>0</v>
      </c>
      <c r="J150" s="29"/>
    </row>
    <row r="151" spans="1:10" x14ac:dyDescent="0.25">
      <c r="A151" s="38">
        <f>Données!A151</f>
        <v>5652</v>
      </c>
      <c r="B151" s="168" t="str">
        <f>Données!B151</f>
        <v>Villars-sous-Yens</v>
      </c>
      <c r="C151" s="348">
        <f>VPI!R151</f>
        <v>25957.212521929825</v>
      </c>
      <c r="D151" s="206">
        <f>Effort!I151-IF(PCS!I157&lt;0, Effort!D151, 0)</f>
        <v>24.389025386870049</v>
      </c>
      <c r="E151" s="505">
        <f>IF(PCS!I157&lt;0, 0, PCS!F157/Aide!C151)</f>
        <v>9.4640834331673442</v>
      </c>
      <c r="F151" s="505">
        <f>Effort!G151</f>
        <v>0</v>
      </c>
      <c r="G151" s="371">
        <f t="shared" si="7"/>
        <v>33.853108820037392</v>
      </c>
      <c r="H151" s="223">
        <f t="shared" si="8"/>
        <v>0</v>
      </c>
      <c r="I151" s="42">
        <f t="shared" si="9"/>
        <v>0</v>
      </c>
      <c r="J151" s="29"/>
    </row>
    <row r="152" spans="1:10" x14ac:dyDescent="0.25">
      <c r="A152" s="38">
        <f>Données!A152</f>
        <v>5653</v>
      </c>
      <c r="B152" s="168" t="str">
        <f>Données!B152</f>
        <v>Vufflens-le-Château</v>
      </c>
      <c r="C152" s="348">
        <f>VPI!R152</f>
        <v>71315.778290598289</v>
      </c>
      <c r="D152" s="206">
        <f>Effort!I152-IF(PCS!I158&lt;0, Effort!D152, 0)</f>
        <v>36.106141694015925</v>
      </c>
      <c r="E152" s="505">
        <f>IF(PCS!I158&lt;0, 0, PCS!F158/Aide!C152)</f>
        <v>2.5439377420903413</v>
      </c>
      <c r="F152" s="505">
        <f>Effort!G152</f>
        <v>0</v>
      </c>
      <c r="G152" s="371">
        <f t="shared" si="7"/>
        <v>38.650079436106267</v>
      </c>
      <c r="H152" s="223">
        <f t="shared" si="8"/>
        <v>0</v>
      </c>
      <c r="I152" s="42">
        <f t="shared" si="9"/>
        <v>0</v>
      </c>
      <c r="J152" s="29"/>
    </row>
    <row r="153" spans="1:10" x14ac:dyDescent="0.25">
      <c r="A153" s="38">
        <f>Données!A153</f>
        <v>5654</v>
      </c>
      <c r="B153" s="168" t="str">
        <f>Données!B153</f>
        <v>Vullierens</v>
      </c>
      <c r="C153" s="348">
        <f>VPI!R153</f>
        <v>20741.31131578947</v>
      </c>
      <c r="D153" s="206">
        <f>Effort!I153-IF(PCS!I159&lt;0, Effort!D153, 0)</f>
        <v>20.084473440307569</v>
      </c>
      <c r="E153" s="505">
        <f>IF(PCS!I159&lt;0, 0, PCS!F159/Aide!C153)</f>
        <v>2.0032103740890466</v>
      </c>
      <c r="F153" s="505">
        <f>Effort!G153</f>
        <v>0</v>
      </c>
      <c r="G153" s="371">
        <f t="shared" si="7"/>
        <v>22.087683814396616</v>
      </c>
      <c r="H153" s="223">
        <f t="shared" si="8"/>
        <v>0</v>
      </c>
      <c r="I153" s="42">
        <f t="shared" si="9"/>
        <v>0</v>
      </c>
      <c r="J153" s="29"/>
    </row>
    <row r="154" spans="1:10" x14ac:dyDescent="0.25">
      <c r="A154" s="38">
        <f>Données!A154</f>
        <v>5655</v>
      </c>
      <c r="B154" s="168" t="str">
        <f>Données!B154</f>
        <v>Yens</v>
      </c>
      <c r="C154" s="348">
        <f>VPI!R154</f>
        <v>81488.710349650341</v>
      </c>
      <c r="D154" s="206">
        <f>Effort!I154-IF(PCS!I160&lt;0, Effort!D154, 0)</f>
        <v>28.385127879226179</v>
      </c>
      <c r="E154" s="505">
        <f>IF(PCS!I160&lt;0, 0, PCS!F160/Aide!C154)</f>
        <v>4.23446098876052</v>
      </c>
      <c r="F154" s="505">
        <f>Effort!G154</f>
        <v>0</v>
      </c>
      <c r="G154" s="371">
        <f t="shared" si="7"/>
        <v>32.6195888679867</v>
      </c>
      <c r="H154" s="223">
        <f t="shared" si="8"/>
        <v>0</v>
      </c>
      <c r="I154" s="42">
        <f t="shared" si="9"/>
        <v>0</v>
      </c>
      <c r="J154" s="29"/>
    </row>
    <row r="155" spans="1:10" x14ac:dyDescent="0.25">
      <c r="A155" s="38">
        <f>Données!A155</f>
        <v>5656</v>
      </c>
      <c r="B155" s="168" t="str">
        <f>Données!B155</f>
        <v>Hautemorges</v>
      </c>
      <c r="C155" s="348">
        <f>VPI!R155</f>
        <v>168934.99020689653</v>
      </c>
      <c r="D155" s="206">
        <f>Effort!I155-IF(PCS!I161&lt;0, Effort!D155, 0)</f>
        <v>17.28467017336218</v>
      </c>
      <c r="E155" s="505">
        <f>IF(PCS!I161&lt;0, 0, PCS!F161/Aide!C155)</f>
        <v>3.5944785284346055</v>
      </c>
      <c r="F155" s="505">
        <f>Effort!G155</f>
        <v>0</v>
      </c>
      <c r="G155" s="371">
        <f t="shared" si="7"/>
        <v>20.879148701796787</v>
      </c>
      <c r="H155" s="223">
        <f t="shared" si="8"/>
        <v>0</v>
      </c>
      <c r="I155" s="42">
        <f t="shared" si="9"/>
        <v>0</v>
      </c>
      <c r="J155" s="29"/>
    </row>
    <row r="156" spans="1:10" x14ac:dyDescent="0.25">
      <c r="A156" s="38">
        <f>Données!A156</f>
        <v>5661</v>
      </c>
      <c r="B156" s="168" t="str">
        <f>Données!B156</f>
        <v>Boulens</v>
      </c>
      <c r="C156" s="348">
        <f>VPI!R156</f>
        <v>11008.776923076925</v>
      </c>
      <c r="D156" s="206">
        <f>Effort!I156-IF(PCS!I162&lt;0, Effort!D156, 0)</f>
        <v>12.364876425303802</v>
      </c>
      <c r="E156" s="505">
        <f>IF(PCS!I162&lt;0, 0, PCS!F162/Aide!C156)</f>
        <v>1.2167641413389734</v>
      </c>
      <c r="F156" s="505">
        <f>Effort!G156</f>
        <v>0</v>
      </c>
      <c r="G156" s="371">
        <f t="shared" si="7"/>
        <v>13.581640566642776</v>
      </c>
      <c r="H156" s="223">
        <f t="shared" si="8"/>
        <v>0</v>
      </c>
      <c r="I156" s="42">
        <f t="shared" si="9"/>
        <v>0</v>
      </c>
      <c r="J156" s="29"/>
    </row>
    <row r="157" spans="1:10" x14ac:dyDescent="0.25">
      <c r="A157" s="38">
        <f>Données!A157</f>
        <v>5663</v>
      </c>
      <c r="B157" s="168" t="str">
        <f>Données!B157</f>
        <v>Bussy-sur-Moudon</v>
      </c>
      <c r="C157" s="348">
        <f>VPI!R157</f>
        <v>6460.7661146496821</v>
      </c>
      <c r="D157" s="206">
        <f>Effort!I157-IF(PCS!I163&lt;0, Effort!D157, 0)</f>
        <v>5.1450995804859723</v>
      </c>
      <c r="E157" s="505">
        <f>IF(PCS!I163&lt;0, 0, PCS!F163/Aide!C157)</f>
        <v>3.194880395561142</v>
      </c>
      <c r="F157" s="505">
        <f>Effort!G157</f>
        <v>0</v>
      </c>
      <c r="G157" s="371">
        <f t="shared" si="7"/>
        <v>8.3399799760471147</v>
      </c>
      <c r="H157" s="223">
        <f t="shared" si="8"/>
        <v>0</v>
      </c>
      <c r="I157" s="42">
        <f t="shared" si="9"/>
        <v>0</v>
      </c>
      <c r="J157" s="29"/>
    </row>
    <row r="158" spans="1:10" x14ac:dyDescent="0.25">
      <c r="A158" s="38">
        <f>Données!A158</f>
        <v>5665</v>
      </c>
      <c r="B158" s="168" t="str">
        <f>Données!B158</f>
        <v>Chavannes-sur-Moudon</v>
      </c>
      <c r="C158" s="348">
        <f>VPI!R158</f>
        <v>5786.5608571428584</v>
      </c>
      <c r="D158" s="206">
        <f>Effort!I158-IF(PCS!I164&lt;0, Effort!D158, 0)</f>
        <v>9.8391059300610308</v>
      </c>
      <c r="E158" s="505">
        <f>IF(PCS!I164&lt;0, 0, PCS!F164/Aide!C158)</f>
        <v>4.5363559889977569</v>
      </c>
      <c r="F158" s="505">
        <f>Effort!G158</f>
        <v>0</v>
      </c>
      <c r="G158" s="371">
        <f t="shared" si="7"/>
        <v>14.375461919058788</v>
      </c>
      <c r="H158" s="223">
        <f t="shared" si="8"/>
        <v>0</v>
      </c>
      <c r="I158" s="42">
        <f t="shared" si="9"/>
        <v>0</v>
      </c>
      <c r="J158" s="29"/>
    </row>
    <row r="159" spans="1:10" x14ac:dyDescent="0.25">
      <c r="A159" s="38">
        <f>Données!A159</f>
        <v>5669</v>
      </c>
      <c r="B159" s="168" t="str">
        <f>Données!B159</f>
        <v>Curtilles</v>
      </c>
      <c r="C159" s="348">
        <f>VPI!R159</f>
        <v>8428.0279452054765</v>
      </c>
      <c r="D159" s="206">
        <f>Effort!I159-IF(PCS!I165&lt;0, Effort!D159, 0)</f>
        <v>11.663032721425013</v>
      </c>
      <c r="E159" s="505">
        <f>IF(PCS!I165&lt;0, 0, PCS!F165/Aide!C159)</f>
        <v>0.61402560998198408</v>
      </c>
      <c r="F159" s="505">
        <f>Effort!G159</f>
        <v>0</v>
      </c>
      <c r="G159" s="371">
        <f t="shared" si="7"/>
        <v>12.277058331406998</v>
      </c>
      <c r="H159" s="223">
        <f t="shared" si="8"/>
        <v>0</v>
      </c>
      <c r="I159" s="42">
        <f t="shared" si="9"/>
        <v>0</v>
      </c>
      <c r="J159" s="29"/>
    </row>
    <row r="160" spans="1:10" x14ac:dyDescent="0.25">
      <c r="A160" s="38">
        <f>Données!A160</f>
        <v>5671</v>
      </c>
      <c r="B160" s="168" t="str">
        <f>Données!B160</f>
        <v>Dompierre</v>
      </c>
      <c r="C160" s="348">
        <f>VPI!R160</f>
        <v>6751.3758974358971</v>
      </c>
      <c r="D160" s="206">
        <f>Effort!I160-IF(PCS!I166&lt;0, Effort!D160, 0)</f>
        <v>7.1640728067328183</v>
      </c>
      <c r="E160" s="505">
        <f>IF(PCS!I166&lt;0, 0, PCS!F166/Aide!C160)</f>
        <v>1.3707287433832103</v>
      </c>
      <c r="F160" s="505">
        <f>Effort!G160</f>
        <v>0</v>
      </c>
      <c r="G160" s="371">
        <f t="shared" si="7"/>
        <v>8.534801550116029</v>
      </c>
      <c r="H160" s="223">
        <f t="shared" si="8"/>
        <v>0</v>
      </c>
      <c r="I160" s="42">
        <f t="shared" si="9"/>
        <v>0</v>
      </c>
      <c r="J160" s="29"/>
    </row>
    <row r="161" spans="1:10" x14ac:dyDescent="0.25">
      <c r="A161" s="38">
        <f>Données!A161</f>
        <v>5673</v>
      </c>
      <c r="B161" s="168" t="str">
        <f>Données!B161</f>
        <v>Hermenches</v>
      </c>
      <c r="C161" s="348">
        <f>VPI!R161</f>
        <v>9675.0074829931946</v>
      </c>
      <c r="D161" s="206">
        <f>Effort!I161-IF(PCS!I167&lt;0, Effort!D161, 0)</f>
        <v>7.0283440471831469</v>
      </c>
      <c r="E161" s="505">
        <f>IF(PCS!I167&lt;0, 0, PCS!F167/Aide!C161)</f>
        <v>3.4150128625821181</v>
      </c>
      <c r="F161" s="505">
        <f>Effort!G161</f>
        <v>0</v>
      </c>
      <c r="G161" s="371">
        <f t="shared" si="7"/>
        <v>10.443356909765265</v>
      </c>
      <c r="H161" s="223">
        <f t="shared" si="8"/>
        <v>0</v>
      </c>
      <c r="I161" s="42">
        <f t="shared" si="9"/>
        <v>0</v>
      </c>
      <c r="J161" s="29"/>
    </row>
    <row r="162" spans="1:10" x14ac:dyDescent="0.25">
      <c r="A162" s="38">
        <f>Données!A162</f>
        <v>5674</v>
      </c>
      <c r="B162" s="168" t="str">
        <f>Données!B162</f>
        <v>Lovatens</v>
      </c>
      <c r="C162" s="348">
        <f>VPI!R162</f>
        <v>3538.9463999999998</v>
      </c>
      <c r="D162" s="206">
        <f>Effort!I162-IF(PCS!I168&lt;0, Effort!D162, 0)</f>
        <v>4.1184026146816262</v>
      </c>
      <c r="E162" s="505">
        <f>IF(PCS!I168&lt;0, 0, PCS!F168/Aide!C162)</f>
        <v>5.3617864910302124</v>
      </c>
      <c r="F162" s="505">
        <f>Effort!G162</f>
        <v>0</v>
      </c>
      <c r="G162" s="371">
        <f t="shared" si="7"/>
        <v>9.4801891057118386</v>
      </c>
      <c r="H162" s="223">
        <f t="shared" si="8"/>
        <v>0</v>
      </c>
      <c r="I162" s="42">
        <f t="shared" si="9"/>
        <v>0</v>
      </c>
      <c r="J162" s="29"/>
    </row>
    <row r="163" spans="1:10" x14ac:dyDescent="0.25">
      <c r="A163" s="38">
        <f>Données!A163</f>
        <v>5675</v>
      </c>
      <c r="B163" s="168" t="str">
        <f>Données!B163</f>
        <v>Lucens</v>
      </c>
      <c r="C163" s="348">
        <f>VPI!R163</f>
        <v>92803.818404185746</v>
      </c>
      <c r="D163" s="206">
        <f>Effort!I163-IF(PCS!I169&lt;0, Effort!D163, 0)</f>
        <v>-11.59228770575967</v>
      </c>
      <c r="E163" s="505">
        <f>IF(PCS!I169&lt;0, 0, PCS!F169/Aide!C163)</f>
        <v>4.2200207031819286</v>
      </c>
      <c r="F163" s="505">
        <f>Effort!G163</f>
        <v>0</v>
      </c>
      <c r="G163" s="371">
        <f t="shared" si="7"/>
        <v>-7.3722670025777415</v>
      </c>
      <c r="H163" s="223">
        <f t="shared" si="8"/>
        <v>0</v>
      </c>
      <c r="I163" s="42">
        <f t="shared" si="9"/>
        <v>0</v>
      </c>
      <c r="J163" s="29"/>
    </row>
    <row r="164" spans="1:10" x14ac:dyDescent="0.25">
      <c r="A164" s="38">
        <f>Données!A164</f>
        <v>5678</v>
      </c>
      <c r="B164" s="168" t="str">
        <f>Données!B164</f>
        <v>Moudon</v>
      </c>
      <c r="C164" s="348">
        <f>VPI!R164</f>
        <v>130675.7416551724</v>
      </c>
      <c r="D164" s="206">
        <f>Effort!I164-IF(PCS!I170&lt;0, Effort!D164, 0)</f>
        <v>-15.720439689246561</v>
      </c>
      <c r="E164" s="505">
        <f>IF(PCS!I170&lt;0, 0, PCS!F170/Aide!C164)</f>
        <v>4.3762109382859924</v>
      </c>
      <c r="F164" s="505">
        <f>Effort!G164</f>
        <v>0</v>
      </c>
      <c r="G164" s="371">
        <f t="shared" si="7"/>
        <v>-11.344228750960568</v>
      </c>
      <c r="H164" s="223">
        <f t="shared" si="8"/>
        <v>-3.3442287509605677</v>
      </c>
      <c r="I164" s="42">
        <f t="shared" si="9"/>
        <v>437009.57229632302</v>
      </c>
      <c r="J164" s="29"/>
    </row>
    <row r="165" spans="1:10" x14ac:dyDescent="0.25">
      <c r="A165" s="38">
        <f>Données!A165</f>
        <v>5680</v>
      </c>
      <c r="B165" s="168" t="str">
        <f>Données!B165</f>
        <v>Ogens</v>
      </c>
      <c r="C165" s="348">
        <f>VPI!R165</f>
        <v>10088.612863247865</v>
      </c>
      <c r="D165" s="206">
        <f>Effort!I165-IF(PCS!I171&lt;0, Effort!D165, 0)</f>
        <v>13.199331777184367</v>
      </c>
      <c r="E165" s="505">
        <f>IF(PCS!I171&lt;0, 0, PCS!F171/Aide!C165)</f>
        <v>7.4065534095580832</v>
      </c>
      <c r="F165" s="505">
        <f>Effort!G165</f>
        <v>0</v>
      </c>
      <c r="G165" s="371">
        <f t="shared" si="7"/>
        <v>20.605885186742452</v>
      </c>
      <c r="H165" s="223">
        <f t="shared" si="8"/>
        <v>0</v>
      </c>
      <c r="I165" s="42">
        <f t="shared" si="9"/>
        <v>0</v>
      </c>
      <c r="J165" s="29"/>
    </row>
    <row r="166" spans="1:10" x14ac:dyDescent="0.25">
      <c r="A166" s="38">
        <f>Données!A166</f>
        <v>5683</v>
      </c>
      <c r="B166" s="168" t="str">
        <f>Données!B166</f>
        <v>Prévonloup</v>
      </c>
      <c r="C166" s="348">
        <f>VPI!R166</f>
        <v>5181.5891034482765</v>
      </c>
      <c r="D166" s="206">
        <f>Effort!I166-IF(PCS!I172&lt;0, Effort!D166, 0)</f>
        <v>3.1781461012769157</v>
      </c>
      <c r="E166" s="505">
        <f>IF(PCS!I172&lt;0, 0, PCS!F172/Aide!C166)</f>
        <v>1.0727404062782389</v>
      </c>
      <c r="F166" s="505">
        <f>Effort!G166</f>
        <v>0</v>
      </c>
      <c r="G166" s="371">
        <f t="shared" si="7"/>
        <v>4.2508865075551547</v>
      </c>
      <c r="H166" s="223">
        <f t="shared" si="8"/>
        <v>0</v>
      </c>
      <c r="I166" s="42">
        <f t="shared" si="9"/>
        <v>0</v>
      </c>
      <c r="J166" s="29"/>
    </row>
    <row r="167" spans="1:10" x14ac:dyDescent="0.25">
      <c r="A167" s="38">
        <f>Données!A167</f>
        <v>5684</v>
      </c>
      <c r="B167" s="168" t="str">
        <f>Données!B167</f>
        <v>Rossenges</v>
      </c>
      <c r="C167" s="348">
        <f>VPI!R167</f>
        <v>7033.3142000000007</v>
      </c>
      <c r="D167" s="206">
        <f>Effort!I167-IF(PCS!I173&lt;0, Effort!D167, 0)</f>
        <v>36.571269573524518</v>
      </c>
      <c r="E167" s="505">
        <f>IF(PCS!I173&lt;0, 0, PCS!F173/Aide!C167)</f>
        <v>0.91895866105341906</v>
      </c>
      <c r="F167" s="505">
        <f>Effort!G167</f>
        <v>0</v>
      </c>
      <c r="G167" s="371">
        <f t="shared" si="7"/>
        <v>37.490228234577934</v>
      </c>
      <c r="H167" s="223">
        <f t="shared" si="8"/>
        <v>0</v>
      </c>
      <c r="I167" s="42">
        <f t="shared" si="9"/>
        <v>0</v>
      </c>
      <c r="J167" s="29"/>
    </row>
    <row r="168" spans="1:10" x14ac:dyDescent="0.25">
      <c r="A168" s="38">
        <f>Données!A168</f>
        <v>5688</v>
      </c>
      <c r="B168" s="168" t="str">
        <f>Données!B168</f>
        <v>Syens</v>
      </c>
      <c r="C168" s="348">
        <f>VPI!R168</f>
        <v>5277.0104615384616</v>
      </c>
      <c r="D168" s="206">
        <f>Effort!I168-IF(PCS!I174&lt;0, Effort!D168, 0)</f>
        <v>18.310625114425491</v>
      </c>
      <c r="E168" s="505">
        <f>IF(PCS!I174&lt;0, 0, PCS!F174/Aide!C168)</f>
        <v>2.4666162962665803</v>
      </c>
      <c r="F168" s="505">
        <f>Effort!G168</f>
        <v>0</v>
      </c>
      <c r="G168" s="371">
        <f t="shared" si="7"/>
        <v>20.777241410692071</v>
      </c>
      <c r="H168" s="223">
        <f t="shared" si="8"/>
        <v>0</v>
      </c>
      <c r="I168" s="42">
        <f t="shared" si="9"/>
        <v>0</v>
      </c>
      <c r="J168" s="29"/>
    </row>
    <row r="169" spans="1:10" x14ac:dyDescent="0.25">
      <c r="A169" s="38">
        <f>Données!A169</f>
        <v>5690</v>
      </c>
      <c r="B169" s="168" t="str">
        <f>Données!B169</f>
        <v>Villars-le-Comte</v>
      </c>
      <c r="C169" s="348">
        <f>VPI!R169</f>
        <v>4331.3836666666666</v>
      </c>
      <c r="D169" s="206">
        <f>Effort!I169-IF(PCS!I175&lt;0, Effort!D169, 0)</f>
        <v>16.103853381107534</v>
      </c>
      <c r="E169" s="505">
        <f>IF(PCS!I175&lt;0, 0, PCS!F175/Aide!C169)</f>
        <v>3.9664576777659426</v>
      </c>
      <c r="F169" s="505">
        <f>Effort!G169</f>
        <v>0</v>
      </c>
      <c r="G169" s="371">
        <f t="shared" si="7"/>
        <v>20.070311058873475</v>
      </c>
      <c r="H169" s="223">
        <f t="shared" si="8"/>
        <v>0</v>
      </c>
      <c r="I169" s="42">
        <f t="shared" si="9"/>
        <v>0</v>
      </c>
      <c r="J169" s="29"/>
    </row>
    <row r="170" spans="1:10" x14ac:dyDescent="0.25">
      <c r="A170" s="38">
        <f>Données!A170</f>
        <v>5692</v>
      </c>
      <c r="B170" s="168" t="str">
        <f>Données!B170</f>
        <v>Vucherens</v>
      </c>
      <c r="C170" s="348">
        <f>VPI!R170</f>
        <v>18948.300519480523</v>
      </c>
      <c r="D170" s="206">
        <f>Effort!I170-IF(PCS!I176&lt;0, Effort!D170, 0)</f>
        <v>11.557776522038298</v>
      </c>
      <c r="E170" s="505">
        <f>IF(PCS!I176&lt;0, 0, PCS!F176/Aide!C170)</f>
        <v>4.8084206763730313</v>
      </c>
      <c r="F170" s="505">
        <f>Effort!G170</f>
        <v>0</v>
      </c>
      <c r="G170" s="371">
        <f t="shared" si="7"/>
        <v>16.366197198411328</v>
      </c>
      <c r="H170" s="223">
        <f t="shared" si="8"/>
        <v>0</v>
      </c>
      <c r="I170" s="42">
        <f t="shared" si="9"/>
        <v>0</v>
      </c>
      <c r="J170" s="29"/>
    </row>
    <row r="171" spans="1:10" x14ac:dyDescent="0.25">
      <c r="A171" s="38">
        <f>Données!A171</f>
        <v>5693</v>
      </c>
      <c r="B171" s="168" t="str">
        <f>Données!B171</f>
        <v>Montanaire</v>
      </c>
      <c r="C171" s="348">
        <f>VPI!R171</f>
        <v>80078.044999999984</v>
      </c>
      <c r="D171" s="206">
        <f>Effort!I171-IF(PCS!I177&lt;0, Effort!D171, 0)</f>
        <v>7.2095744666042059</v>
      </c>
      <c r="E171" s="505">
        <f>IF(PCS!I177&lt;0, 0, PCS!F177/Aide!C171)</f>
        <v>2.7513728638105492</v>
      </c>
      <c r="F171" s="505">
        <f>Effort!G171</f>
        <v>0</v>
      </c>
      <c r="G171" s="371">
        <f t="shared" si="7"/>
        <v>9.9609473304147542</v>
      </c>
      <c r="H171" s="223">
        <f t="shared" si="8"/>
        <v>0</v>
      </c>
      <c r="I171" s="42">
        <f t="shared" si="9"/>
        <v>0</v>
      </c>
      <c r="J171" s="29"/>
    </row>
    <row r="172" spans="1:10" x14ac:dyDescent="0.25">
      <c r="A172" s="38">
        <f>Données!A172</f>
        <v>5701</v>
      </c>
      <c r="B172" s="168" t="str">
        <f>Données!B172</f>
        <v>Arnex-sur-Nyon</v>
      </c>
      <c r="C172" s="348">
        <f>VPI!R172</f>
        <v>12996.826285714285</v>
      </c>
      <c r="D172" s="206">
        <f>Effort!I172-IF(PCS!I178&lt;0, Effort!D172, 0)</f>
        <v>29.950225146919557</v>
      </c>
      <c r="E172" s="505">
        <f>IF(PCS!I178&lt;0, 0, PCS!F178/Aide!C172)</f>
        <v>15.863233874766612</v>
      </c>
      <c r="F172" s="505">
        <f>Effort!G172</f>
        <v>0</v>
      </c>
      <c r="G172" s="371">
        <f t="shared" si="7"/>
        <v>45.813459021686171</v>
      </c>
      <c r="H172" s="223">
        <f t="shared" si="8"/>
        <v>0</v>
      </c>
      <c r="I172" s="42">
        <f t="shared" si="9"/>
        <v>0</v>
      </c>
      <c r="J172" s="29"/>
    </row>
    <row r="173" spans="1:10" x14ac:dyDescent="0.25">
      <c r="A173" s="38">
        <f>Données!A173</f>
        <v>5702</v>
      </c>
      <c r="B173" s="168" t="str">
        <f>Données!B173</f>
        <v>Arzier-Le Muids</v>
      </c>
      <c r="C173" s="348">
        <f>VPI!R173</f>
        <v>187984.45531250001</v>
      </c>
      <c r="D173" s="206">
        <f>Effort!I173-IF(PCS!I179&lt;0, Effort!D173, 0)</f>
        <v>30.017715833494108</v>
      </c>
      <c r="E173" s="505">
        <f>IF(PCS!I179&lt;0, 0, PCS!F179/Aide!C173)</f>
        <v>4.4861739690022269</v>
      </c>
      <c r="F173" s="505">
        <f>Effort!G173</f>
        <v>0</v>
      </c>
      <c r="G173" s="371">
        <f t="shared" si="7"/>
        <v>34.503889802496332</v>
      </c>
      <c r="H173" s="223">
        <f t="shared" si="8"/>
        <v>0</v>
      </c>
      <c r="I173" s="42">
        <f t="shared" si="9"/>
        <v>0</v>
      </c>
      <c r="J173" s="29"/>
    </row>
    <row r="174" spans="1:10" x14ac:dyDescent="0.25">
      <c r="A174" s="38">
        <f>Données!A174</f>
        <v>5703</v>
      </c>
      <c r="B174" s="168" t="str">
        <f>Données!B174</f>
        <v>Bassins</v>
      </c>
      <c r="C174" s="348">
        <f>VPI!R174</f>
        <v>65441.246975369453</v>
      </c>
      <c r="D174" s="206">
        <f>Effort!I174-IF(PCS!I180&lt;0, Effort!D174, 0)</f>
        <v>24.269697282699035</v>
      </c>
      <c r="E174" s="505">
        <f>IF(PCS!I180&lt;0, 0, PCS!F180/Aide!C174)</f>
        <v>3.6575930481594967</v>
      </c>
      <c r="F174" s="505">
        <f>Effort!G174</f>
        <v>0</v>
      </c>
      <c r="G174" s="371">
        <f t="shared" si="7"/>
        <v>27.927290330858533</v>
      </c>
      <c r="H174" s="223">
        <f t="shared" si="8"/>
        <v>0</v>
      </c>
      <c r="I174" s="42">
        <f t="shared" si="9"/>
        <v>0</v>
      </c>
      <c r="J174" s="29"/>
    </row>
    <row r="175" spans="1:10" x14ac:dyDescent="0.25">
      <c r="A175" s="38">
        <f>Données!A175</f>
        <v>5704</v>
      </c>
      <c r="B175" s="168" t="str">
        <f>Données!B175</f>
        <v>Begnins</v>
      </c>
      <c r="C175" s="348">
        <f>VPI!R175</f>
        <v>129730.03685333332</v>
      </c>
      <c r="D175" s="206">
        <f>Effort!I175-IF(PCS!I181&lt;0, Effort!D175, 0)</f>
        <v>31.516107932104319</v>
      </c>
      <c r="E175" s="505">
        <f>IF(PCS!I181&lt;0, 0, PCS!F181/Aide!C175)</f>
        <v>10.14039089873425</v>
      </c>
      <c r="F175" s="505">
        <f>Effort!G175</f>
        <v>0</v>
      </c>
      <c r="G175" s="371">
        <f t="shared" si="7"/>
        <v>41.656498830838572</v>
      </c>
      <c r="H175" s="223">
        <f t="shared" si="8"/>
        <v>0</v>
      </c>
      <c r="I175" s="42">
        <f t="shared" si="9"/>
        <v>0</v>
      </c>
      <c r="J175" s="29"/>
    </row>
    <row r="176" spans="1:10" x14ac:dyDescent="0.25">
      <c r="A176" s="38">
        <f>Données!A176</f>
        <v>5705</v>
      </c>
      <c r="B176" s="168" t="str">
        <f>Données!B176</f>
        <v>Bogis-Bossey</v>
      </c>
      <c r="C176" s="348">
        <f>VPI!R176</f>
        <v>51044.070201342278</v>
      </c>
      <c r="D176" s="206">
        <f>Effort!I176-IF(PCS!I182&lt;0, Effort!D176, 0)</f>
        <v>30.371547646019984</v>
      </c>
      <c r="E176" s="505">
        <f>IF(PCS!I182&lt;0, 0, PCS!F182/Aide!C176)</f>
        <v>6.7962104830519099</v>
      </c>
      <c r="F176" s="505">
        <f>Effort!G176</f>
        <v>0</v>
      </c>
      <c r="G176" s="371">
        <f t="shared" si="7"/>
        <v>37.167758129071892</v>
      </c>
      <c r="H176" s="223">
        <f t="shared" si="8"/>
        <v>0</v>
      </c>
      <c r="I176" s="42">
        <f t="shared" si="9"/>
        <v>0</v>
      </c>
      <c r="J176" s="29"/>
    </row>
    <row r="177" spans="1:10" x14ac:dyDescent="0.25">
      <c r="A177" s="38">
        <f>Données!A177</f>
        <v>5706</v>
      </c>
      <c r="B177" s="168" t="str">
        <f>Données!B177</f>
        <v>Borex</v>
      </c>
      <c r="C177" s="348">
        <f>VPI!R177</f>
        <v>156857.9796491228</v>
      </c>
      <c r="D177" s="206">
        <f>Effort!I177-IF(PCS!I183&lt;0, Effort!D177, 0)</f>
        <v>44.892843691997257</v>
      </c>
      <c r="E177" s="505">
        <f>IF(PCS!I183&lt;0, 0, PCS!F183/Aide!C177)</f>
        <v>1.257512754156547</v>
      </c>
      <c r="F177" s="505">
        <f>Effort!G177</f>
        <v>0</v>
      </c>
      <c r="G177" s="371">
        <f t="shared" si="7"/>
        <v>46.150356446153801</v>
      </c>
      <c r="H177" s="223">
        <f t="shared" si="8"/>
        <v>0</v>
      </c>
      <c r="I177" s="42">
        <f t="shared" si="9"/>
        <v>0</v>
      </c>
      <c r="J177" s="29"/>
    </row>
    <row r="178" spans="1:10" x14ac:dyDescent="0.25">
      <c r="A178" s="38">
        <f>Données!A178</f>
        <v>5707</v>
      </c>
      <c r="B178" s="168" t="str">
        <f>Données!B178</f>
        <v>Chavannes-de-Bogis</v>
      </c>
      <c r="C178" s="348">
        <f>VPI!R178</f>
        <v>86804.197126436775</v>
      </c>
      <c r="D178" s="206">
        <f>Effort!I178-IF(PCS!I184&lt;0, Effort!D178, 0)</f>
        <v>31.853148300779122</v>
      </c>
      <c r="E178" s="505">
        <f>IF(PCS!I184&lt;0, 0, PCS!F184/Aide!C178)</f>
        <v>6.0737891997555105</v>
      </c>
      <c r="F178" s="505">
        <f>Effort!G178</f>
        <v>0</v>
      </c>
      <c r="G178" s="371">
        <f t="shared" si="7"/>
        <v>37.926937500534635</v>
      </c>
      <c r="H178" s="223">
        <f t="shared" si="8"/>
        <v>0</v>
      </c>
      <c r="I178" s="42">
        <f t="shared" si="9"/>
        <v>0</v>
      </c>
      <c r="J178" s="29"/>
    </row>
    <row r="179" spans="1:10" x14ac:dyDescent="0.25">
      <c r="A179" s="38">
        <f>Données!A179</f>
        <v>5708</v>
      </c>
      <c r="B179" s="168" t="str">
        <f>Données!B179</f>
        <v>Chavannes-des-Bois</v>
      </c>
      <c r="C179" s="348">
        <f>VPI!R179</f>
        <v>68806.761617647047</v>
      </c>
      <c r="D179" s="206">
        <f>Effort!I179-IF(PCS!I185&lt;0, Effort!D179, 0)</f>
        <v>33.650004523132381</v>
      </c>
      <c r="E179" s="505">
        <f>IF(PCS!I185&lt;0, 0, PCS!F185/Aide!C179)</f>
        <v>1.8011234955172706</v>
      </c>
      <c r="F179" s="505">
        <f>Effort!G179</f>
        <v>0</v>
      </c>
      <c r="G179" s="371">
        <f t="shared" si="7"/>
        <v>35.451128018649655</v>
      </c>
      <c r="H179" s="223">
        <f t="shared" si="8"/>
        <v>0</v>
      </c>
      <c r="I179" s="42">
        <f t="shared" si="9"/>
        <v>0</v>
      </c>
      <c r="J179" s="29"/>
    </row>
    <row r="180" spans="1:10" x14ac:dyDescent="0.25">
      <c r="A180" s="38">
        <f>Données!A180</f>
        <v>5709</v>
      </c>
      <c r="B180" s="168" t="str">
        <f>Données!B180</f>
        <v>Chéserex</v>
      </c>
      <c r="C180" s="348">
        <f>VPI!R180</f>
        <v>90983.63491228073</v>
      </c>
      <c r="D180" s="206">
        <f>Effort!I180-IF(PCS!I186&lt;0, Effort!D180, 0)</f>
        <v>33.397666176226238</v>
      </c>
      <c r="E180" s="505">
        <f>IF(PCS!I186&lt;0, 0, PCS!F186/Aide!C180)</f>
        <v>3.1429700547323596</v>
      </c>
      <c r="F180" s="505">
        <f>Effort!G180</f>
        <v>0</v>
      </c>
      <c r="G180" s="371">
        <f t="shared" si="7"/>
        <v>36.540636230958597</v>
      </c>
      <c r="H180" s="223">
        <f t="shared" si="8"/>
        <v>0</v>
      </c>
      <c r="I180" s="42">
        <f t="shared" si="9"/>
        <v>0</v>
      </c>
      <c r="J180" s="29"/>
    </row>
    <row r="181" spans="1:10" x14ac:dyDescent="0.25">
      <c r="A181" s="38">
        <f>Données!A181</f>
        <v>5710</v>
      </c>
      <c r="B181" s="168" t="str">
        <f>Données!B181</f>
        <v>Coinsins</v>
      </c>
      <c r="C181" s="348">
        <f>VPI!R181</f>
        <v>33549.646470588232</v>
      </c>
      <c r="D181" s="206">
        <f>Effort!I181-IF(PCS!I187&lt;0, Effort!D181, 0)</f>
        <v>32.478621632137646</v>
      </c>
      <c r="E181" s="505">
        <f>IF(PCS!I187&lt;0, 0, PCS!F187/Aide!C181)</f>
        <v>3.2089993882463816</v>
      </c>
      <c r="F181" s="505">
        <f>Effort!G181</f>
        <v>0</v>
      </c>
      <c r="G181" s="371">
        <f t="shared" si="7"/>
        <v>35.687621020384029</v>
      </c>
      <c r="H181" s="223">
        <f t="shared" si="8"/>
        <v>0</v>
      </c>
      <c r="I181" s="42">
        <f t="shared" si="9"/>
        <v>0</v>
      </c>
      <c r="J181" s="29"/>
    </row>
    <row r="182" spans="1:10" x14ac:dyDescent="0.25">
      <c r="A182" s="38">
        <f>Données!A182</f>
        <v>5711</v>
      </c>
      <c r="B182" s="168" t="str">
        <f>Données!B182</f>
        <v>Commugny</v>
      </c>
      <c r="C182" s="348">
        <f>VPI!R182</f>
        <v>305461.09360323887</v>
      </c>
      <c r="D182" s="206">
        <f>Effort!I182-IF(PCS!I188&lt;0, Effort!D182, 0)</f>
        <v>38.478866640750148</v>
      </c>
      <c r="E182" s="505">
        <f>IF(PCS!I188&lt;0, 0, PCS!F188/Aide!C182)</f>
        <v>3.8970921172246396</v>
      </c>
      <c r="F182" s="505">
        <f>Effort!G182</f>
        <v>0</v>
      </c>
      <c r="G182" s="371">
        <f t="shared" si="7"/>
        <v>42.375958757974786</v>
      </c>
      <c r="H182" s="223">
        <f t="shared" si="8"/>
        <v>0</v>
      </c>
      <c r="I182" s="42">
        <f t="shared" si="9"/>
        <v>0</v>
      </c>
      <c r="J182" s="29"/>
    </row>
    <row r="183" spans="1:10" x14ac:dyDescent="0.25">
      <c r="A183" s="38">
        <f>Données!A183</f>
        <v>5712</v>
      </c>
      <c r="B183" s="168" t="str">
        <f>Données!B183</f>
        <v>Coppet</v>
      </c>
      <c r="C183" s="348">
        <f>VPI!R183</f>
        <v>422782.58779874217</v>
      </c>
      <c r="D183" s="206">
        <f>Effort!I183-IF(PCS!I189&lt;0, Effort!D183, 0)</f>
        <v>42.162715243177061</v>
      </c>
      <c r="E183" s="505">
        <f>IF(PCS!I189&lt;0, 0, PCS!F189/Aide!C183)</f>
        <v>3.5986858231831049</v>
      </c>
      <c r="F183" s="505">
        <f>Effort!G183</f>
        <v>0</v>
      </c>
      <c r="G183" s="371">
        <f t="shared" si="7"/>
        <v>45.761401066360165</v>
      </c>
      <c r="H183" s="223">
        <f t="shared" si="8"/>
        <v>0</v>
      </c>
      <c r="I183" s="42">
        <f t="shared" si="9"/>
        <v>0</v>
      </c>
      <c r="J183" s="29"/>
    </row>
    <row r="184" spans="1:10" x14ac:dyDescent="0.25">
      <c r="A184" s="38">
        <f>Données!A184</f>
        <v>5713</v>
      </c>
      <c r="B184" s="168" t="str">
        <f>Données!B184</f>
        <v>Crans</v>
      </c>
      <c r="C184" s="348">
        <f>VPI!R184</f>
        <v>284269.17355932208</v>
      </c>
      <c r="D184" s="206">
        <f>Effort!I184-IF(PCS!I190&lt;0, Effort!D184, 0)</f>
        <v>42.276421329787929</v>
      </c>
      <c r="E184" s="505">
        <f>IF(PCS!I190&lt;0, 0, PCS!F190/Aide!C184)</f>
        <v>2.9767605273718236</v>
      </c>
      <c r="F184" s="505">
        <f>Effort!G184</f>
        <v>0</v>
      </c>
      <c r="G184" s="371">
        <f t="shared" si="7"/>
        <v>45.253181857159753</v>
      </c>
      <c r="H184" s="223">
        <f t="shared" si="8"/>
        <v>0</v>
      </c>
      <c r="I184" s="42">
        <f t="shared" si="9"/>
        <v>0</v>
      </c>
      <c r="J184" s="29"/>
    </row>
    <row r="185" spans="1:10" x14ac:dyDescent="0.25">
      <c r="A185" s="38">
        <f>Données!A185</f>
        <v>5714</v>
      </c>
      <c r="B185" s="168" t="str">
        <f>Données!B185</f>
        <v>Crassier</v>
      </c>
      <c r="C185" s="348">
        <f>VPI!R185</f>
        <v>62524.655789473691</v>
      </c>
      <c r="D185" s="206">
        <f>Effort!I185-IF(PCS!I191&lt;0, Effort!D185, 0)</f>
        <v>28.02499804207168</v>
      </c>
      <c r="E185" s="505">
        <f>IF(PCS!I191&lt;0, 0, PCS!F191/Aide!C185)</f>
        <v>4.3402093393960977</v>
      </c>
      <c r="F185" s="505">
        <f>Effort!G185</f>
        <v>0</v>
      </c>
      <c r="G185" s="371">
        <f t="shared" si="7"/>
        <v>32.365207381467776</v>
      </c>
      <c r="H185" s="223">
        <f t="shared" si="8"/>
        <v>0</v>
      </c>
      <c r="I185" s="42">
        <f t="shared" si="9"/>
        <v>0</v>
      </c>
      <c r="J185" s="29"/>
    </row>
    <row r="186" spans="1:10" x14ac:dyDescent="0.25">
      <c r="A186" s="38">
        <f>Données!A186</f>
        <v>5715</v>
      </c>
      <c r="B186" s="168" t="str">
        <f>Données!B186</f>
        <v>Duillier</v>
      </c>
      <c r="C186" s="348">
        <f>VPI!R186</f>
        <v>60550.113787878792</v>
      </c>
      <c r="D186" s="206">
        <f>Effort!I186-IF(PCS!I192&lt;0, Effort!D186, 0)</f>
        <v>29.447843214611094</v>
      </c>
      <c r="E186" s="505">
        <f>IF(PCS!I192&lt;0, 0, PCS!F192/Aide!C186)</f>
        <v>3.630232236557791</v>
      </c>
      <c r="F186" s="505">
        <f>Effort!G186</f>
        <v>0</v>
      </c>
      <c r="G186" s="371">
        <f t="shared" si="7"/>
        <v>33.078075451168885</v>
      </c>
      <c r="H186" s="223">
        <f t="shared" si="8"/>
        <v>0</v>
      </c>
      <c r="I186" s="42">
        <f t="shared" si="9"/>
        <v>0</v>
      </c>
      <c r="J186" s="29"/>
    </row>
    <row r="187" spans="1:10" x14ac:dyDescent="0.25">
      <c r="A187" s="38">
        <f>Données!A187</f>
        <v>5716</v>
      </c>
      <c r="B187" s="168" t="str">
        <f>Données!B187</f>
        <v>Eysins</v>
      </c>
      <c r="C187" s="348">
        <f>VPI!R187</f>
        <v>232571.69630252098</v>
      </c>
      <c r="D187" s="206">
        <f>Effort!I187-IF(PCS!I193&lt;0, Effort!D187, 0)</f>
        <v>44.187913292330904</v>
      </c>
      <c r="E187" s="505">
        <f>IF(PCS!I193&lt;0, 0, PCS!F193/Aide!C187)</f>
        <v>1.8655400330211933</v>
      </c>
      <c r="F187" s="505">
        <f>Effort!G187</f>
        <v>0</v>
      </c>
      <c r="G187" s="371">
        <f t="shared" si="7"/>
        <v>46.053453325352095</v>
      </c>
      <c r="H187" s="223">
        <f t="shared" si="8"/>
        <v>0</v>
      </c>
      <c r="I187" s="42">
        <f t="shared" si="9"/>
        <v>0</v>
      </c>
      <c r="J187" s="29"/>
    </row>
    <row r="188" spans="1:10" x14ac:dyDescent="0.25">
      <c r="A188" s="38">
        <f>Données!A188</f>
        <v>5717</v>
      </c>
      <c r="B188" s="168" t="str">
        <f>Données!B188</f>
        <v>Founex</v>
      </c>
      <c r="C188" s="348">
        <f>VPI!R188</f>
        <v>361582.97087719297</v>
      </c>
      <c r="D188" s="206">
        <f>Effort!I188-IF(PCS!I194&lt;0, Effort!D188, 0)</f>
        <v>36.691239849102843</v>
      </c>
      <c r="E188" s="505">
        <f>IF(PCS!I194&lt;0, 0, PCS!F194/Aide!C188)</f>
        <v>5.1777431206401126</v>
      </c>
      <c r="F188" s="505">
        <f>Effort!G188</f>
        <v>0</v>
      </c>
      <c r="G188" s="371">
        <f t="shared" si="7"/>
        <v>41.868982969742959</v>
      </c>
      <c r="H188" s="223">
        <f t="shared" si="8"/>
        <v>0</v>
      </c>
      <c r="I188" s="42">
        <f t="shared" si="9"/>
        <v>0</v>
      </c>
      <c r="J188" s="29"/>
    </row>
    <row r="189" spans="1:10" x14ac:dyDescent="0.25">
      <c r="A189" s="38">
        <f>Données!A189</f>
        <v>5718</v>
      </c>
      <c r="B189" s="168" t="str">
        <f>Données!B189</f>
        <v>Genolier</v>
      </c>
      <c r="C189" s="348">
        <f>VPI!R189</f>
        <v>212699.2265454545</v>
      </c>
      <c r="D189" s="206">
        <f>Effort!I189-IF(PCS!I195&lt;0, Effort!D189, 0)</f>
        <v>38.993626016202526</v>
      </c>
      <c r="E189" s="505">
        <f>IF(PCS!I195&lt;0, 0, PCS!F195/Aide!C189)</f>
        <v>3.0154497287884321</v>
      </c>
      <c r="F189" s="505">
        <f>Effort!G189</f>
        <v>0</v>
      </c>
      <c r="G189" s="371">
        <f t="shared" si="7"/>
        <v>42.009075744990959</v>
      </c>
      <c r="H189" s="223">
        <f t="shared" si="8"/>
        <v>0</v>
      </c>
      <c r="I189" s="42">
        <f t="shared" si="9"/>
        <v>0</v>
      </c>
      <c r="J189" s="29"/>
    </row>
    <row r="190" spans="1:10" x14ac:dyDescent="0.25">
      <c r="A190" s="38">
        <f>Données!A190</f>
        <v>5719</v>
      </c>
      <c r="B190" s="168" t="str">
        <f>Données!B190</f>
        <v>Gingins</v>
      </c>
      <c r="C190" s="348">
        <f>VPI!R190</f>
        <v>119943.29911111109</v>
      </c>
      <c r="D190" s="206">
        <f>Effort!I190-IF(PCS!I196&lt;0, Effort!D190, 0)</f>
        <v>38.488556463307347</v>
      </c>
      <c r="E190" s="505">
        <f>IF(PCS!I196&lt;0, 0, PCS!F196/Aide!C190)</f>
        <v>4.9215114923024217</v>
      </c>
      <c r="F190" s="505">
        <f>Effort!G190</f>
        <v>0</v>
      </c>
      <c r="G190" s="371">
        <f t="shared" si="7"/>
        <v>43.410067955609769</v>
      </c>
      <c r="H190" s="223">
        <f t="shared" si="8"/>
        <v>0</v>
      </c>
      <c r="I190" s="42">
        <f t="shared" si="9"/>
        <v>0</v>
      </c>
      <c r="J190" s="29"/>
    </row>
    <row r="191" spans="1:10" x14ac:dyDescent="0.25">
      <c r="A191" s="38">
        <f>Données!A191</f>
        <v>5720</v>
      </c>
      <c r="B191" s="168" t="str">
        <f>Données!B191</f>
        <v>Givrins</v>
      </c>
      <c r="C191" s="348">
        <f>VPI!R191</f>
        <v>84868.432139303477</v>
      </c>
      <c r="D191" s="206">
        <f>Effort!I191-IF(PCS!I197&lt;0, Effort!D191, 0)</f>
        <v>37.583828020317227</v>
      </c>
      <c r="E191" s="505">
        <f>IF(PCS!I197&lt;0, 0, PCS!F197/Aide!C191)</f>
        <v>2.5941642192543855</v>
      </c>
      <c r="F191" s="505">
        <f>Effort!G191</f>
        <v>0</v>
      </c>
      <c r="G191" s="371">
        <f t="shared" si="7"/>
        <v>40.177992239571616</v>
      </c>
      <c r="H191" s="223">
        <f t="shared" si="8"/>
        <v>0</v>
      </c>
      <c r="I191" s="42">
        <f t="shared" si="9"/>
        <v>0</v>
      </c>
      <c r="J191" s="29"/>
    </row>
    <row r="192" spans="1:10" x14ac:dyDescent="0.25">
      <c r="A192" s="38">
        <f>Données!A192</f>
        <v>5721</v>
      </c>
      <c r="B192" s="168" t="str">
        <f>Données!B192</f>
        <v>Gland</v>
      </c>
      <c r="C192" s="348">
        <f>VPI!R192</f>
        <v>688985.30491803284</v>
      </c>
      <c r="D192" s="206">
        <f>Effort!I192-IF(PCS!I198&lt;0, Effort!D192, 0)</f>
        <v>18.612775388200035</v>
      </c>
      <c r="E192" s="505">
        <f>IF(PCS!I198&lt;0, 0, PCS!F198/Aide!C192)</f>
        <v>3.6846496026530211</v>
      </c>
      <c r="F192" s="505">
        <f>Effort!G192</f>
        <v>0</v>
      </c>
      <c r="G192" s="371">
        <f t="shared" si="7"/>
        <v>22.297424990853056</v>
      </c>
      <c r="H192" s="223">
        <f t="shared" si="8"/>
        <v>0</v>
      </c>
      <c r="I192" s="42">
        <f t="shared" si="9"/>
        <v>0</v>
      </c>
      <c r="J192" s="29"/>
    </row>
    <row r="193" spans="1:10" x14ac:dyDescent="0.25">
      <c r="A193" s="38">
        <f>Données!A193</f>
        <v>5722</v>
      </c>
      <c r="B193" s="168" t="str">
        <f>Données!B193</f>
        <v>Grens</v>
      </c>
      <c r="C193" s="348">
        <f>VPI!R193</f>
        <v>20912.723225806454</v>
      </c>
      <c r="D193" s="206">
        <f>Effort!I193-IF(PCS!I199&lt;0, Effort!D193, 0)</f>
        <v>29.299088323900961</v>
      </c>
      <c r="E193" s="505">
        <f>IF(PCS!I199&lt;0, 0, PCS!F199/Aide!C193)</f>
        <v>5.4471212940564868</v>
      </c>
      <c r="F193" s="505">
        <f>Effort!G193</f>
        <v>0</v>
      </c>
      <c r="G193" s="371">
        <f t="shared" si="7"/>
        <v>34.746209617957447</v>
      </c>
      <c r="H193" s="223">
        <f t="shared" si="8"/>
        <v>0</v>
      </c>
      <c r="I193" s="42">
        <f t="shared" si="9"/>
        <v>0</v>
      </c>
      <c r="J193" s="29"/>
    </row>
    <row r="194" spans="1:10" x14ac:dyDescent="0.25">
      <c r="A194" s="38">
        <f>Données!A194</f>
        <v>5723</v>
      </c>
      <c r="B194" s="168" t="str">
        <f>Données!B194</f>
        <v>Mies</v>
      </c>
      <c r="C194" s="348">
        <f>VPI!R194</f>
        <v>253771.19326923077</v>
      </c>
      <c r="D194" s="206">
        <f>Effort!I194-IF(PCS!I200&lt;0, Effort!D194, 0)</f>
        <v>39.79836380799366</v>
      </c>
      <c r="E194" s="505">
        <f>IF(PCS!I200&lt;0, 0, PCS!F200/Aide!C194)</f>
        <v>4.1574535565220181</v>
      </c>
      <c r="F194" s="505">
        <f>Effort!G194</f>
        <v>0</v>
      </c>
      <c r="G194" s="371">
        <f t="shared" si="7"/>
        <v>43.955817364515681</v>
      </c>
      <c r="H194" s="223">
        <f t="shared" si="8"/>
        <v>0</v>
      </c>
      <c r="I194" s="42">
        <f t="shared" si="9"/>
        <v>0</v>
      </c>
      <c r="J194" s="29"/>
    </row>
    <row r="195" spans="1:10" x14ac:dyDescent="0.25">
      <c r="A195" s="38">
        <f>Données!A195</f>
        <v>5724</v>
      </c>
      <c r="B195" s="168" t="str">
        <f>Données!B195</f>
        <v>Nyon</v>
      </c>
      <c r="C195" s="348">
        <f>VPI!R195</f>
        <v>1520148.6004918031</v>
      </c>
      <c r="D195" s="206">
        <f>Effort!I195-IF(PCS!I201&lt;0, Effort!D195, 0)</f>
        <v>23.201302694936039</v>
      </c>
      <c r="E195" s="505">
        <f>IF(PCS!I201&lt;0, 0, PCS!F201/Aide!C195)</f>
        <v>3.8103896113353906</v>
      </c>
      <c r="F195" s="505">
        <f>Effort!G195</f>
        <v>0</v>
      </c>
      <c r="G195" s="371">
        <f t="shared" si="7"/>
        <v>27.011692306271431</v>
      </c>
      <c r="H195" s="223">
        <f t="shared" si="8"/>
        <v>0</v>
      </c>
      <c r="I195" s="42">
        <f t="shared" si="9"/>
        <v>0</v>
      </c>
      <c r="J195" s="29"/>
    </row>
    <row r="196" spans="1:10" x14ac:dyDescent="0.25">
      <c r="A196" s="38">
        <f>Données!A196</f>
        <v>5725</v>
      </c>
      <c r="B196" s="168" t="str">
        <f>Données!B196</f>
        <v>Prangins</v>
      </c>
      <c r="C196" s="348">
        <f>VPI!R196</f>
        <v>388958.996077922</v>
      </c>
      <c r="D196" s="206">
        <f>Effort!I196-IF(PCS!I202&lt;0, Effort!D196, 0)</f>
        <v>35.193922966612476</v>
      </c>
      <c r="E196" s="505">
        <f>IF(PCS!I202&lt;0, 0, PCS!F202/Aide!C196)</f>
        <v>2.8717609857678332</v>
      </c>
      <c r="F196" s="505">
        <f>Effort!G196</f>
        <v>0</v>
      </c>
      <c r="G196" s="371">
        <f t="shared" si="7"/>
        <v>38.065683952380311</v>
      </c>
      <c r="H196" s="223">
        <f t="shared" si="8"/>
        <v>0</v>
      </c>
      <c r="I196" s="42">
        <f t="shared" si="9"/>
        <v>0</v>
      </c>
      <c r="J196" s="29"/>
    </row>
    <row r="197" spans="1:10" x14ac:dyDescent="0.25">
      <c r="A197" s="38">
        <f>Données!A197</f>
        <v>5726</v>
      </c>
      <c r="B197" s="168" t="str">
        <f>Données!B197</f>
        <v>La Rippe</v>
      </c>
      <c r="C197" s="348">
        <f>VPI!R197</f>
        <v>69785.913125000021</v>
      </c>
      <c r="D197" s="206">
        <f>Effort!I197-IF(PCS!I203&lt;0, Effort!D197, 0)</f>
        <v>30.151368224036705</v>
      </c>
      <c r="E197" s="505">
        <f>IF(PCS!I203&lt;0, 0, PCS!F203/Aide!C197)</f>
        <v>3.0336466275191398</v>
      </c>
      <c r="F197" s="505">
        <f>Effort!G197</f>
        <v>0</v>
      </c>
      <c r="G197" s="371">
        <f t="shared" si="7"/>
        <v>33.185014851555849</v>
      </c>
      <c r="H197" s="223">
        <f t="shared" si="8"/>
        <v>0</v>
      </c>
      <c r="I197" s="42">
        <f t="shared" si="9"/>
        <v>0</v>
      </c>
      <c r="J197" s="29"/>
    </row>
    <row r="198" spans="1:10" x14ac:dyDescent="0.25">
      <c r="A198" s="38">
        <f>Données!A198</f>
        <v>5727</v>
      </c>
      <c r="B198" s="168" t="str">
        <f>Données!B198</f>
        <v>Saint-Cergue</v>
      </c>
      <c r="C198" s="348">
        <f>VPI!R198</f>
        <v>107048.1634848485</v>
      </c>
      <c r="D198" s="206">
        <f>Effort!I198-IF(PCS!I204&lt;0, Effort!D198, 0)</f>
        <v>19.061714591966187</v>
      </c>
      <c r="E198" s="505">
        <f>IF(PCS!I204&lt;0, 0, PCS!F204/Aide!C198)</f>
        <v>7.1121220599712514</v>
      </c>
      <c r="F198" s="505">
        <f>Effort!G198</f>
        <v>0</v>
      </c>
      <c r="G198" s="371">
        <f t="shared" si="7"/>
        <v>26.173836651937439</v>
      </c>
      <c r="H198" s="223">
        <f t="shared" si="8"/>
        <v>0</v>
      </c>
      <c r="I198" s="42">
        <f t="shared" si="9"/>
        <v>0</v>
      </c>
      <c r="J198" s="29"/>
    </row>
    <row r="199" spans="1:10" x14ac:dyDescent="0.25">
      <c r="A199" s="38">
        <f>Données!A199</f>
        <v>5728</v>
      </c>
      <c r="B199" s="168" t="str">
        <f>Données!B199</f>
        <v>Signy-Avenex</v>
      </c>
      <c r="C199" s="348">
        <f>VPI!R199</f>
        <v>66000.760172413793</v>
      </c>
      <c r="D199" s="206">
        <f>Effort!I199-IF(PCS!I205&lt;0, Effort!D199, 0)</f>
        <v>42.088393782681436</v>
      </c>
      <c r="E199" s="505">
        <f>IF(PCS!I205&lt;0, 0, PCS!F205/Aide!C199)</f>
        <v>2.5082600498470224</v>
      </c>
      <c r="F199" s="505">
        <f>Effort!G199</f>
        <v>0</v>
      </c>
      <c r="G199" s="371">
        <f t="shared" ref="G199:G262" si="10">D199+E199-F199</f>
        <v>44.59665383252846</v>
      </c>
      <c r="H199" s="223">
        <f t="shared" ref="H199:H262" si="11">IF(G199&lt;H$5,G199-H$5,0)</f>
        <v>0</v>
      </c>
      <c r="I199" s="42">
        <f t="shared" ref="I199:I262" si="12">-H199*C199</f>
        <v>0</v>
      </c>
      <c r="J199" s="29"/>
    </row>
    <row r="200" spans="1:10" x14ac:dyDescent="0.25">
      <c r="A200" s="38">
        <f>Données!A200</f>
        <v>5729</v>
      </c>
      <c r="B200" s="168" t="str">
        <f>Données!B200</f>
        <v>Tannay</v>
      </c>
      <c r="C200" s="348">
        <f>VPI!R200</f>
        <v>189085.86771349865</v>
      </c>
      <c r="D200" s="206">
        <f>Effort!I200-IF(PCS!I206&lt;0, Effort!D200, 0)</f>
        <v>41.137448918289586</v>
      </c>
      <c r="E200" s="505">
        <f>IF(PCS!I206&lt;0, 0, PCS!F206/Aide!C200)</f>
        <v>4.8109502100830914</v>
      </c>
      <c r="F200" s="505">
        <f>Effort!G200</f>
        <v>0</v>
      </c>
      <c r="G200" s="371">
        <f t="shared" si="10"/>
        <v>45.948399128372678</v>
      </c>
      <c r="H200" s="223">
        <f t="shared" si="11"/>
        <v>0</v>
      </c>
      <c r="I200" s="42">
        <f t="shared" si="12"/>
        <v>0</v>
      </c>
      <c r="J200" s="29"/>
    </row>
    <row r="201" spans="1:10" x14ac:dyDescent="0.25">
      <c r="A201" s="38">
        <f>Données!A201</f>
        <v>5730</v>
      </c>
      <c r="B201" s="168" t="str">
        <f>Données!B201</f>
        <v>Trélex</v>
      </c>
      <c r="C201" s="348">
        <f>VPI!R201</f>
        <v>121414.34176176177</v>
      </c>
      <c r="D201" s="206">
        <f>Effort!I201-IF(PCS!I207&lt;0, Effort!D201, 0)</f>
        <v>35.844894512013582</v>
      </c>
      <c r="E201" s="505">
        <f>IF(PCS!I207&lt;0, 0, PCS!F207/Aide!C201)</f>
        <v>4.5524382620676302</v>
      </c>
      <c r="F201" s="505">
        <f>Effort!G201</f>
        <v>0</v>
      </c>
      <c r="G201" s="371">
        <f t="shared" si="10"/>
        <v>40.397332774081214</v>
      </c>
      <c r="H201" s="223">
        <f t="shared" si="11"/>
        <v>0</v>
      </c>
      <c r="I201" s="42">
        <f t="shared" si="12"/>
        <v>0</v>
      </c>
      <c r="J201" s="29"/>
    </row>
    <row r="202" spans="1:10" x14ac:dyDescent="0.25">
      <c r="A202" s="38">
        <f>Données!A202</f>
        <v>5731</v>
      </c>
      <c r="B202" s="168" t="str">
        <f>Données!B202</f>
        <v>Le Vaud</v>
      </c>
      <c r="C202" s="348">
        <f>VPI!R202</f>
        <v>69610.558648648643</v>
      </c>
      <c r="D202" s="206">
        <f>Effort!I202-IF(PCS!I208&lt;0, Effort!D202, 0)</f>
        <v>27.183838503271375</v>
      </c>
      <c r="E202" s="505">
        <f>IF(PCS!I208&lt;0, 0, PCS!F208/Aide!C202)</f>
        <v>1.7901626911080559</v>
      </c>
      <c r="F202" s="505">
        <f>Effort!G202</f>
        <v>0</v>
      </c>
      <c r="G202" s="371">
        <f t="shared" si="10"/>
        <v>28.974001194379429</v>
      </c>
      <c r="H202" s="223">
        <f t="shared" si="11"/>
        <v>0</v>
      </c>
      <c r="I202" s="42">
        <f t="shared" si="12"/>
        <v>0</v>
      </c>
      <c r="J202" s="29"/>
    </row>
    <row r="203" spans="1:10" x14ac:dyDescent="0.25">
      <c r="A203" s="38">
        <f>Données!A203</f>
        <v>5732</v>
      </c>
      <c r="B203" s="168" t="str">
        <f>Données!B203</f>
        <v>Vich</v>
      </c>
      <c r="C203" s="348">
        <f>VPI!R203</f>
        <v>79861.73920634923</v>
      </c>
      <c r="D203" s="206">
        <f>Effort!I203-IF(PCS!I209&lt;0, Effort!D203, 0)</f>
        <v>33.231790350442189</v>
      </c>
      <c r="E203" s="505">
        <f>IF(PCS!I209&lt;0, 0, PCS!F209/Aide!C203)</f>
        <v>2.3028854220767889</v>
      </c>
      <c r="F203" s="505">
        <f>Effort!G203</f>
        <v>0</v>
      </c>
      <c r="G203" s="371">
        <f t="shared" si="10"/>
        <v>35.53467577251898</v>
      </c>
      <c r="H203" s="223">
        <f t="shared" si="11"/>
        <v>0</v>
      </c>
      <c r="I203" s="42">
        <f t="shared" si="12"/>
        <v>0</v>
      </c>
      <c r="J203" s="29"/>
    </row>
    <row r="204" spans="1:10" x14ac:dyDescent="0.25">
      <c r="A204" s="38">
        <f>Données!A204</f>
        <v>5741</v>
      </c>
      <c r="B204" s="168" t="str">
        <f>Données!B204</f>
        <v>L'Abergement</v>
      </c>
      <c r="C204" s="348">
        <f>VPI!R204</f>
        <v>10833.904395833331</v>
      </c>
      <c r="D204" s="206">
        <f>Effort!I204-IF(PCS!I210&lt;0, Effort!D204, 0)</f>
        <v>23.602103339728544</v>
      </c>
      <c r="E204" s="505">
        <f>IF(PCS!I210&lt;0, 0, PCS!F210/Aide!C204)</f>
        <v>1.5718760640484779</v>
      </c>
      <c r="F204" s="505">
        <f>Effort!G204</f>
        <v>0</v>
      </c>
      <c r="G204" s="371">
        <f t="shared" si="10"/>
        <v>25.173979403777022</v>
      </c>
      <c r="H204" s="223">
        <f t="shared" si="11"/>
        <v>0</v>
      </c>
      <c r="I204" s="42">
        <f t="shared" si="12"/>
        <v>0</v>
      </c>
      <c r="J204" s="29"/>
    </row>
    <row r="205" spans="1:10" x14ac:dyDescent="0.25">
      <c r="A205" s="38">
        <f>Données!A205</f>
        <v>5742</v>
      </c>
      <c r="B205" s="168" t="str">
        <f>Données!B205</f>
        <v>Agiez</v>
      </c>
      <c r="C205" s="348">
        <f>VPI!R205</f>
        <v>9049.0364473684222</v>
      </c>
      <c r="D205" s="206">
        <f>Effort!I205-IF(PCS!I211&lt;0, Effort!D205, 0)</f>
        <v>1.4246249650274549</v>
      </c>
      <c r="E205" s="505">
        <f>IF(PCS!I211&lt;0, 0, PCS!F211/Aide!C205)</f>
        <v>0.10017420144921796</v>
      </c>
      <c r="F205" s="505">
        <f>Effort!G205</f>
        <v>0</v>
      </c>
      <c r="G205" s="371">
        <f t="shared" si="10"/>
        <v>1.5247991664766729</v>
      </c>
      <c r="H205" s="223">
        <f t="shared" si="11"/>
        <v>0</v>
      </c>
      <c r="I205" s="42">
        <f t="shared" si="12"/>
        <v>0</v>
      </c>
      <c r="J205" s="29"/>
    </row>
    <row r="206" spans="1:10" x14ac:dyDescent="0.25">
      <c r="A206" s="38">
        <f>Données!A206</f>
        <v>5743</v>
      </c>
      <c r="B206" s="168" t="str">
        <f>Données!B206</f>
        <v>Arnex-sur-Orbe</v>
      </c>
      <c r="C206" s="348">
        <f>VPI!R206</f>
        <v>19423.544507042254</v>
      </c>
      <c r="D206" s="206">
        <f>Effort!I206-IF(PCS!I212&lt;0, Effort!D206, 0)</f>
        <v>11.635753112286306</v>
      </c>
      <c r="E206" s="505">
        <f>IF(PCS!I212&lt;0, 0, PCS!F212/Aide!C206)</f>
        <v>4.5816076446672831</v>
      </c>
      <c r="F206" s="505">
        <f>Effort!G206</f>
        <v>0</v>
      </c>
      <c r="G206" s="371">
        <f t="shared" si="10"/>
        <v>16.217360756953589</v>
      </c>
      <c r="H206" s="223">
        <f t="shared" si="11"/>
        <v>0</v>
      </c>
      <c r="I206" s="42">
        <f t="shared" si="12"/>
        <v>0</v>
      </c>
      <c r="J206" s="29"/>
    </row>
    <row r="207" spans="1:10" x14ac:dyDescent="0.25">
      <c r="A207" s="38">
        <f>Données!A207</f>
        <v>5744</v>
      </c>
      <c r="B207" s="168" t="str">
        <f>Données!B207</f>
        <v>Ballaigues</v>
      </c>
      <c r="C207" s="348">
        <f>VPI!R207</f>
        <v>54105.101538461538</v>
      </c>
      <c r="D207" s="206">
        <f>Effort!I207-IF(PCS!I213&lt;0, Effort!D207, 0)</f>
        <v>26.926050368743361</v>
      </c>
      <c r="E207" s="505">
        <f>IF(PCS!I213&lt;0, 0, PCS!F213/Aide!C207)</f>
        <v>10.668454703659965</v>
      </c>
      <c r="F207" s="505">
        <f>Effort!G207</f>
        <v>0</v>
      </c>
      <c r="G207" s="371">
        <f t="shared" si="10"/>
        <v>37.594505072403322</v>
      </c>
      <c r="H207" s="223">
        <f t="shared" si="11"/>
        <v>0</v>
      </c>
      <c r="I207" s="42">
        <f t="shared" si="12"/>
        <v>0</v>
      </c>
      <c r="J207" s="29"/>
    </row>
    <row r="208" spans="1:10" x14ac:dyDescent="0.25">
      <c r="A208" s="38">
        <f>Données!A208</f>
        <v>5745</v>
      </c>
      <c r="B208" s="168" t="str">
        <f>Données!B208</f>
        <v>Baulmes</v>
      </c>
      <c r="C208" s="348">
        <f>VPI!R208</f>
        <v>27705.104967320265</v>
      </c>
      <c r="D208" s="206">
        <f>Effort!I208-IF(PCS!I214&lt;0, Effort!D208, 0)</f>
        <v>1.572620437991965</v>
      </c>
      <c r="E208" s="505">
        <f>IF(PCS!I214&lt;0, 0, PCS!F214/Aide!C208)</f>
        <v>4.9337246749735408</v>
      </c>
      <c r="F208" s="505">
        <f>Effort!G208</f>
        <v>0</v>
      </c>
      <c r="G208" s="371">
        <f t="shared" si="10"/>
        <v>6.5063451129655059</v>
      </c>
      <c r="H208" s="223">
        <f t="shared" si="11"/>
        <v>0</v>
      </c>
      <c r="I208" s="42">
        <f t="shared" si="12"/>
        <v>0</v>
      </c>
      <c r="J208" s="29"/>
    </row>
    <row r="209" spans="1:10" x14ac:dyDescent="0.25">
      <c r="A209" s="38">
        <f>Données!A209</f>
        <v>5746</v>
      </c>
      <c r="B209" s="168" t="str">
        <f>Données!B209</f>
        <v>Bavois</v>
      </c>
      <c r="C209" s="348">
        <f>VPI!R209</f>
        <v>29513.59275462963</v>
      </c>
      <c r="D209" s="206">
        <f>Effort!I209-IF(PCS!I215&lt;0, Effort!D209, 0)</f>
        <v>12.780304038212481</v>
      </c>
      <c r="E209" s="505">
        <f>IF(PCS!I215&lt;0, 0, PCS!F215/Aide!C209)</f>
        <v>4.3082791057369407</v>
      </c>
      <c r="F209" s="505">
        <f>Effort!G209</f>
        <v>0</v>
      </c>
      <c r="G209" s="371">
        <f t="shared" si="10"/>
        <v>17.088583143949421</v>
      </c>
      <c r="H209" s="223">
        <f t="shared" si="11"/>
        <v>0</v>
      </c>
      <c r="I209" s="42">
        <f t="shared" si="12"/>
        <v>0</v>
      </c>
      <c r="J209" s="29"/>
    </row>
    <row r="210" spans="1:10" x14ac:dyDescent="0.25">
      <c r="A210" s="38">
        <f>Données!A210</f>
        <v>5747</v>
      </c>
      <c r="B210" s="168" t="str">
        <f>Données!B210</f>
        <v>Bofflens</v>
      </c>
      <c r="C210" s="348">
        <f>VPI!R210</f>
        <v>5778.0378260869547</v>
      </c>
      <c r="D210" s="206">
        <f>Effort!I210-IF(PCS!I216&lt;0, Effort!D210, 0)</f>
        <v>12.785075819464275</v>
      </c>
      <c r="E210" s="505">
        <f>IF(PCS!I216&lt;0, 0, PCS!F216/Aide!C210)</f>
        <v>6.8619748076054421</v>
      </c>
      <c r="F210" s="505">
        <f>Effort!G210</f>
        <v>0</v>
      </c>
      <c r="G210" s="371">
        <f t="shared" si="10"/>
        <v>19.647050627069717</v>
      </c>
      <c r="H210" s="223">
        <f t="shared" si="11"/>
        <v>0</v>
      </c>
      <c r="I210" s="42">
        <f t="shared" si="12"/>
        <v>0</v>
      </c>
      <c r="J210" s="29"/>
    </row>
    <row r="211" spans="1:10" x14ac:dyDescent="0.25">
      <c r="A211" s="38">
        <f>Données!A211</f>
        <v>5748</v>
      </c>
      <c r="B211" s="168" t="str">
        <f>Données!B211</f>
        <v>Bretonnières</v>
      </c>
      <c r="C211" s="348">
        <f>VPI!R211</f>
        <v>6762.4759338061467</v>
      </c>
      <c r="D211" s="206">
        <f>Effort!I211-IF(PCS!I217&lt;0, Effort!D211, 0)</f>
        <v>8.11733875937907</v>
      </c>
      <c r="E211" s="505">
        <f>IF(PCS!I217&lt;0, 0, PCS!F217/Aide!C211)</f>
        <v>2.957517364315891</v>
      </c>
      <c r="F211" s="505">
        <f>Effort!G211</f>
        <v>0</v>
      </c>
      <c r="G211" s="371">
        <f t="shared" si="10"/>
        <v>11.074856123694961</v>
      </c>
      <c r="H211" s="223">
        <f t="shared" si="11"/>
        <v>0</v>
      </c>
      <c r="I211" s="42">
        <f t="shared" si="12"/>
        <v>0</v>
      </c>
      <c r="J211" s="29"/>
    </row>
    <row r="212" spans="1:10" x14ac:dyDescent="0.25">
      <c r="A212" s="38">
        <f>Données!A212</f>
        <v>5749</v>
      </c>
      <c r="B212" s="168" t="str">
        <f>Données!B212</f>
        <v>Chavornay</v>
      </c>
      <c r="C212" s="348">
        <f>VPI!R212</f>
        <v>144692.07858156026</v>
      </c>
      <c r="D212" s="206">
        <f>Effort!I212-IF(PCS!I218&lt;0, Effort!D212, 0)</f>
        <v>-8.7271482162343261E-2</v>
      </c>
      <c r="E212" s="505">
        <f>IF(PCS!I218&lt;0, 0, PCS!F218/Aide!C212)</f>
        <v>2.9768519757438359</v>
      </c>
      <c r="F212" s="505">
        <f>Effort!G212</f>
        <v>0</v>
      </c>
      <c r="G212" s="371">
        <f t="shared" si="10"/>
        <v>2.8895804935814926</v>
      </c>
      <c r="H212" s="223">
        <f t="shared" si="11"/>
        <v>0</v>
      </c>
      <c r="I212" s="42">
        <f t="shared" si="12"/>
        <v>0</v>
      </c>
      <c r="J212" s="29"/>
    </row>
    <row r="213" spans="1:10" x14ac:dyDescent="0.25">
      <c r="A213" s="38">
        <f>Données!A213</f>
        <v>5750</v>
      </c>
      <c r="B213" s="168" t="str">
        <f>Données!B213</f>
        <v>Les Clées</v>
      </c>
      <c r="C213" s="348">
        <f>VPI!R213</f>
        <v>5460.4465833333343</v>
      </c>
      <c r="D213" s="206">
        <f>Effort!I213-IF(PCS!I219&lt;0, Effort!D213, 0)</f>
        <v>9.5821700700736994</v>
      </c>
      <c r="E213" s="505">
        <f>IF(PCS!I219&lt;0, 0, PCS!F219/Aide!C213)</f>
        <v>5.6574200532041337</v>
      </c>
      <c r="F213" s="505">
        <f>Effort!G213</f>
        <v>0</v>
      </c>
      <c r="G213" s="371">
        <f t="shared" si="10"/>
        <v>15.239590123277832</v>
      </c>
      <c r="H213" s="223">
        <f t="shared" si="11"/>
        <v>0</v>
      </c>
      <c r="I213" s="42">
        <f t="shared" si="12"/>
        <v>0</v>
      </c>
      <c r="J213" s="29"/>
    </row>
    <row r="214" spans="1:10" x14ac:dyDescent="0.25">
      <c r="A214" s="38">
        <f>Données!A214</f>
        <v>5752</v>
      </c>
      <c r="B214" s="168" t="str">
        <f>Données!B214</f>
        <v>Croy</v>
      </c>
      <c r="C214" s="348">
        <f>VPI!R214</f>
        <v>10204.254034749034</v>
      </c>
      <c r="D214" s="206">
        <f>Effort!I214-IF(PCS!I220&lt;0, Effort!D214, 0)</f>
        <v>7.6404004224864615</v>
      </c>
      <c r="E214" s="505">
        <f>IF(PCS!I220&lt;0, 0, PCS!F220/Aide!C214)</f>
        <v>2.5107876492247798</v>
      </c>
      <c r="F214" s="505">
        <f>Effort!G214</f>
        <v>0</v>
      </c>
      <c r="G214" s="371">
        <f t="shared" si="10"/>
        <v>10.151188071711241</v>
      </c>
      <c r="H214" s="223">
        <f t="shared" si="11"/>
        <v>0</v>
      </c>
      <c r="I214" s="42">
        <f t="shared" si="12"/>
        <v>0</v>
      </c>
      <c r="J214" s="29"/>
    </row>
    <row r="215" spans="1:10" x14ac:dyDescent="0.25">
      <c r="A215" s="38">
        <f>Données!A215</f>
        <v>5754</v>
      </c>
      <c r="B215" s="168" t="str">
        <f>Données!B215</f>
        <v>Juriens</v>
      </c>
      <c r="C215" s="348">
        <f>VPI!R215</f>
        <v>8633.2483544303759</v>
      </c>
      <c r="D215" s="206">
        <f>Effort!I215-IF(PCS!I221&lt;0, Effort!D215, 0)</f>
        <v>1.7377210860892838</v>
      </c>
      <c r="E215" s="505">
        <f>IF(PCS!I221&lt;0, 0, PCS!F221/Aide!C215)</f>
        <v>18.829088811812078</v>
      </c>
      <c r="F215" s="505">
        <f>Effort!G215</f>
        <v>0</v>
      </c>
      <c r="G215" s="371">
        <f t="shared" si="10"/>
        <v>20.566809897901361</v>
      </c>
      <c r="H215" s="223">
        <f t="shared" si="11"/>
        <v>0</v>
      </c>
      <c r="I215" s="42">
        <f t="shared" si="12"/>
        <v>0</v>
      </c>
      <c r="J215" s="29"/>
    </row>
    <row r="216" spans="1:10" x14ac:dyDescent="0.25">
      <c r="A216" s="38">
        <f>Données!A216</f>
        <v>5755</v>
      </c>
      <c r="B216" s="168" t="str">
        <f>Données!B216</f>
        <v>Lignerolle</v>
      </c>
      <c r="C216" s="348">
        <f>VPI!R216</f>
        <v>10920.942602365787</v>
      </c>
      <c r="D216" s="206">
        <f>Effort!I216-IF(PCS!I222&lt;0, Effort!D216, 0)</f>
        <v>1.2500489154645038</v>
      </c>
      <c r="E216" s="505">
        <f>IF(PCS!I222&lt;0, 0, PCS!F222/Aide!C216)</f>
        <v>4.7426803606476087</v>
      </c>
      <c r="F216" s="505">
        <f>Effort!G216</f>
        <v>0</v>
      </c>
      <c r="G216" s="371">
        <f t="shared" si="10"/>
        <v>5.9927292761121125</v>
      </c>
      <c r="H216" s="223">
        <f t="shared" si="11"/>
        <v>0</v>
      </c>
      <c r="I216" s="42">
        <f t="shared" si="12"/>
        <v>0</v>
      </c>
      <c r="J216" s="29"/>
    </row>
    <row r="217" spans="1:10" x14ac:dyDescent="0.25">
      <c r="A217" s="38">
        <f>Données!A217</f>
        <v>5756</v>
      </c>
      <c r="B217" s="168" t="str">
        <f>Données!B217</f>
        <v>Montcherand</v>
      </c>
      <c r="C217" s="348">
        <f>VPI!R217</f>
        <v>17503.400416666664</v>
      </c>
      <c r="D217" s="206">
        <f>Effort!I217-IF(PCS!I223&lt;0, Effort!D217, 0)</f>
        <v>19.477723123311929</v>
      </c>
      <c r="E217" s="505">
        <f>IF(PCS!I223&lt;0, 0, PCS!F223/Aide!C217)</f>
        <v>0.75471706557209217</v>
      </c>
      <c r="F217" s="505">
        <f>Effort!G217</f>
        <v>0</v>
      </c>
      <c r="G217" s="371">
        <f t="shared" si="10"/>
        <v>20.23244018888402</v>
      </c>
      <c r="H217" s="223">
        <f t="shared" si="11"/>
        <v>0</v>
      </c>
      <c r="I217" s="42">
        <f t="shared" si="12"/>
        <v>0</v>
      </c>
      <c r="J217" s="29"/>
    </row>
    <row r="218" spans="1:10" x14ac:dyDescent="0.25">
      <c r="A218" s="38">
        <f>Données!A218</f>
        <v>5757</v>
      </c>
      <c r="B218" s="168" t="str">
        <f>Données!B218</f>
        <v>Orbe</v>
      </c>
      <c r="C218" s="348">
        <f>VPI!R218</f>
        <v>217762.06927152316</v>
      </c>
      <c r="D218" s="206">
        <f>Effort!I218-IF(PCS!I224&lt;0, Effort!D218, 0)</f>
        <v>-1.0972932438827101</v>
      </c>
      <c r="E218" s="505">
        <f>IF(PCS!I224&lt;0, 0, PCS!F224/Aide!C218)</f>
        <v>8.098339650699744</v>
      </c>
      <c r="F218" s="505">
        <f>Effort!G218</f>
        <v>0</v>
      </c>
      <c r="G218" s="371">
        <f t="shared" si="10"/>
        <v>7.0010464068170339</v>
      </c>
      <c r="H218" s="223">
        <f t="shared" si="11"/>
        <v>0</v>
      </c>
      <c r="I218" s="42">
        <f t="shared" si="12"/>
        <v>0</v>
      </c>
      <c r="J218" s="29"/>
    </row>
    <row r="219" spans="1:10" x14ac:dyDescent="0.25">
      <c r="A219" s="38">
        <f>Données!A219</f>
        <v>5758</v>
      </c>
      <c r="B219" s="168" t="str">
        <f>Données!B219</f>
        <v>La Praz</v>
      </c>
      <c r="C219" s="348">
        <f>VPI!R219</f>
        <v>4500.7334939759048</v>
      </c>
      <c r="D219" s="206">
        <f>Effort!I219-IF(PCS!I225&lt;0, Effort!D219, 0)</f>
        <v>-1.0877350795408773</v>
      </c>
      <c r="E219" s="505">
        <f>IF(PCS!I225&lt;0, 0, PCS!F225/Aide!C219)</f>
        <v>0.26534897069521829</v>
      </c>
      <c r="F219" s="505">
        <f>Effort!G219</f>
        <v>0</v>
      </c>
      <c r="G219" s="371">
        <f t="shared" si="10"/>
        <v>-0.82238610884565899</v>
      </c>
      <c r="H219" s="223">
        <f t="shared" si="11"/>
        <v>0</v>
      </c>
      <c r="I219" s="42">
        <f t="shared" si="12"/>
        <v>0</v>
      </c>
      <c r="J219" s="29"/>
    </row>
    <row r="220" spans="1:10" x14ac:dyDescent="0.25">
      <c r="A220" s="38">
        <f>Données!A220</f>
        <v>5759</v>
      </c>
      <c r="B220" s="168" t="str">
        <f>Données!B220</f>
        <v>Premier</v>
      </c>
      <c r="C220" s="348">
        <f>VPI!R220</f>
        <v>5667.0675471698114</v>
      </c>
      <c r="D220" s="206">
        <f>Effort!I220-IF(PCS!I226&lt;0, Effort!D220, 0)</f>
        <v>-0.21473074767946798</v>
      </c>
      <c r="E220" s="505">
        <f>IF(PCS!I226&lt;0, 0, PCS!F226/Aide!C220)</f>
        <v>3.872726029348379</v>
      </c>
      <c r="F220" s="505">
        <f>Effort!G220</f>
        <v>0</v>
      </c>
      <c r="G220" s="371">
        <f t="shared" si="10"/>
        <v>3.657995281668911</v>
      </c>
      <c r="H220" s="223">
        <f t="shared" si="11"/>
        <v>0</v>
      </c>
      <c r="I220" s="42">
        <f t="shared" si="12"/>
        <v>0</v>
      </c>
      <c r="J220" s="29"/>
    </row>
    <row r="221" spans="1:10" x14ac:dyDescent="0.25">
      <c r="A221" s="38">
        <f>Données!A221</f>
        <v>5760</v>
      </c>
      <c r="B221" s="168" t="str">
        <f>Données!B221</f>
        <v>Rances</v>
      </c>
      <c r="C221" s="348">
        <f>VPI!R221</f>
        <v>16308.735686274507</v>
      </c>
      <c r="D221" s="206">
        <f>Effort!I221-IF(PCS!I227&lt;0, Effort!D221, 0)</f>
        <v>13.850413958614595</v>
      </c>
      <c r="E221" s="505">
        <f>IF(PCS!I227&lt;0, 0, PCS!F227/Aide!C221)</f>
        <v>4.3503847486909217</v>
      </c>
      <c r="F221" s="505">
        <f>Effort!G221</f>
        <v>0</v>
      </c>
      <c r="G221" s="371">
        <f t="shared" si="10"/>
        <v>18.200798707305516</v>
      </c>
      <c r="H221" s="223">
        <f t="shared" si="11"/>
        <v>0</v>
      </c>
      <c r="I221" s="42">
        <f t="shared" si="12"/>
        <v>0</v>
      </c>
      <c r="J221" s="29"/>
    </row>
    <row r="222" spans="1:10" x14ac:dyDescent="0.25">
      <c r="A222" s="38">
        <f>Données!A222</f>
        <v>5761</v>
      </c>
      <c r="B222" s="168" t="str">
        <f>Données!B222</f>
        <v>Romainmôtier-Envy</v>
      </c>
      <c r="C222" s="348">
        <f>VPI!R222</f>
        <v>14407.779147025813</v>
      </c>
      <c r="D222" s="206">
        <f>Effort!I222-IF(PCS!I228&lt;0, Effort!D222, 0)</f>
        <v>2.0113029351474232</v>
      </c>
      <c r="E222" s="505">
        <f>IF(PCS!I228&lt;0, 0, PCS!F228/Aide!C222)</f>
        <v>3.3306809127419243</v>
      </c>
      <c r="F222" s="505">
        <f>Effort!G222</f>
        <v>0</v>
      </c>
      <c r="G222" s="371">
        <f t="shared" si="10"/>
        <v>5.3419838478893471</v>
      </c>
      <c r="H222" s="223">
        <f t="shared" si="11"/>
        <v>0</v>
      </c>
      <c r="I222" s="42">
        <f t="shared" si="12"/>
        <v>0</v>
      </c>
      <c r="J222" s="29"/>
    </row>
    <row r="223" spans="1:10" x14ac:dyDescent="0.25">
      <c r="A223" s="38">
        <f>Données!A223</f>
        <v>5762</v>
      </c>
      <c r="B223" s="168" t="str">
        <f>Données!B223</f>
        <v>Sergey</v>
      </c>
      <c r="C223" s="348">
        <f>VPI!R223</f>
        <v>3741.4505128205124</v>
      </c>
      <c r="D223" s="206">
        <f>Effort!I223-IF(PCS!I229&lt;0, Effort!D223, 0)</f>
        <v>6.2683063541562163</v>
      </c>
      <c r="E223" s="505">
        <f>IF(PCS!I229&lt;0, 0, PCS!F229/Aide!C223)</f>
        <v>1.783638451753629</v>
      </c>
      <c r="F223" s="505">
        <f>Effort!G223</f>
        <v>0</v>
      </c>
      <c r="G223" s="371">
        <f t="shared" si="10"/>
        <v>8.0519448059098444</v>
      </c>
      <c r="H223" s="223">
        <f t="shared" si="11"/>
        <v>0</v>
      </c>
      <c r="I223" s="42">
        <f t="shared" si="12"/>
        <v>0</v>
      </c>
      <c r="J223" s="29"/>
    </row>
    <row r="224" spans="1:10" x14ac:dyDescent="0.25">
      <c r="A224" s="38">
        <f>Données!A224</f>
        <v>5763</v>
      </c>
      <c r="B224" s="168" t="str">
        <f>Données!B224</f>
        <v>Valeyres-sous-Rances</v>
      </c>
      <c r="C224" s="348">
        <f>VPI!R224</f>
        <v>22295.640563380282</v>
      </c>
      <c r="D224" s="206">
        <f>Effort!I224-IF(PCS!I230&lt;0, Effort!D224, 0)</f>
        <v>20.969402405397737</v>
      </c>
      <c r="E224" s="505">
        <f>IF(PCS!I230&lt;0, 0, PCS!F230/Aide!C224)</f>
        <v>0.89764723032320459</v>
      </c>
      <c r="F224" s="505">
        <f>Effort!G224</f>
        <v>0</v>
      </c>
      <c r="G224" s="371">
        <f t="shared" si="10"/>
        <v>21.867049635720942</v>
      </c>
      <c r="H224" s="223">
        <f t="shared" si="11"/>
        <v>0</v>
      </c>
      <c r="I224" s="42">
        <f t="shared" si="12"/>
        <v>0</v>
      </c>
      <c r="J224" s="29"/>
    </row>
    <row r="225" spans="1:10" x14ac:dyDescent="0.25">
      <c r="A225" s="38">
        <f>Données!A225</f>
        <v>5764</v>
      </c>
      <c r="B225" s="168" t="str">
        <f>Données!B225</f>
        <v>Vallorbe</v>
      </c>
      <c r="C225" s="348">
        <f>VPI!R225</f>
        <v>83717.114965034954</v>
      </c>
      <c r="D225" s="206">
        <f>Effort!I225-IF(PCS!I231&lt;0, Effort!D225, 0)</f>
        <v>-12.159865841946019</v>
      </c>
      <c r="E225" s="505">
        <f>IF(PCS!I231&lt;0, 0, PCS!F231/Aide!C225)</f>
        <v>12.632944236572312</v>
      </c>
      <c r="F225" s="505">
        <f>Effort!G225</f>
        <v>0</v>
      </c>
      <c r="G225" s="371">
        <f t="shared" si="10"/>
        <v>0.47307839462629353</v>
      </c>
      <c r="H225" s="223">
        <f t="shared" si="11"/>
        <v>0</v>
      </c>
      <c r="I225" s="42">
        <f t="shared" si="12"/>
        <v>0</v>
      </c>
      <c r="J225" s="29"/>
    </row>
    <row r="226" spans="1:10" x14ac:dyDescent="0.25">
      <c r="A226" s="38">
        <f>Données!A226</f>
        <v>5765</v>
      </c>
      <c r="B226" s="168" t="str">
        <f>Données!B226</f>
        <v>Vaulion</v>
      </c>
      <c r="C226" s="348">
        <f>VPI!R226</f>
        <v>9628.0504938271606</v>
      </c>
      <c r="D226" s="206">
        <f>Effort!I226-IF(PCS!I232&lt;0, Effort!D226, 0)</f>
        <v>-13.118143451517419</v>
      </c>
      <c r="E226" s="505">
        <f>IF(PCS!I232&lt;0, 0, PCS!F232/Aide!C226)</f>
        <v>1.6088236149084396</v>
      </c>
      <c r="F226" s="505">
        <f>Effort!G226</f>
        <v>0</v>
      </c>
      <c r="G226" s="371">
        <f t="shared" si="10"/>
        <v>-11.509319836608979</v>
      </c>
      <c r="H226" s="223">
        <f t="shared" si="11"/>
        <v>-3.5093198366089791</v>
      </c>
      <c r="I226" s="42">
        <f t="shared" si="12"/>
        <v>33787.908585860532</v>
      </c>
      <c r="J226" s="29"/>
    </row>
    <row r="227" spans="1:10" x14ac:dyDescent="0.25">
      <c r="A227" s="38">
        <f>Données!A227</f>
        <v>5766</v>
      </c>
      <c r="B227" s="168" t="str">
        <f>Données!B227</f>
        <v>Vuiteboeuf</v>
      </c>
      <c r="C227" s="348">
        <f>VPI!R227</f>
        <v>15422.760361904762</v>
      </c>
      <c r="D227" s="206">
        <f>Effort!I227-IF(PCS!I233&lt;0, Effort!D227, 0)</f>
        <v>6.5821835636754198</v>
      </c>
      <c r="E227" s="505">
        <f>IF(PCS!I233&lt;0, 0, PCS!F233/Aide!C227)</f>
        <v>6.1772058155894145</v>
      </c>
      <c r="F227" s="505">
        <f>Effort!G227</f>
        <v>0</v>
      </c>
      <c r="G227" s="371">
        <f t="shared" si="10"/>
        <v>12.759389379264835</v>
      </c>
      <c r="H227" s="223">
        <f t="shared" si="11"/>
        <v>0</v>
      </c>
      <c r="I227" s="42">
        <f t="shared" si="12"/>
        <v>0</v>
      </c>
      <c r="J227" s="29"/>
    </row>
    <row r="228" spans="1:10" x14ac:dyDescent="0.25">
      <c r="A228" s="38">
        <f>Données!A228</f>
        <v>5785</v>
      </c>
      <c r="B228" s="168" t="str">
        <f>Données!B228</f>
        <v>Corcelles-le-Jorat</v>
      </c>
      <c r="C228" s="348">
        <f>VPI!R228</f>
        <v>15461.968933333332</v>
      </c>
      <c r="D228" s="206">
        <f>Effort!I228-IF(PCS!I234&lt;0, Effort!D228, 0)</f>
        <v>15.208877123880949</v>
      </c>
      <c r="E228" s="505">
        <f>IF(PCS!I234&lt;0, 0, PCS!F234/Aide!C228)</f>
        <v>1.1735973004628208</v>
      </c>
      <c r="F228" s="505">
        <f>Effort!G228</f>
        <v>0</v>
      </c>
      <c r="G228" s="371">
        <f t="shared" si="10"/>
        <v>16.382474424343769</v>
      </c>
      <c r="H228" s="223">
        <f t="shared" si="11"/>
        <v>0</v>
      </c>
      <c r="I228" s="42">
        <f t="shared" si="12"/>
        <v>0</v>
      </c>
      <c r="J228" s="29"/>
    </row>
    <row r="229" spans="1:10" x14ac:dyDescent="0.25">
      <c r="A229" s="38">
        <f>Données!A229</f>
        <v>5790</v>
      </c>
      <c r="B229" s="168" t="str">
        <f>Données!B229</f>
        <v>Maracon</v>
      </c>
      <c r="C229" s="348">
        <f>VPI!R229</f>
        <v>16326.697583892621</v>
      </c>
      <c r="D229" s="206">
        <f>Effort!I229-IF(PCS!I235&lt;0, Effort!D229, 0)</f>
        <v>12.935410258094358</v>
      </c>
      <c r="E229" s="505">
        <f>IF(PCS!I235&lt;0, 0, PCS!F235/Aide!C229)</f>
        <v>0.80802072386121093</v>
      </c>
      <c r="F229" s="505">
        <f>Effort!G229</f>
        <v>0</v>
      </c>
      <c r="G229" s="371">
        <f t="shared" si="10"/>
        <v>13.743430981955569</v>
      </c>
      <c r="H229" s="223">
        <f t="shared" si="11"/>
        <v>0</v>
      </c>
      <c r="I229" s="42">
        <f t="shared" si="12"/>
        <v>0</v>
      </c>
      <c r="J229" s="29"/>
    </row>
    <row r="230" spans="1:10" x14ac:dyDescent="0.25">
      <c r="A230" s="38">
        <f>Données!A230</f>
        <v>5792</v>
      </c>
      <c r="B230" s="168" t="str">
        <f>Données!B230</f>
        <v>Montpreveyres</v>
      </c>
      <c r="C230" s="348">
        <f>VPI!R230</f>
        <v>19363.161854304632</v>
      </c>
      <c r="D230" s="206">
        <f>Effort!I230-IF(PCS!I236&lt;0, Effort!D230, 0)</f>
        <v>11.496136206571737</v>
      </c>
      <c r="E230" s="505">
        <f>IF(PCS!I236&lt;0, 0, PCS!F236/Aide!C230)</f>
        <v>1.0082392610719153</v>
      </c>
      <c r="F230" s="505">
        <f>Effort!G230</f>
        <v>0</v>
      </c>
      <c r="G230" s="371">
        <f t="shared" si="10"/>
        <v>12.504375467643653</v>
      </c>
      <c r="H230" s="223">
        <f t="shared" si="11"/>
        <v>0</v>
      </c>
      <c r="I230" s="42">
        <f t="shared" si="12"/>
        <v>0</v>
      </c>
      <c r="J230" s="29"/>
    </row>
    <row r="231" spans="1:10" x14ac:dyDescent="0.25">
      <c r="A231" s="38">
        <f>Données!A231</f>
        <v>5798</v>
      </c>
      <c r="B231" s="168" t="str">
        <f>Données!B231</f>
        <v>Ropraz</v>
      </c>
      <c r="C231" s="348">
        <f>VPI!R231</f>
        <v>16208.351096774193</v>
      </c>
      <c r="D231" s="206">
        <f>Effort!I231-IF(PCS!I237&lt;0, Effort!D231, 0)</f>
        <v>12.697551138753806</v>
      </c>
      <c r="E231" s="505">
        <f>IF(PCS!I237&lt;0, 0, PCS!F237/Aide!C231)</f>
        <v>2.3599528891999855</v>
      </c>
      <c r="F231" s="505">
        <f>Effort!G231</f>
        <v>0</v>
      </c>
      <c r="G231" s="371">
        <f t="shared" si="10"/>
        <v>15.05750402795379</v>
      </c>
      <c r="H231" s="223">
        <f t="shared" si="11"/>
        <v>0</v>
      </c>
      <c r="I231" s="42">
        <f t="shared" si="12"/>
        <v>0</v>
      </c>
      <c r="J231" s="29"/>
    </row>
    <row r="232" spans="1:10" x14ac:dyDescent="0.25">
      <c r="A232" s="38">
        <f>Données!A232</f>
        <v>5799</v>
      </c>
      <c r="B232" s="168" t="str">
        <f>Données!B232</f>
        <v>Servion</v>
      </c>
      <c r="C232" s="348">
        <f>VPI!R232</f>
        <v>73170.718115942043</v>
      </c>
      <c r="D232" s="206">
        <f>Effort!I232-IF(PCS!I238&lt;0, Effort!D232, 0)</f>
        <v>15.569038935956012</v>
      </c>
      <c r="E232" s="505">
        <f>IF(PCS!I238&lt;0, 0, PCS!F238/Aide!C232)</f>
        <v>5.7705612418747805</v>
      </c>
      <c r="F232" s="505">
        <f>Effort!G232</f>
        <v>0</v>
      </c>
      <c r="G232" s="371">
        <f t="shared" si="10"/>
        <v>21.339600177830793</v>
      </c>
      <c r="H232" s="223">
        <f t="shared" si="11"/>
        <v>0</v>
      </c>
      <c r="I232" s="42">
        <f t="shared" si="12"/>
        <v>0</v>
      </c>
      <c r="J232" s="29"/>
    </row>
    <row r="233" spans="1:10" x14ac:dyDescent="0.25">
      <c r="A233" s="38">
        <f>Données!A233</f>
        <v>5803</v>
      </c>
      <c r="B233" s="168" t="str">
        <f>Données!B233</f>
        <v>Vulliens</v>
      </c>
      <c r="C233" s="348">
        <f>VPI!R233</f>
        <v>16577.57405405405</v>
      </c>
      <c r="D233" s="206">
        <f>Effort!I233-IF(PCS!I239&lt;0, Effort!D233, 0)</f>
        <v>7.4044170893390948</v>
      </c>
      <c r="E233" s="505">
        <f>IF(PCS!I239&lt;0, 0, PCS!F239/Aide!C233)</f>
        <v>4.107831446142546</v>
      </c>
      <c r="F233" s="505">
        <f>Effort!G233</f>
        <v>0</v>
      </c>
      <c r="G233" s="371">
        <f t="shared" si="10"/>
        <v>11.512248535481641</v>
      </c>
      <c r="H233" s="223">
        <f t="shared" si="11"/>
        <v>0</v>
      </c>
      <c r="I233" s="42">
        <f t="shared" si="12"/>
        <v>0</v>
      </c>
      <c r="J233" s="29"/>
    </row>
    <row r="234" spans="1:10" x14ac:dyDescent="0.25">
      <c r="A234" s="38">
        <f>Données!A234</f>
        <v>5804</v>
      </c>
      <c r="B234" s="168" t="str">
        <f>Données!B234</f>
        <v>Jorat-Menthue</v>
      </c>
      <c r="C234" s="348">
        <f>VPI!R234</f>
        <v>45125.345957446807</v>
      </c>
      <c r="D234" s="206">
        <f>Effort!I234-IF(PCS!I240&lt;0, Effort!D234, 0)</f>
        <v>9.9651931478703322</v>
      </c>
      <c r="E234" s="505">
        <f>IF(PCS!I240&lt;0, 0, PCS!F240/Aide!C234)</f>
        <v>2.3089931564902582</v>
      </c>
      <c r="F234" s="505">
        <f>Effort!G234</f>
        <v>0</v>
      </c>
      <c r="G234" s="371">
        <f t="shared" si="10"/>
        <v>12.27418630436059</v>
      </c>
      <c r="H234" s="223">
        <f t="shared" si="11"/>
        <v>0</v>
      </c>
      <c r="I234" s="42">
        <f t="shared" si="12"/>
        <v>0</v>
      </c>
      <c r="J234" s="29"/>
    </row>
    <row r="235" spans="1:10" x14ac:dyDescent="0.25">
      <c r="A235" s="38">
        <f>Données!A235</f>
        <v>5805</v>
      </c>
      <c r="B235" s="168" t="str">
        <f>Données!B235</f>
        <v>Oron</v>
      </c>
      <c r="C235" s="348">
        <f>VPI!R235</f>
        <v>174509.83123847167</v>
      </c>
      <c r="D235" s="206">
        <f>Effort!I235-IF(PCS!I241&lt;0, Effort!D235, 0)</f>
        <v>2.7979064086491476</v>
      </c>
      <c r="E235" s="505">
        <f>IF(PCS!I241&lt;0, 0, PCS!F241/Aide!C235)</f>
        <v>2.8484409243438416</v>
      </c>
      <c r="F235" s="505">
        <f>Effort!G235</f>
        <v>0</v>
      </c>
      <c r="G235" s="371">
        <f t="shared" si="10"/>
        <v>5.6463473329929892</v>
      </c>
      <c r="H235" s="223">
        <f t="shared" si="11"/>
        <v>0</v>
      </c>
      <c r="I235" s="42">
        <f t="shared" si="12"/>
        <v>0</v>
      </c>
      <c r="J235" s="29"/>
    </row>
    <row r="236" spans="1:10" x14ac:dyDescent="0.25">
      <c r="A236" s="38">
        <f>Données!A236</f>
        <v>5806</v>
      </c>
      <c r="B236" s="168" t="str">
        <f>Données!B236</f>
        <v>Jorat-Mézières</v>
      </c>
      <c r="C236" s="348">
        <f>VPI!R236</f>
        <v>102977.86342465752</v>
      </c>
      <c r="D236" s="206">
        <f>Effort!I236-IF(PCS!I242&lt;0, Effort!D236, 0)</f>
        <v>12.174829181376833</v>
      </c>
      <c r="E236" s="505">
        <f>IF(PCS!I242&lt;0, 0, PCS!F242/Aide!C236)</f>
        <v>3.6120330392379865</v>
      </c>
      <c r="F236" s="505">
        <f>Effort!G236</f>
        <v>0</v>
      </c>
      <c r="G236" s="371">
        <f t="shared" si="10"/>
        <v>15.786862220614818</v>
      </c>
      <c r="H236" s="223">
        <f t="shared" si="11"/>
        <v>0</v>
      </c>
      <c r="I236" s="42">
        <f t="shared" si="12"/>
        <v>0</v>
      </c>
      <c r="J236" s="29"/>
    </row>
    <row r="237" spans="1:10" x14ac:dyDescent="0.25">
      <c r="A237" s="38">
        <f>Données!A237</f>
        <v>5812</v>
      </c>
      <c r="B237" s="168" t="str">
        <f>Données!B237</f>
        <v>Champtauroz</v>
      </c>
      <c r="C237" s="348">
        <f>VPI!R237</f>
        <v>3602.9164935064928</v>
      </c>
      <c r="D237" s="206">
        <f>Effort!I237-IF(PCS!I243&lt;0, Effort!D237, 0)</f>
        <v>-5.3435858470006465</v>
      </c>
      <c r="E237" s="505">
        <f>IF(PCS!I243&lt;0, 0, PCS!F243/Aide!C237)</f>
        <v>6.4172594734489463</v>
      </c>
      <c r="F237" s="505">
        <f>Effort!G237</f>
        <v>0</v>
      </c>
      <c r="G237" s="371">
        <f t="shared" si="10"/>
        <v>1.0736736264482998</v>
      </c>
      <c r="H237" s="223">
        <f t="shared" si="11"/>
        <v>0</v>
      </c>
      <c r="I237" s="42">
        <f t="shared" si="12"/>
        <v>0</v>
      </c>
      <c r="J237" s="29"/>
    </row>
    <row r="238" spans="1:10" x14ac:dyDescent="0.25">
      <c r="A238" s="38">
        <f>Données!A238</f>
        <v>5813</v>
      </c>
      <c r="B238" s="168" t="str">
        <f>Données!B238</f>
        <v>Chevroux</v>
      </c>
      <c r="C238" s="348">
        <f>VPI!R238</f>
        <v>17498.80282238443</v>
      </c>
      <c r="D238" s="206">
        <f>Effort!I238-IF(PCS!I244&lt;0, Effort!D238, 0)</f>
        <v>18.661007419319624</v>
      </c>
      <c r="E238" s="505">
        <f>IF(PCS!I244&lt;0, 0, PCS!F244/Aide!C238)</f>
        <v>4.6736554397528778</v>
      </c>
      <c r="F238" s="505">
        <f>Effort!G238</f>
        <v>0</v>
      </c>
      <c r="G238" s="371">
        <f t="shared" si="10"/>
        <v>23.334662859072502</v>
      </c>
      <c r="H238" s="223">
        <f t="shared" si="11"/>
        <v>0</v>
      </c>
      <c r="I238" s="42">
        <f t="shared" si="12"/>
        <v>0</v>
      </c>
      <c r="J238" s="29"/>
    </row>
    <row r="239" spans="1:10" x14ac:dyDescent="0.25">
      <c r="A239" s="38">
        <f>Données!A239</f>
        <v>5816</v>
      </c>
      <c r="B239" s="168" t="str">
        <f>Données!B239</f>
        <v>Corcelles-près-Payerne</v>
      </c>
      <c r="C239" s="348">
        <f>VPI!R239</f>
        <v>65701.749572471308</v>
      </c>
      <c r="D239" s="206">
        <f>Effort!I239-IF(PCS!I245&lt;0, Effort!D239, 0)</f>
        <v>-1.9721474595215298</v>
      </c>
      <c r="E239" s="505">
        <f>IF(PCS!I245&lt;0, 0, PCS!F245/Aide!C239)</f>
        <v>3.2860266492881953</v>
      </c>
      <c r="F239" s="505">
        <f>Effort!G239</f>
        <v>0</v>
      </c>
      <c r="G239" s="371">
        <f t="shared" si="10"/>
        <v>1.3138791897666655</v>
      </c>
      <c r="H239" s="223">
        <f t="shared" si="11"/>
        <v>0</v>
      </c>
      <c r="I239" s="42">
        <f t="shared" si="12"/>
        <v>0</v>
      </c>
      <c r="J239" s="29"/>
    </row>
    <row r="240" spans="1:10" x14ac:dyDescent="0.25">
      <c r="A240" s="38">
        <f>Données!A240</f>
        <v>5817</v>
      </c>
      <c r="B240" s="168" t="str">
        <f>Données!B240</f>
        <v>Grandcour</v>
      </c>
      <c r="C240" s="348">
        <f>VPI!R240</f>
        <v>25916.897414965984</v>
      </c>
      <c r="D240" s="206">
        <f>Effort!I240-IF(PCS!I246&lt;0, Effort!D240, 0)</f>
        <v>7.0579807387141464</v>
      </c>
      <c r="E240" s="505">
        <f>IF(PCS!I246&lt;0, 0, PCS!F246/Aide!C240)</f>
        <v>3.8303356073275681</v>
      </c>
      <c r="F240" s="505">
        <f>Effort!G240</f>
        <v>0</v>
      </c>
      <c r="G240" s="371">
        <f t="shared" si="10"/>
        <v>10.888316346041714</v>
      </c>
      <c r="H240" s="223">
        <f t="shared" si="11"/>
        <v>0</v>
      </c>
      <c r="I240" s="42">
        <f t="shared" si="12"/>
        <v>0</v>
      </c>
      <c r="J240" s="29"/>
    </row>
    <row r="241" spans="1:10" x14ac:dyDescent="0.25">
      <c r="A241" s="38">
        <f>Données!A241</f>
        <v>5819</v>
      </c>
      <c r="B241" s="168" t="str">
        <f>Données!B241</f>
        <v>Henniez</v>
      </c>
      <c r="C241" s="348">
        <f>VPI!R241</f>
        <v>10275.75579710145</v>
      </c>
      <c r="D241" s="206">
        <f>Effort!I241-IF(PCS!I247&lt;0, Effort!D241, 0)</f>
        <v>7.5490428789140456</v>
      </c>
      <c r="E241" s="505">
        <f>IF(PCS!I247&lt;0, 0, PCS!F247/Aide!C241)</f>
        <v>8.850786433213452</v>
      </c>
      <c r="F241" s="505">
        <f>Effort!G241</f>
        <v>0</v>
      </c>
      <c r="G241" s="371">
        <f t="shared" si="10"/>
        <v>16.399829312127498</v>
      </c>
      <c r="H241" s="223">
        <f t="shared" si="11"/>
        <v>0</v>
      </c>
      <c r="I241" s="42">
        <f t="shared" si="12"/>
        <v>0</v>
      </c>
      <c r="J241" s="29"/>
    </row>
    <row r="242" spans="1:10" x14ac:dyDescent="0.25">
      <c r="A242" s="38">
        <f>Données!A242</f>
        <v>5821</v>
      </c>
      <c r="B242" s="168" t="str">
        <f>Données!B242</f>
        <v>Missy</v>
      </c>
      <c r="C242" s="348">
        <f>VPI!R242</f>
        <v>8375.965000000002</v>
      </c>
      <c r="D242" s="206">
        <f>Effort!I242-IF(PCS!I248&lt;0, Effort!D242, 0)</f>
        <v>-0.75934741770587877</v>
      </c>
      <c r="E242" s="505">
        <f>IF(PCS!I248&lt;0, 0, PCS!F248/Aide!C242)</f>
        <v>4.8081415096648552</v>
      </c>
      <c r="F242" s="505">
        <f>Effort!G242</f>
        <v>0</v>
      </c>
      <c r="G242" s="371">
        <f t="shared" si="10"/>
        <v>4.0487940919589764</v>
      </c>
      <c r="H242" s="223">
        <f t="shared" si="11"/>
        <v>0</v>
      </c>
      <c r="I242" s="42">
        <f t="shared" si="12"/>
        <v>0</v>
      </c>
      <c r="J242" s="29"/>
    </row>
    <row r="243" spans="1:10" x14ac:dyDescent="0.25">
      <c r="A243" s="38">
        <f>Données!A243</f>
        <v>5822</v>
      </c>
      <c r="B243" s="168" t="str">
        <f>Données!B243</f>
        <v>Payerne</v>
      </c>
      <c r="C243" s="348">
        <f>VPI!R243</f>
        <v>226909.24698630138</v>
      </c>
      <c r="D243" s="206">
        <f>Effort!I243-IF(PCS!I249&lt;0, Effort!D243, 0)</f>
        <v>-19.614426492341689</v>
      </c>
      <c r="E243" s="505">
        <f>IF(PCS!I249&lt;0, 0, PCS!F249/Aide!C243)</f>
        <v>4.507212128123375</v>
      </c>
      <c r="F243" s="505">
        <f>Effort!G243</f>
        <v>0</v>
      </c>
      <c r="G243" s="371">
        <f t="shared" si="10"/>
        <v>-15.107214364218315</v>
      </c>
      <c r="H243" s="223">
        <f t="shared" si="11"/>
        <v>-7.107214364218315</v>
      </c>
      <c r="I243" s="42">
        <f t="shared" si="12"/>
        <v>1612692.6595550026</v>
      </c>
      <c r="J243" s="29"/>
    </row>
    <row r="244" spans="1:10" x14ac:dyDescent="0.25">
      <c r="A244" s="38">
        <f>Données!A244</f>
        <v>5827</v>
      </c>
      <c r="B244" s="168" t="str">
        <f>Données!B244</f>
        <v>Trey</v>
      </c>
      <c r="C244" s="348">
        <f>VPI!R244</f>
        <v>7715.2558974358981</v>
      </c>
      <c r="D244" s="206">
        <f>Effort!I244-IF(PCS!I250&lt;0, Effort!D244, 0)</f>
        <v>4.0143717788069537</v>
      </c>
      <c r="E244" s="505">
        <f>IF(PCS!I250&lt;0, 0, PCS!F250/Aide!C244)</f>
        <v>3.193241459196162</v>
      </c>
      <c r="F244" s="505">
        <f>Effort!G244</f>
        <v>0</v>
      </c>
      <c r="G244" s="371">
        <f t="shared" si="10"/>
        <v>7.2076132380031162</v>
      </c>
      <c r="H244" s="223">
        <f t="shared" si="11"/>
        <v>0</v>
      </c>
      <c r="I244" s="42">
        <f t="shared" si="12"/>
        <v>0</v>
      </c>
      <c r="J244" s="29"/>
    </row>
    <row r="245" spans="1:10" x14ac:dyDescent="0.25">
      <c r="A245" s="38">
        <f>Données!A245</f>
        <v>5828</v>
      </c>
      <c r="B245" s="168" t="str">
        <f>Données!B245</f>
        <v>Treytorrens (Payerne)</v>
      </c>
      <c r="C245" s="348">
        <f>VPI!R245</f>
        <v>2864.8065848670758</v>
      </c>
      <c r="D245" s="206">
        <f>Effort!I245-IF(PCS!I251&lt;0, Effort!D245, 0)</f>
        <v>5.5404511292807399</v>
      </c>
      <c r="E245" s="505">
        <f>IF(PCS!I251&lt;0, 0, PCS!F251/Aide!C245)</f>
        <v>3.82135745492499</v>
      </c>
      <c r="F245" s="505">
        <f>Effort!G245</f>
        <v>0</v>
      </c>
      <c r="G245" s="371">
        <f t="shared" si="10"/>
        <v>9.361808584205729</v>
      </c>
      <c r="H245" s="223">
        <f t="shared" si="11"/>
        <v>0</v>
      </c>
      <c r="I245" s="42">
        <f t="shared" si="12"/>
        <v>0</v>
      </c>
      <c r="J245" s="29"/>
    </row>
    <row r="246" spans="1:10" x14ac:dyDescent="0.25">
      <c r="A246" s="38">
        <f>Données!A246</f>
        <v>5830</v>
      </c>
      <c r="B246" s="168" t="str">
        <f>Données!B246</f>
        <v>Villarzel</v>
      </c>
      <c r="C246" s="348">
        <f>VPI!R246</f>
        <v>12474.180666666667</v>
      </c>
      <c r="D246" s="206">
        <f>Effort!I246-IF(PCS!I252&lt;0, Effort!D246, 0)</f>
        <v>5.7833526598508556</v>
      </c>
      <c r="E246" s="505">
        <f>IF(PCS!I252&lt;0, 0, PCS!F252/Aide!C246)</f>
        <v>2.5494231524945574</v>
      </c>
      <c r="F246" s="505">
        <f>Effort!G246</f>
        <v>0</v>
      </c>
      <c r="G246" s="371">
        <f t="shared" si="10"/>
        <v>8.3327758123454139</v>
      </c>
      <c r="H246" s="223">
        <f t="shared" si="11"/>
        <v>0</v>
      </c>
      <c r="I246" s="42">
        <f t="shared" si="12"/>
        <v>0</v>
      </c>
      <c r="J246" s="29"/>
    </row>
    <row r="247" spans="1:10" x14ac:dyDescent="0.25">
      <c r="A247" s="38">
        <f>Données!A247</f>
        <v>5831</v>
      </c>
      <c r="B247" s="168" t="str">
        <f>Données!B247</f>
        <v>Valbroye</v>
      </c>
      <c r="C247" s="348">
        <f>VPI!R247</f>
        <v>87477.16732860521</v>
      </c>
      <c r="D247" s="206">
        <f>Effort!I247-IF(PCS!I253&lt;0, Effort!D247, 0)</f>
        <v>1.8671508563501149</v>
      </c>
      <c r="E247" s="505">
        <f>IF(PCS!I253&lt;0, 0, PCS!F253/Aide!C247)</f>
        <v>8.1914094486880238</v>
      </c>
      <c r="F247" s="505">
        <f>Effort!G247</f>
        <v>0</v>
      </c>
      <c r="G247" s="371">
        <f t="shared" si="10"/>
        <v>10.058560305038139</v>
      </c>
      <c r="H247" s="223">
        <f t="shared" si="11"/>
        <v>0</v>
      </c>
      <c r="I247" s="42">
        <f t="shared" si="12"/>
        <v>0</v>
      </c>
      <c r="J247" s="29"/>
    </row>
    <row r="248" spans="1:10" x14ac:dyDescent="0.25">
      <c r="A248" s="38">
        <f>Données!A248</f>
        <v>5841</v>
      </c>
      <c r="B248" s="168" t="str">
        <f>Données!B248</f>
        <v>Château-d'Oex</v>
      </c>
      <c r="C248" s="348">
        <f>VPI!R248</f>
        <v>123828.98781186093</v>
      </c>
      <c r="D248" s="206">
        <f>Effort!I248-IF(PCS!I254&lt;0, Effort!D248, 0)</f>
        <v>11.090014891539441</v>
      </c>
      <c r="E248" s="505">
        <f>IF(PCS!I254&lt;0, 0, PCS!F254/Aide!C248)</f>
        <v>9.0212692499534359</v>
      </c>
      <c r="F248" s="505">
        <f>Effort!G248</f>
        <v>0</v>
      </c>
      <c r="G248" s="371">
        <f t="shared" si="10"/>
        <v>20.111284141492877</v>
      </c>
      <c r="H248" s="223">
        <f t="shared" si="11"/>
        <v>0</v>
      </c>
      <c r="I248" s="42">
        <f t="shared" si="12"/>
        <v>0</v>
      </c>
      <c r="J248" s="29"/>
    </row>
    <row r="249" spans="1:10" x14ac:dyDescent="0.25">
      <c r="A249" s="38">
        <f>Données!A249</f>
        <v>5842</v>
      </c>
      <c r="B249" s="168" t="str">
        <f>Données!B249</f>
        <v>Rossinière</v>
      </c>
      <c r="C249" s="348">
        <f>VPI!R249</f>
        <v>16474.219053497945</v>
      </c>
      <c r="D249" s="206">
        <f>Effort!I249-IF(PCS!I255&lt;0, Effort!D249, 0)</f>
        <v>11.721663075789483</v>
      </c>
      <c r="E249" s="505">
        <f>IF(PCS!I255&lt;0, 0, PCS!F255/Aide!C249)</f>
        <v>3.0574654152911216</v>
      </c>
      <c r="F249" s="505">
        <f>Effort!G249</f>
        <v>0</v>
      </c>
      <c r="G249" s="371">
        <f t="shared" si="10"/>
        <v>14.779128491080604</v>
      </c>
      <c r="H249" s="223">
        <f t="shared" si="11"/>
        <v>0</v>
      </c>
      <c r="I249" s="42">
        <f t="shared" si="12"/>
        <v>0</v>
      </c>
      <c r="J249" s="29"/>
    </row>
    <row r="250" spans="1:10" x14ac:dyDescent="0.25">
      <c r="A250" s="38">
        <f>Données!A250</f>
        <v>5843</v>
      </c>
      <c r="B250" s="168" t="str">
        <f>Données!B250</f>
        <v>Rougemont</v>
      </c>
      <c r="C250" s="348">
        <f>VPI!R250</f>
        <v>89736.824345991568</v>
      </c>
      <c r="D250" s="206">
        <f>Effort!I250-IF(PCS!I256&lt;0, Effort!D250, 0)</f>
        <v>45.447475587775372</v>
      </c>
      <c r="E250" s="505">
        <f>IF(PCS!I256&lt;0, 0, PCS!F256/Aide!C250)</f>
        <v>10.563822175665662</v>
      </c>
      <c r="F250" s="505">
        <f>Effort!G250</f>
        <v>0</v>
      </c>
      <c r="G250" s="371">
        <f t="shared" si="10"/>
        <v>56.011297763441036</v>
      </c>
      <c r="H250" s="223">
        <f t="shared" si="11"/>
        <v>0</v>
      </c>
      <c r="I250" s="42">
        <f t="shared" si="12"/>
        <v>0</v>
      </c>
      <c r="J250" s="29"/>
    </row>
    <row r="251" spans="1:10" x14ac:dyDescent="0.25">
      <c r="A251" s="38">
        <f>Données!A251</f>
        <v>5851</v>
      </c>
      <c r="B251" s="168" t="str">
        <f>Données!B251</f>
        <v>Allaman</v>
      </c>
      <c r="C251" s="348">
        <f>VPI!R251</f>
        <v>24432.115794871796</v>
      </c>
      <c r="D251" s="206">
        <f>Effort!I251-IF(PCS!I257&lt;0, Effort!D251, 0)</f>
        <v>30.817254607760447</v>
      </c>
      <c r="E251" s="505">
        <f>IF(PCS!I257&lt;0, 0, PCS!F257/Aide!C251)</f>
        <v>12.570679002121668</v>
      </c>
      <c r="F251" s="505">
        <f>Effort!G251</f>
        <v>0</v>
      </c>
      <c r="G251" s="371">
        <f t="shared" si="10"/>
        <v>43.387933609882111</v>
      </c>
      <c r="H251" s="223">
        <f t="shared" si="11"/>
        <v>0</v>
      </c>
      <c r="I251" s="42">
        <f t="shared" si="12"/>
        <v>0</v>
      </c>
      <c r="J251" s="29"/>
    </row>
    <row r="252" spans="1:10" x14ac:dyDescent="0.25">
      <c r="A252" s="38">
        <f>Données!A252</f>
        <v>5852</v>
      </c>
      <c r="B252" s="168" t="str">
        <f>Données!B252</f>
        <v>Bursinel</v>
      </c>
      <c r="C252" s="348">
        <f>VPI!R252</f>
        <v>35649.594677419358</v>
      </c>
      <c r="D252" s="206">
        <f>Effort!I252-IF(PCS!I258&lt;0, Effort!D252, 0)</f>
        <v>34.075230074587694</v>
      </c>
      <c r="E252" s="505">
        <f>IF(PCS!I258&lt;0, 0, PCS!F258/Aide!C252)</f>
        <v>3.2202565285466056</v>
      </c>
      <c r="F252" s="505">
        <f>Effort!G252</f>
        <v>0</v>
      </c>
      <c r="G252" s="371">
        <f t="shared" si="10"/>
        <v>37.2954866031343</v>
      </c>
      <c r="H252" s="223">
        <f t="shared" si="11"/>
        <v>0</v>
      </c>
      <c r="I252" s="42">
        <f t="shared" si="12"/>
        <v>0</v>
      </c>
      <c r="J252" s="29"/>
    </row>
    <row r="253" spans="1:10" x14ac:dyDescent="0.25">
      <c r="A253" s="38">
        <f>Données!A253</f>
        <v>5853</v>
      </c>
      <c r="B253" s="168" t="str">
        <f>Données!B253</f>
        <v>Bursins</v>
      </c>
      <c r="C253" s="348">
        <f>VPI!R253</f>
        <v>47536.23239436619</v>
      </c>
      <c r="D253" s="206">
        <f>Effort!I253-IF(PCS!I259&lt;0, Effort!D253, 0)</f>
        <v>32.316174539354812</v>
      </c>
      <c r="E253" s="505">
        <f>IF(PCS!I259&lt;0, 0, PCS!F259/Aide!C253)</f>
        <v>8.2475245776201849</v>
      </c>
      <c r="F253" s="505">
        <f>Effort!G253</f>
        <v>0</v>
      </c>
      <c r="G253" s="371">
        <f t="shared" si="10"/>
        <v>40.563699116974995</v>
      </c>
      <c r="H253" s="223">
        <f t="shared" si="11"/>
        <v>0</v>
      </c>
      <c r="I253" s="42">
        <f t="shared" si="12"/>
        <v>0</v>
      </c>
      <c r="J253" s="29"/>
    </row>
    <row r="254" spans="1:10" x14ac:dyDescent="0.25">
      <c r="A254" s="38">
        <f>Données!A254</f>
        <v>5854</v>
      </c>
      <c r="B254" s="168" t="str">
        <f>Données!B254</f>
        <v>Burtigny</v>
      </c>
      <c r="C254" s="348">
        <f>VPI!R254</f>
        <v>15260.883397027597</v>
      </c>
      <c r="D254" s="206">
        <f>Effort!I254-IF(PCS!I260&lt;0, Effort!D254, 0)</f>
        <v>19.619129510322789</v>
      </c>
      <c r="E254" s="505">
        <f>IF(PCS!I260&lt;0, 0, PCS!F260/Aide!C254)</f>
        <v>3.7111318215714157</v>
      </c>
      <c r="F254" s="505">
        <f>Effort!G254</f>
        <v>0</v>
      </c>
      <c r="G254" s="371">
        <f t="shared" si="10"/>
        <v>23.330261331894206</v>
      </c>
      <c r="H254" s="223">
        <f t="shared" si="11"/>
        <v>0</v>
      </c>
      <c r="I254" s="42">
        <f t="shared" si="12"/>
        <v>0</v>
      </c>
      <c r="J254" s="29"/>
    </row>
    <row r="255" spans="1:10" x14ac:dyDescent="0.25">
      <c r="A255" s="38">
        <f>Données!A255</f>
        <v>5855</v>
      </c>
      <c r="B255" s="168" t="str">
        <f>Données!B255</f>
        <v>Dully</v>
      </c>
      <c r="C255" s="348">
        <f>VPI!R255</f>
        <v>82571.89</v>
      </c>
      <c r="D255" s="206">
        <f>Effort!I255-IF(PCS!I261&lt;0, Effort!D255, 0)</f>
        <v>43.224984700387587</v>
      </c>
      <c r="E255" s="505">
        <f>IF(PCS!I261&lt;0, 0, PCS!F261/Aide!C255)</f>
        <v>8.2717802026815672</v>
      </c>
      <c r="F255" s="505">
        <f>Effort!G255</f>
        <v>0</v>
      </c>
      <c r="G255" s="371">
        <f t="shared" si="10"/>
        <v>51.496764903069156</v>
      </c>
      <c r="H255" s="223">
        <f t="shared" si="11"/>
        <v>0</v>
      </c>
      <c r="I255" s="42">
        <f t="shared" si="12"/>
        <v>0</v>
      </c>
      <c r="J255" s="29"/>
    </row>
    <row r="256" spans="1:10" x14ac:dyDescent="0.25">
      <c r="A256" s="38">
        <f>Données!A256</f>
        <v>5856</v>
      </c>
      <c r="B256" s="168" t="str">
        <f>Données!B256</f>
        <v>Essertines-sur-Rolle</v>
      </c>
      <c r="C256" s="348">
        <f>VPI!R256</f>
        <v>36688.113684210526</v>
      </c>
      <c r="D256" s="206">
        <f>Effort!I256-IF(PCS!I262&lt;0, Effort!D256, 0)</f>
        <v>28.20039268230834</v>
      </c>
      <c r="E256" s="505">
        <f>IF(PCS!I262&lt;0, 0, PCS!F262/Aide!C256)</f>
        <v>2.8804394499431738</v>
      </c>
      <c r="F256" s="505">
        <f>Effort!G256</f>
        <v>0</v>
      </c>
      <c r="G256" s="371">
        <f t="shared" si="10"/>
        <v>31.080832132251516</v>
      </c>
      <c r="H256" s="223">
        <f t="shared" si="11"/>
        <v>0</v>
      </c>
      <c r="I256" s="42">
        <f t="shared" si="12"/>
        <v>0</v>
      </c>
      <c r="J256" s="29"/>
    </row>
    <row r="257" spans="1:10" x14ac:dyDescent="0.25">
      <c r="A257" s="38">
        <f>Données!A257</f>
        <v>5857</v>
      </c>
      <c r="B257" s="168" t="str">
        <f>Données!B257</f>
        <v>Gilly</v>
      </c>
      <c r="C257" s="348">
        <f>VPI!R257</f>
        <v>86828.689767441872</v>
      </c>
      <c r="D257" s="206">
        <f>Effort!I257-IF(PCS!I263&lt;0, Effort!D257, 0)</f>
        <v>30.213768144260523</v>
      </c>
      <c r="E257" s="505">
        <f>IF(PCS!I263&lt;0, 0, PCS!F263/Aide!C257)</f>
        <v>2.8938250211189702</v>
      </c>
      <c r="F257" s="505">
        <f>Effort!G257</f>
        <v>0</v>
      </c>
      <c r="G257" s="371">
        <f t="shared" si="10"/>
        <v>33.107593165379491</v>
      </c>
      <c r="H257" s="223">
        <f t="shared" si="11"/>
        <v>0</v>
      </c>
      <c r="I257" s="42">
        <f t="shared" si="12"/>
        <v>0</v>
      </c>
      <c r="J257" s="29"/>
    </row>
    <row r="258" spans="1:10" x14ac:dyDescent="0.25">
      <c r="A258" s="38">
        <f>Données!A258</f>
        <v>5858</v>
      </c>
      <c r="B258" s="168" t="str">
        <f>Données!B258</f>
        <v>Luins</v>
      </c>
      <c r="C258" s="348">
        <f>VPI!R258</f>
        <v>41178.091054131051</v>
      </c>
      <c r="D258" s="206">
        <f>Effort!I258-IF(PCS!I264&lt;0, Effort!D258, 0)</f>
        <v>32.860105459214466</v>
      </c>
      <c r="E258" s="505">
        <f>IF(PCS!I264&lt;0, 0, PCS!F264/Aide!C258)</f>
        <v>4.6242798081553342</v>
      </c>
      <c r="F258" s="505">
        <f>Effort!G258</f>
        <v>0</v>
      </c>
      <c r="G258" s="371">
        <f t="shared" si="10"/>
        <v>37.484385267369802</v>
      </c>
      <c r="H258" s="223">
        <f t="shared" si="11"/>
        <v>0</v>
      </c>
      <c r="I258" s="42">
        <f t="shared" si="12"/>
        <v>0</v>
      </c>
      <c r="J258" s="29"/>
    </row>
    <row r="259" spans="1:10" x14ac:dyDescent="0.25">
      <c r="A259" s="38">
        <f>Données!A259</f>
        <v>5859</v>
      </c>
      <c r="B259" s="168" t="str">
        <f>Données!B259</f>
        <v>Mont-sur-Rolle</v>
      </c>
      <c r="C259" s="348">
        <f>VPI!R259</f>
        <v>158441.81716535432</v>
      </c>
      <c r="D259" s="206">
        <f>Effort!I259-IF(PCS!I265&lt;0, Effort!D259, 0)</f>
        <v>28.005914615336934</v>
      </c>
      <c r="E259" s="505">
        <f>IF(PCS!I265&lt;0, 0, PCS!F265/Aide!C259)</f>
        <v>4.4480652431832013</v>
      </c>
      <c r="F259" s="505">
        <f>Effort!G259</f>
        <v>0</v>
      </c>
      <c r="G259" s="371">
        <f t="shared" si="10"/>
        <v>32.453979858520135</v>
      </c>
      <c r="H259" s="223">
        <f t="shared" si="11"/>
        <v>0</v>
      </c>
      <c r="I259" s="42">
        <f t="shared" si="12"/>
        <v>0</v>
      </c>
      <c r="J259" s="29"/>
    </row>
    <row r="260" spans="1:10" x14ac:dyDescent="0.25">
      <c r="A260" s="38">
        <f>Données!A260</f>
        <v>5860</v>
      </c>
      <c r="B260" s="168" t="str">
        <f>Données!B260</f>
        <v>Perroy</v>
      </c>
      <c r="C260" s="348">
        <f>VPI!R260</f>
        <v>132374.98733727811</v>
      </c>
      <c r="D260" s="206">
        <f>Effort!I260-IF(PCS!I266&lt;0, Effort!D260, 0)</f>
        <v>36.28729977077036</v>
      </c>
      <c r="E260" s="505">
        <f>IF(PCS!I266&lt;0, 0, PCS!F266/Aide!C260)</f>
        <v>2.9780684624019087</v>
      </c>
      <c r="F260" s="505">
        <f>Effort!G260</f>
        <v>0</v>
      </c>
      <c r="G260" s="371">
        <f t="shared" si="10"/>
        <v>39.265368233172268</v>
      </c>
      <c r="H260" s="223">
        <f t="shared" si="11"/>
        <v>0</v>
      </c>
      <c r="I260" s="42">
        <f t="shared" si="12"/>
        <v>0</v>
      </c>
      <c r="J260" s="29"/>
    </row>
    <row r="261" spans="1:10" x14ac:dyDescent="0.25">
      <c r="A261" s="38">
        <f>Données!A261</f>
        <v>5861</v>
      </c>
      <c r="B261" s="168" t="str">
        <f>Données!B261</f>
        <v>Rolle</v>
      </c>
      <c r="C261" s="348">
        <f>VPI!R261</f>
        <v>897513.79815126071</v>
      </c>
      <c r="D261" s="206">
        <f>Effort!I261-IF(PCS!I267&lt;0, Effort!D261, 0)</f>
        <v>43.98955908133231</v>
      </c>
      <c r="E261" s="505">
        <f>IF(PCS!I267&lt;0, 0, PCS!F267/Aide!C261)</f>
        <v>1.1417262131353902</v>
      </c>
      <c r="F261" s="505">
        <f>Effort!G261</f>
        <v>0</v>
      </c>
      <c r="G261" s="371">
        <f t="shared" si="10"/>
        <v>45.131285294467702</v>
      </c>
      <c r="H261" s="223">
        <f t="shared" si="11"/>
        <v>0</v>
      </c>
      <c r="I261" s="42">
        <f t="shared" si="12"/>
        <v>0</v>
      </c>
      <c r="J261" s="29"/>
    </row>
    <row r="262" spans="1:10" x14ac:dyDescent="0.25">
      <c r="A262" s="38">
        <f>Données!A262</f>
        <v>5862</v>
      </c>
      <c r="B262" s="168" t="str">
        <f>Données!B262</f>
        <v>Tartegnin</v>
      </c>
      <c r="C262" s="348">
        <f>VPI!R262</f>
        <v>10371.497468354431</v>
      </c>
      <c r="D262" s="206">
        <f>Effort!I262-IF(PCS!I268&lt;0, Effort!D262, 0)</f>
        <v>23.69286411325329</v>
      </c>
      <c r="E262" s="505">
        <f>IF(PCS!I268&lt;0, 0, PCS!F268/Aide!C262)</f>
        <v>7.9775519641646895</v>
      </c>
      <c r="F262" s="505">
        <f>Effort!G262</f>
        <v>0</v>
      </c>
      <c r="G262" s="371">
        <f t="shared" si="10"/>
        <v>31.670416077417979</v>
      </c>
      <c r="H262" s="223">
        <f t="shared" si="11"/>
        <v>0</v>
      </c>
      <c r="I262" s="42">
        <f t="shared" si="12"/>
        <v>0</v>
      </c>
      <c r="J262" s="29"/>
    </row>
    <row r="263" spans="1:10" x14ac:dyDescent="0.25">
      <c r="A263" s="38">
        <f>Données!A263</f>
        <v>5863</v>
      </c>
      <c r="B263" s="168" t="str">
        <f>Données!B263</f>
        <v>Vinzel</v>
      </c>
      <c r="C263" s="348">
        <f>VPI!R263</f>
        <v>23661.929552238806</v>
      </c>
      <c r="D263" s="206">
        <f>Effort!I263-IF(PCS!I269&lt;0, Effort!D263, 0)</f>
        <v>32.303491797818182</v>
      </c>
      <c r="E263" s="505">
        <f>IF(PCS!I269&lt;0, 0, PCS!F269/Aide!C263)</f>
        <v>3.5989448710002883</v>
      </c>
      <c r="F263" s="505">
        <f>Effort!G263</f>
        <v>0</v>
      </c>
      <c r="G263" s="371">
        <f t="shared" ref="G263:G305" si="13">D263+E263-F263</f>
        <v>35.902436668818467</v>
      </c>
      <c r="H263" s="223">
        <f t="shared" ref="H263:H305" si="14">IF(G263&lt;H$5,G263-H$5,0)</f>
        <v>0</v>
      </c>
      <c r="I263" s="42">
        <f t="shared" ref="I263:I305" si="15">-H263*C263</f>
        <v>0</v>
      </c>
      <c r="J263" s="29"/>
    </row>
    <row r="264" spans="1:10" x14ac:dyDescent="0.25">
      <c r="A264" s="38">
        <f>Données!A264</f>
        <v>5871</v>
      </c>
      <c r="B264" s="168" t="str">
        <f>Données!B264</f>
        <v>L'Abbaye</v>
      </c>
      <c r="C264" s="348">
        <f>VPI!R264</f>
        <v>50236.516429495467</v>
      </c>
      <c r="D264" s="206">
        <f>Effort!I264-IF(PCS!I270&lt;0, Effort!D264, 0)</f>
        <v>12.94320286008216</v>
      </c>
      <c r="E264" s="505">
        <f>IF(PCS!I270&lt;0, 0, PCS!F270/Aide!C264)</f>
        <v>7.8830070862056631</v>
      </c>
      <c r="F264" s="505">
        <f>Effort!G264</f>
        <v>0</v>
      </c>
      <c r="G264" s="371">
        <f t="shared" si="13"/>
        <v>20.826209946287822</v>
      </c>
      <c r="H264" s="223">
        <f t="shared" si="14"/>
        <v>0</v>
      </c>
      <c r="I264" s="42">
        <f t="shared" si="15"/>
        <v>0</v>
      </c>
      <c r="J264" s="29"/>
    </row>
    <row r="265" spans="1:10" x14ac:dyDescent="0.25">
      <c r="A265" s="38">
        <f>Données!A265</f>
        <v>5872</v>
      </c>
      <c r="B265" s="168" t="str">
        <f>Données!B265</f>
        <v>Le Chenit</v>
      </c>
      <c r="C265" s="348">
        <f>VPI!R265</f>
        <v>317064.3538829867</v>
      </c>
      <c r="D265" s="206">
        <f>Effort!I265-IF(PCS!I271&lt;0, Effort!D265, 0)</f>
        <v>30.502078016336647</v>
      </c>
      <c r="E265" s="505">
        <f>IF(PCS!I271&lt;0, 0, PCS!F271/Aide!C265)</f>
        <v>8.6831752648424381</v>
      </c>
      <c r="F265" s="505">
        <f>Effort!G265</f>
        <v>0</v>
      </c>
      <c r="G265" s="371">
        <f t="shared" si="13"/>
        <v>39.185253281179087</v>
      </c>
      <c r="H265" s="223">
        <f t="shared" si="14"/>
        <v>0</v>
      </c>
      <c r="I265" s="42">
        <f t="shared" si="15"/>
        <v>0</v>
      </c>
      <c r="J265" s="29"/>
    </row>
    <row r="266" spans="1:10" x14ac:dyDescent="0.25">
      <c r="A266" s="38">
        <f>Données!A266</f>
        <v>5873</v>
      </c>
      <c r="B266" s="168" t="str">
        <f>Données!B266</f>
        <v>Le Lieu</v>
      </c>
      <c r="C266" s="348">
        <f>VPI!R266</f>
        <v>35207.025785714286</v>
      </c>
      <c r="D266" s="206">
        <f>Effort!I266-IF(PCS!I272&lt;0, Effort!D266, 0)</f>
        <v>23.319191357249295</v>
      </c>
      <c r="E266" s="505">
        <f>IF(PCS!I272&lt;0, 0, PCS!F272/Aide!C266)</f>
        <v>11.009968645442504</v>
      </c>
      <c r="F266" s="505">
        <f>Effort!G266</f>
        <v>0</v>
      </c>
      <c r="G266" s="371">
        <f t="shared" si="13"/>
        <v>34.3291600026918</v>
      </c>
      <c r="H266" s="223">
        <f t="shared" si="14"/>
        <v>0</v>
      </c>
      <c r="I266" s="42">
        <f t="shared" si="15"/>
        <v>0</v>
      </c>
      <c r="J266" s="29"/>
    </row>
    <row r="267" spans="1:10" x14ac:dyDescent="0.25">
      <c r="A267" s="38">
        <f>Données!A267</f>
        <v>5882</v>
      </c>
      <c r="B267" s="168" t="str">
        <f>Données!B267</f>
        <v>Chardonne</v>
      </c>
      <c r="C267" s="348">
        <f>VPI!R267</f>
        <v>201724.94897058822</v>
      </c>
      <c r="D267" s="206">
        <f>Effort!I267-IF(PCS!I273&lt;0, Effort!D267, 0)</f>
        <v>29.840763201007878</v>
      </c>
      <c r="E267" s="505">
        <f>IF(PCS!I273&lt;0, 0, PCS!F273/Aide!C267)</f>
        <v>7.7710029076698834</v>
      </c>
      <c r="F267" s="505">
        <f>Effort!G267</f>
        <v>0</v>
      </c>
      <c r="G267" s="371">
        <f t="shared" si="13"/>
        <v>37.611766108677763</v>
      </c>
      <c r="H267" s="223">
        <f t="shared" si="14"/>
        <v>0</v>
      </c>
      <c r="I267" s="42">
        <f t="shared" si="15"/>
        <v>0</v>
      </c>
      <c r="J267" s="29"/>
    </row>
    <row r="268" spans="1:10" x14ac:dyDescent="0.25">
      <c r="A268" s="38">
        <f>Données!A268</f>
        <v>5883</v>
      </c>
      <c r="B268" s="168" t="str">
        <f>Données!B268</f>
        <v>Corseaux</v>
      </c>
      <c r="C268" s="348">
        <f>VPI!R268</f>
        <v>180896.25407407407</v>
      </c>
      <c r="D268" s="206">
        <f>Effort!I268-IF(PCS!I274&lt;0, Effort!D268, 0)</f>
        <v>34.933472054607783</v>
      </c>
      <c r="E268" s="505">
        <f>IF(PCS!I274&lt;0, 0, PCS!F274/Aide!C268)</f>
        <v>4.1422008644422803</v>
      </c>
      <c r="F268" s="505">
        <f>Effort!G268</f>
        <v>0</v>
      </c>
      <c r="G268" s="371">
        <f t="shared" si="13"/>
        <v>39.075672919050064</v>
      </c>
      <c r="H268" s="223">
        <f t="shared" si="14"/>
        <v>0</v>
      </c>
      <c r="I268" s="42">
        <f t="shared" si="15"/>
        <v>0</v>
      </c>
      <c r="J268" s="29"/>
    </row>
    <row r="269" spans="1:10" x14ac:dyDescent="0.25">
      <c r="A269" s="38">
        <f>Données!A269</f>
        <v>5884</v>
      </c>
      <c r="B269" s="168" t="str">
        <f>Données!B269</f>
        <v>Corsier-sur-Vevey</v>
      </c>
      <c r="C269" s="348">
        <f>VPI!R269</f>
        <v>128051.27881136951</v>
      </c>
      <c r="D269" s="206">
        <f>Effort!I269-IF(PCS!I275&lt;0, Effort!D269, 0)</f>
        <v>18.175361644769822</v>
      </c>
      <c r="E269" s="505">
        <f>IF(PCS!I275&lt;0, 0, PCS!F275/Aide!C269)</f>
        <v>5.3632203940084562</v>
      </c>
      <c r="F269" s="505">
        <f>Effort!G269</f>
        <v>0</v>
      </c>
      <c r="G269" s="371">
        <f t="shared" si="13"/>
        <v>23.53858203877828</v>
      </c>
      <c r="H269" s="223">
        <f t="shared" si="14"/>
        <v>0</v>
      </c>
      <c r="I269" s="42">
        <f t="shared" si="15"/>
        <v>0</v>
      </c>
      <c r="J269" s="29"/>
    </row>
    <row r="270" spans="1:10" x14ac:dyDescent="0.25">
      <c r="A270" s="38">
        <f>Données!A270</f>
        <v>5885</v>
      </c>
      <c r="B270" s="168" t="str">
        <f>Données!B270</f>
        <v>Jongny</v>
      </c>
      <c r="C270" s="348">
        <f>VPI!R270</f>
        <v>104091.36242206233</v>
      </c>
      <c r="D270" s="206">
        <f>Effort!I270-IF(PCS!I276&lt;0, Effort!D270, 0)</f>
        <v>28.678913079793176</v>
      </c>
      <c r="E270" s="505">
        <f>IF(PCS!I276&lt;0, 0, PCS!F276/Aide!C270)</f>
        <v>2.8467154056309556</v>
      </c>
      <c r="F270" s="505">
        <f>Effort!G270</f>
        <v>0</v>
      </c>
      <c r="G270" s="371">
        <f t="shared" si="13"/>
        <v>31.525628485424132</v>
      </c>
      <c r="H270" s="223">
        <f t="shared" si="14"/>
        <v>0</v>
      </c>
      <c r="I270" s="42">
        <f t="shared" si="15"/>
        <v>0</v>
      </c>
      <c r="J270" s="29"/>
    </row>
    <row r="271" spans="1:10" x14ac:dyDescent="0.25">
      <c r="A271" s="38">
        <f>Données!A271</f>
        <v>5886</v>
      </c>
      <c r="B271" s="168" t="str">
        <f>Données!B271</f>
        <v>Montreux</v>
      </c>
      <c r="C271" s="348">
        <f>VPI!R271</f>
        <v>1153112.7161538461</v>
      </c>
      <c r="D271" s="206">
        <f>Effort!I271-IF(PCS!I277&lt;0, Effort!D271, 0)</f>
        <v>10.044736355255564</v>
      </c>
      <c r="E271" s="505">
        <f>IF(PCS!I277&lt;0, 0, PCS!F277/Aide!C271)</f>
        <v>10.105268012190878</v>
      </c>
      <c r="F271" s="505">
        <f>Effort!G271</f>
        <v>0</v>
      </c>
      <c r="G271" s="371">
        <f t="shared" si="13"/>
        <v>20.150004367446442</v>
      </c>
      <c r="H271" s="223">
        <f t="shared" si="14"/>
        <v>0</v>
      </c>
      <c r="I271" s="42">
        <f t="shared" si="15"/>
        <v>0</v>
      </c>
      <c r="J271" s="29"/>
    </row>
    <row r="272" spans="1:10" x14ac:dyDescent="0.25">
      <c r="A272" s="38">
        <f>Données!A272</f>
        <v>5889</v>
      </c>
      <c r="B272" s="168" t="str">
        <f>Données!B272</f>
        <v>La Tour-de-Peilz</v>
      </c>
      <c r="C272" s="348">
        <f>VPI!R272</f>
        <v>709179.36611979152</v>
      </c>
      <c r="D272" s="206">
        <f>Effort!I272-IF(PCS!I278&lt;0, Effort!D272, 0)</f>
        <v>22.366830943787264</v>
      </c>
      <c r="E272" s="505">
        <f>IF(PCS!I278&lt;0, 0, PCS!F278/Aide!C272)</f>
        <v>3.2180528566231645</v>
      </c>
      <c r="F272" s="505">
        <f>Effort!G272</f>
        <v>0</v>
      </c>
      <c r="G272" s="371">
        <f t="shared" si="13"/>
        <v>25.584883800410427</v>
      </c>
      <c r="H272" s="223">
        <f t="shared" si="14"/>
        <v>0</v>
      </c>
      <c r="I272" s="42">
        <f t="shared" si="15"/>
        <v>0</v>
      </c>
      <c r="J272" s="29"/>
    </row>
    <row r="273" spans="1:10" x14ac:dyDescent="0.25">
      <c r="A273" s="38">
        <f>Données!A273</f>
        <v>5890</v>
      </c>
      <c r="B273" s="168" t="str">
        <f>Données!B273</f>
        <v>Vevey</v>
      </c>
      <c r="C273" s="348">
        <f>VPI!R273</f>
        <v>945087.70393736032</v>
      </c>
      <c r="D273" s="206">
        <f>Effort!I273-IF(PCS!I279&lt;0, Effort!D273, 0)</f>
        <v>14.450798571246462</v>
      </c>
      <c r="E273" s="505">
        <f>IF(PCS!I279&lt;0, 0, PCS!F279/Aide!C273)</f>
        <v>3.7120627169142835</v>
      </c>
      <c r="F273" s="505">
        <f>Effort!G273</f>
        <v>0</v>
      </c>
      <c r="G273" s="371">
        <f t="shared" si="13"/>
        <v>18.162861288160745</v>
      </c>
      <c r="H273" s="223">
        <f t="shared" si="14"/>
        <v>0</v>
      </c>
      <c r="I273" s="42">
        <f t="shared" si="15"/>
        <v>0</v>
      </c>
      <c r="J273" s="29"/>
    </row>
    <row r="274" spans="1:10" x14ac:dyDescent="0.25">
      <c r="A274" s="38">
        <f>Données!A274</f>
        <v>5891</v>
      </c>
      <c r="B274" s="168" t="str">
        <f>Données!B274</f>
        <v>Veytaux</v>
      </c>
      <c r="C274" s="348">
        <f>VPI!R274</f>
        <v>41113.316211031175</v>
      </c>
      <c r="D274" s="206">
        <f>Effort!I274-IF(PCS!I280&lt;0, Effort!D274, 0)</f>
        <v>25.001531629252561</v>
      </c>
      <c r="E274" s="505">
        <f>IF(PCS!I280&lt;0, 0, PCS!F280/Aide!C274)</f>
        <v>7.2491944816660849</v>
      </c>
      <c r="F274" s="505">
        <f>Effort!G274</f>
        <v>0</v>
      </c>
      <c r="G274" s="371">
        <f t="shared" si="13"/>
        <v>32.250726110918649</v>
      </c>
      <c r="H274" s="223">
        <f t="shared" si="14"/>
        <v>0</v>
      </c>
      <c r="I274" s="42">
        <f t="shared" si="15"/>
        <v>0</v>
      </c>
      <c r="J274" s="29"/>
    </row>
    <row r="275" spans="1:10" x14ac:dyDescent="0.25">
      <c r="A275" s="38">
        <f>Données!A275</f>
        <v>5892</v>
      </c>
      <c r="B275" s="168" t="str">
        <f>Données!B275</f>
        <v>Blonay-Saint-Légier</v>
      </c>
      <c r="C275" s="348">
        <f>VPI!R275</f>
        <v>749734.6567883211</v>
      </c>
      <c r="D275" s="206">
        <f>Effort!I275-IF(PCS!I281&lt;0, Effort!D275, 0)</f>
        <v>24.700584923277063</v>
      </c>
      <c r="E275" s="505">
        <f>IF(PCS!I281&lt;0, 0, PCS!F281/Aide!C275)</f>
        <v>4.5620919668459434</v>
      </c>
      <c r="F275" s="505">
        <f>Effort!G275</f>
        <v>0</v>
      </c>
      <c r="G275" s="371">
        <f t="shared" si="13"/>
        <v>29.262676890123007</v>
      </c>
      <c r="H275" s="223">
        <f t="shared" si="14"/>
        <v>0</v>
      </c>
      <c r="I275" s="42">
        <f t="shared" si="15"/>
        <v>0</v>
      </c>
      <c r="J275" s="29"/>
    </row>
    <row r="276" spans="1:10" x14ac:dyDescent="0.25">
      <c r="A276" s="38">
        <f>Données!A276</f>
        <v>5902</v>
      </c>
      <c r="B276" s="168" t="str">
        <f>Données!B276</f>
        <v>Belmont-sur-Yverdon</v>
      </c>
      <c r="C276" s="348">
        <f>VPI!R276</f>
        <v>11918.01</v>
      </c>
      <c r="D276" s="206">
        <f>Effort!I276-IF(PCS!I282&lt;0, Effort!D276, 0)</f>
        <v>11.194893057713372</v>
      </c>
      <c r="E276" s="505">
        <f>IF(PCS!I282&lt;0, 0, PCS!F282/Aide!C276)</f>
        <v>3.4465191756006246</v>
      </c>
      <c r="F276" s="505">
        <f>Effort!G276</f>
        <v>0</v>
      </c>
      <c r="G276" s="371">
        <f t="shared" si="13"/>
        <v>14.641412233313996</v>
      </c>
      <c r="H276" s="223">
        <f t="shared" si="14"/>
        <v>0</v>
      </c>
      <c r="I276" s="42">
        <f t="shared" si="15"/>
        <v>0</v>
      </c>
      <c r="J276" s="29"/>
    </row>
    <row r="277" spans="1:10" x14ac:dyDescent="0.25">
      <c r="A277" s="38">
        <f>Données!A277</f>
        <v>5903</v>
      </c>
      <c r="B277" s="168" t="str">
        <f>Données!B277</f>
        <v>Bioley-Magnoux</v>
      </c>
      <c r="C277" s="348">
        <f>VPI!R277</f>
        <v>6275.4313293650803</v>
      </c>
      <c r="D277" s="206">
        <f>Effort!I277-IF(PCS!I283&lt;0, Effort!D277, 0)</f>
        <v>6.9925852474048895</v>
      </c>
      <c r="E277" s="505">
        <f>IF(PCS!I283&lt;0, 0, PCS!F283/Aide!C277)</f>
        <v>3.1495309186977751</v>
      </c>
      <c r="F277" s="505">
        <f>Effort!G277</f>
        <v>0</v>
      </c>
      <c r="G277" s="371">
        <f t="shared" si="13"/>
        <v>10.142116166102664</v>
      </c>
      <c r="H277" s="223">
        <f t="shared" si="14"/>
        <v>0</v>
      </c>
      <c r="I277" s="42">
        <f t="shared" si="15"/>
        <v>0</v>
      </c>
      <c r="J277" s="29"/>
    </row>
    <row r="278" spans="1:10" x14ac:dyDescent="0.25">
      <c r="A278" s="38">
        <f>Données!A278</f>
        <v>5904</v>
      </c>
      <c r="B278" s="168" t="str">
        <f>Données!B278</f>
        <v>Chamblon</v>
      </c>
      <c r="C278" s="348">
        <f>VPI!R278</f>
        <v>18890.250303030305</v>
      </c>
      <c r="D278" s="206">
        <f>Effort!I278-IF(PCS!I284&lt;0, Effort!D278, 0)</f>
        <v>19.079342227347176</v>
      </c>
      <c r="E278" s="505">
        <f>IF(PCS!I284&lt;0, 0, PCS!F284/Aide!C278)</f>
        <v>3.7373808640679891</v>
      </c>
      <c r="F278" s="505">
        <f>Effort!G278</f>
        <v>0</v>
      </c>
      <c r="G278" s="371">
        <f t="shared" si="13"/>
        <v>22.816723091415167</v>
      </c>
      <c r="H278" s="223">
        <f t="shared" si="14"/>
        <v>0</v>
      </c>
      <c r="I278" s="42">
        <f t="shared" si="15"/>
        <v>0</v>
      </c>
      <c r="J278" s="29"/>
    </row>
    <row r="279" spans="1:10" s="217" customFormat="1" x14ac:dyDescent="0.25">
      <c r="A279" s="38">
        <f>Données!A279</f>
        <v>5905</v>
      </c>
      <c r="B279" s="168" t="str">
        <f>Données!B279</f>
        <v>Champvent</v>
      </c>
      <c r="C279" s="348">
        <f>VPI!R279</f>
        <v>21534.177714285714</v>
      </c>
      <c r="D279" s="206">
        <f>Effort!I279-IF(PCS!I285&lt;0, Effort!D279, 0)</f>
        <v>13.756141088014811</v>
      </c>
      <c r="E279" s="505">
        <f>IF(PCS!I285&lt;0, 0, PCS!F285/Aide!C279)</f>
        <v>4.794196294363795</v>
      </c>
      <c r="F279" s="505">
        <f>Effort!G279</f>
        <v>0</v>
      </c>
      <c r="G279" s="371">
        <f t="shared" si="13"/>
        <v>18.550337382378608</v>
      </c>
      <c r="H279" s="223">
        <f t="shared" si="14"/>
        <v>0</v>
      </c>
      <c r="I279" s="42">
        <f t="shared" si="15"/>
        <v>0</v>
      </c>
      <c r="J279" s="226"/>
    </row>
    <row r="280" spans="1:10" s="217" customFormat="1" x14ac:dyDescent="0.25">
      <c r="A280" s="38">
        <f>Données!A280</f>
        <v>5907</v>
      </c>
      <c r="B280" s="168" t="str">
        <f>Données!B280</f>
        <v>Chavannes-le-Chêne</v>
      </c>
      <c r="C280" s="348">
        <f>VPI!R280</f>
        <v>8453.4726666666666</v>
      </c>
      <c r="D280" s="206">
        <f>Effort!I280-IF(PCS!I286&lt;0, Effort!D280, 0)</f>
        <v>7.6607258209475511</v>
      </c>
      <c r="E280" s="505">
        <f>IF(PCS!I286&lt;0, 0, PCS!F286/Aide!C280)</f>
        <v>4.0570078537349028</v>
      </c>
      <c r="F280" s="505">
        <f>Effort!G280</f>
        <v>0</v>
      </c>
      <c r="G280" s="371">
        <f t="shared" si="13"/>
        <v>11.717733674682453</v>
      </c>
      <c r="H280" s="223">
        <f t="shared" si="14"/>
        <v>0</v>
      </c>
      <c r="I280" s="42">
        <f t="shared" si="15"/>
        <v>0</v>
      </c>
      <c r="J280" s="226"/>
    </row>
    <row r="281" spans="1:10" s="217" customFormat="1" x14ac:dyDescent="0.25">
      <c r="A281" s="38">
        <f>Données!A281</f>
        <v>5908</v>
      </c>
      <c r="B281" s="168" t="str">
        <f>Données!B281</f>
        <v>Chêne-Pâquier</v>
      </c>
      <c r="C281" s="348">
        <f>VPI!R281</f>
        <v>4917.9366666666683</v>
      </c>
      <c r="D281" s="206">
        <f>Effort!I281-IF(PCS!I287&lt;0, Effort!D281, 0)</f>
        <v>12.965944470959919</v>
      </c>
      <c r="E281" s="505">
        <f>IF(PCS!I287&lt;0, 0, PCS!F287/Aide!C281)</f>
        <v>2.4753470459494862</v>
      </c>
      <c r="F281" s="505">
        <f>Effort!G281</f>
        <v>0</v>
      </c>
      <c r="G281" s="371">
        <f t="shared" si="13"/>
        <v>15.441291516909406</v>
      </c>
      <c r="H281" s="223">
        <f t="shared" si="14"/>
        <v>0</v>
      </c>
      <c r="I281" s="42">
        <f t="shared" si="15"/>
        <v>0</v>
      </c>
      <c r="J281" s="226"/>
    </row>
    <row r="282" spans="1:10" s="217" customFormat="1" x14ac:dyDescent="0.25">
      <c r="A282" s="38">
        <f>Données!A282</f>
        <v>5909</v>
      </c>
      <c r="B282" s="168" t="str">
        <f>Données!B282</f>
        <v>Cheseaux-Noréaz</v>
      </c>
      <c r="C282" s="348">
        <f>VPI!R282</f>
        <v>34179.649850746275</v>
      </c>
      <c r="D282" s="206">
        <f>Effort!I282-IF(PCS!I288&lt;0, Effort!D282, 0)</f>
        <v>27.33361803757062</v>
      </c>
      <c r="E282" s="505">
        <f>IF(PCS!I288&lt;0, 0, PCS!F288/Aide!C282)</f>
        <v>3.1367613614584502</v>
      </c>
      <c r="F282" s="505">
        <f>Effort!G282</f>
        <v>0</v>
      </c>
      <c r="G282" s="371">
        <f t="shared" si="13"/>
        <v>30.470379399029071</v>
      </c>
      <c r="H282" s="223">
        <f t="shared" si="14"/>
        <v>0</v>
      </c>
      <c r="I282" s="42">
        <f t="shared" si="15"/>
        <v>0</v>
      </c>
      <c r="J282" s="226"/>
    </row>
    <row r="283" spans="1:10" s="217" customFormat="1" x14ac:dyDescent="0.25">
      <c r="A283" s="38">
        <f>Données!A283</f>
        <v>5910</v>
      </c>
      <c r="B283" s="168" t="str">
        <f>Données!B283</f>
        <v>Cronay</v>
      </c>
      <c r="C283" s="348">
        <f>VPI!R283</f>
        <v>10620.023506493504</v>
      </c>
      <c r="D283" s="206">
        <f>Effort!I283-IF(PCS!I289&lt;0, Effort!D283, 0)</f>
        <v>5.2551399458847285</v>
      </c>
      <c r="E283" s="505">
        <f>IF(PCS!I289&lt;0, 0, PCS!F289/Aide!C283)</f>
        <v>6.7759788814026773</v>
      </c>
      <c r="F283" s="505">
        <f>Effort!G283</f>
        <v>0</v>
      </c>
      <c r="G283" s="371">
        <f t="shared" si="13"/>
        <v>12.031118827287406</v>
      </c>
      <c r="H283" s="223">
        <f t="shared" si="14"/>
        <v>0</v>
      </c>
      <c r="I283" s="42">
        <f t="shared" si="15"/>
        <v>0</v>
      </c>
      <c r="J283" s="226"/>
    </row>
    <row r="284" spans="1:10" s="217" customFormat="1" x14ac:dyDescent="0.25">
      <c r="A284" s="38">
        <f>Données!A284</f>
        <v>5911</v>
      </c>
      <c r="B284" s="168" t="str">
        <f>Données!B284</f>
        <v>Cuarny</v>
      </c>
      <c r="C284" s="348">
        <f>VPI!R284</f>
        <v>7630.7251948051926</v>
      </c>
      <c r="D284" s="206">
        <f>Effort!I284-IF(PCS!I290&lt;0, Effort!D284, 0)</f>
        <v>15.060369715844296</v>
      </c>
      <c r="E284" s="505">
        <f>IF(PCS!I290&lt;0, 0, PCS!F290/Aide!C284)</f>
        <v>2.0089178431475871</v>
      </c>
      <c r="F284" s="505">
        <f>Effort!G284</f>
        <v>0</v>
      </c>
      <c r="G284" s="371">
        <f t="shared" si="13"/>
        <v>17.069287558991881</v>
      </c>
      <c r="H284" s="223">
        <f t="shared" si="14"/>
        <v>0</v>
      </c>
      <c r="I284" s="42">
        <f t="shared" si="15"/>
        <v>0</v>
      </c>
      <c r="J284" s="226"/>
    </row>
    <row r="285" spans="1:10" s="217" customFormat="1" x14ac:dyDescent="0.25">
      <c r="A285" s="38">
        <f>Données!A285</f>
        <v>5912</v>
      </c>
      <c r="B285" s="168" t="str">
        <f>Données!B285</f>
        <v>Démoret</v>
      </c>
      <c r="C285" s="348">
        <f>VPI!R285</f>
        <v>3035.5994871794869</v>
      </c>
      <c r="D285" s="206">
        <f>Effort!I285-IF(PCS!I291&lt;0, Effort!D285, 0)</f>
        <v>-16.727655128493105</v>
      </c>
      <c r="E285" s="505">
        <f>IF(PCS!I291&lt;0, 0, PCS!F291/Aide!C285)</f>
        <v>6.8331642852111001</v>
      </c>
      <c r="F285" s="505">
        <f>Effort!G285</f>
        <v>0</v>
      </c>
      <c r="G285" s="371">
        <f t="shared" si="13"/>
        <v>-9.8944908432820036</v>
      </c>
      <c r="H285" s="223">
        <f t="shared" si="14"/>
        <v>-1.8944908432820036</v>
      </c>
      <c r="I285" s="42">
        <f t="shared" si="15"/>
        <v>5750.915432333084</v>
      </c>
      <c r="J285" s="226"/>
    </row>
    <row r="286" spans="1:10" s="217" customFormat="1" x14ac:dyDescent="0.25">
      <c r="A286" s="38">
        <f>Données!A286</f>
        <v>5913</v>
      </c>
      <c r="B286" s="168" t="str">
        <f>Données!B286</f>
        <v>Donneloye</v>
      </c>
      <c r="C286" s="348">
        <f>VPI!R286</f>
        <v>21868.165342465756</v>
      </c>
      <c r="D286" s="206">
        <f>Effort!I286-IF(PCS!I292&lt;0, Effort!D286, 0)</f>
        <v>4.117154833241413</v>
      </c>
      <c r="E286" s="505">
        <f>IF(PCS!I292&lt;0, 0, PCS!F292/Aide!C286)</f>
        <v>4.2158077075159355</v>
      </c>
      <c r="F286" s="505">
        <f>Effort!G286</f>
        <v>0</v>
      </c>
      <c r="G286" s="371">
        <f t="shared" si="13"/>
        <v>8.3329625407573484</v>
      </c>
      <c r="H286" s="223">
        <f t="shared" si="14"/>
        <v>0</v>
      </c>
      <c r="I286" s="42">
        <f t="shared" si="15"/>
        <v>0</v>
      </c>
      <c r="J286" s="226"/>
    </row>
    <row r="287" spans="1:10" x14ac:dyDescent="0.25">
      <c r="A287" s="38">
        <f>Données!A287</f>
        <v>5914</v>
      </c>
      <c r="B287" s="168" t="str">
        <f>Données!B287</f>
        <v>Ependes</v>
      </c>
      <c r="C287" s="348">
        <f>VPI!R287</f>
        <v>9826.1438095238063</v>
      </c>
      <c r="D287" s="206">
        <f>Effort!I287-IF(PCS!I293&lt;0, Effort!D287, 0)</f>
        <v>7.9660880050890377</v>
      </c>
      <c r="E287" s="505">
        <f>IF(PCS!I293&lt;0, 0, PCS!F293/Aide!C287)</f>
        <v>2.001021497460953</v>
      </c>
      <c r="F287" s="505">
        <f>Effort!G287</f>
        <v>0</v>
      </c>
      <c r="G287" s="371">
        <f t="shared" si="13"/>
        <v>9.9671095025499916</v>
      </c>
      <c r="H287" s="223">
        <f t="shared" si="14"/>
        <v>0</v>
      </c>
      <c r="I287" s="42">
        <f t="shared" si="15"/>
        <v>0</v>
      </c>
      <c r="J287" s="29"/>
    </row>
    <row r="288" spans="1:10" x14ac:dyDescent="0.25">
      <c r="A288" s="38">
        <f>Données!A288</f>
        <v>5919</v>
      </c>
      <c r="B288" s="168" t="str">
        <f>Données!B288</f>
        <v>Mathod</v>
      </c>
      <c r="C288" s="348">
        <f>VPI!R288</f>
        <v>20854.383912037036</v>
      </c>
      <c r="D288" s="206">
        <f>Effort!I288-IF(PCS!I294&lt;0, Effort!D288, 0)</f>
        <v>14.369874583550205</v>
      </c>
      <c r="E288" s="505">
        <f>IF(PCS!I294&lt;0, 0, PCS!F294/Aide!C288)</f>
        <v>7.0861062414173865</v>
      </c>
      <c r="F288" s="505">
        <f>Effort!G288</f>
        <v>0</v>
      </c>
      <c r="G288" s="371">
        <f t="shared" si="13"/>
        <v>21.45598082496759</v>
      </c>
      <c r="H288" s="223">
        <f t="shared" si="14"/>
        <v>0</v>
      </c>
      <c r="I288" s="42">
        <f t="shared" si="15"/>
        <v>0</v>
      </c>
      <c r="J288" s="29"/>
    </row>
    <row r="289" spans="1:10" x14ac:dyDescent="0.25">
      <c r="A289" s="38">
        <f>Données!A289</f>
        <v>5921</v>
      </c>
      <c r="B289" s="168" t="str">
        <f>Données!B289</f>
        <v>Molondin</v>
      </c>
      <c r="C289" s="348">
        <f>VPI!R289</f>
        <v>5090.9675308641981</v>
      </c>
      <c r="D289" s="206">
        <f>Effort!I289-IF(PCS!I295&lt;0, Effort!D289, 0)</f>
        <v>-13.834682474503111</v>
      </c>
      <c r="E289" s="505">
        <f>IF(PCS!I295&lt;0, 0, PCS!F295/Aide!C289)</f>
        <v>3.1137715775824413</v>
      </c>
      <c r="F289" s="505">
        <f>Effort!G289</f>
        <v>0</v>
      </c>
      <c r="G289" s="371">
        <f t="shared" si="13"/>
        <v>-10.720910896920671</v>
      </c>
      <c r="H289" s="223">
        <f t="shared" si="14"/>
        <v>-2.720910896920671</v>
      </c>
      <c r="I289" s="42">
        <f t="shared" si="15"/>
        <v>13852.069030597719</v>
      </c>
      <c r="J289" s="29"/>
    </row>
    <row r="290" spans="1:10" x14ac:dyDescent="0.25">
      <c r="A290" s="38">
        <f>Données!A290</f>
        <v>5922</v>
      </c>
      <c r="B290" s="168" t="str">
        <f>Données!B290</f>
        <v>Montagny-près-Yverdon</v>
      </c>
      <c r="C290" s="348">
        <f>VPI!R290</f>
        <v>39799.996472868217</v>
      </c>
      <c r="D290" s="206">
        <f>Effort!I290-IF(PCS!I296&lt;0, Effort!D290, 0)</f>
        <v>29.170234101805324</v>
      </c>
      <c r="E290" s="505">
        <f>IF(PCS!I296&lt;0, 0, PCS!F296/Aide!C290)</f>
        <v>3.9441449475256025</v>
      </c>
      <c r="F290" s="505">
        <f>Effort!G290</f>
        <v>0</v>
      </c>
      <c r="G290" s="371">
        <f t="shared" si="13"/>
        <v>33.114379049330928</v>
      </c>
      <c r="H290" s="223">
        <f t="shared" si="14"/>
        <v>0</v>
      </c>
      <c r="I290" s="42">
        <f t="shared" si="15"/>
        <v>0</v>
      </c>
      <c r="J290" s="29"/>
    </row>
    <row r="291" spans="1:10" x14ac:dyDescent="0.25">
      <c r="A291" s="38">
        <f>Données!A291</f>
        <v>5923</v>
      </c>
      <c r="B291" s="168" t="str">
        <f>Données!B291</f>
        <v>Oppens</v>
      </c>
      <c r="C291" s="348">
        <f>VPI!R291</f>
        <v>4459.4095061728403</v>
      </c>
      <c r="D291" s="206">
        <f>Effort!I291-IF(PCS!I297&lt;0, Effort!D291, 0)</f>
        <v>-6.3057486315646898</v>
      </c>
      <c r="E291" s="505">
        <f>IF(PCS!I297&lt;0, 0, PCS!F297/Aide!C291)</f>
        <v>2.8629709790785833</v>
      </c>
      <c r="F291" s="505">
        <f>Effort!G291</f>
        <v>0</v>
      </c>
      <c r="G291" s="371">
        <f t="shared" si="13"/>
        <v>-3.4427776524861065</v>
      </c>
      <c r="H291" s="223">
        <f t="shared" si="14"/>
        <v>0</v>
      </c>
      <c r="I291" s="42">
        <f t="shared" si="15"/>
        <v>0</v>
      </c>
      <c r="J291" s="29"/>
    </row>
    <row r="292" spans="1:10" x14ac:dyDescent="0.25">
      <c r="A292" s="38">
        <f>Données!A292</f>
        <v>5924</v>
      </c>
      <c r="B292" s="168" t="str">
        <f>Données!B292</f>
        <v>Orges</v>
      </c>
      <c r="C292" s="348">
        <f>VPI!R292</f>
        <v>11637.592027027025</v>
      </c>
      <c r="D292" s="206">
        <f>Effort!I292-IF(PCS!I298&lt;0, Effort!D292, 0)</f>
        <v>11.151589500977938</v>
      </c>
      <c r="E292" s="505">
        <f>IF(PCS!I298&lt;0, 0, PCS!F298/Aide!C292)</f>
        <v>2.6196514647702562</v>
      </c>
      <c r="F292" s="505">
        <f>Effort!G292</f>
        <v>0</v>
      </c>
      <c r="G292" s="371">
        <f t="shared" si="13"/>
        <v>13.771240965748195</v>
      </c>
      <c r="H292" s="223">
        <f t="shared" si="14"/>
        <v>0</v>
      </c>
      <c r="I292" s="42">
        <f t="shared" si="15"/>
        <v>0</v>
      </c>
      <c r="J292" s="29"/>
    </row>
    <row r="293" spans="1:10" x14ac:dyDescent="0.25">
      <c r="A293" s="38">
        <f>Données!A293</f>
        <v>5925</v>
      </c>
      <c r="B293" s="168" t="str">
        <f>Données!B293</f>
        <v>Orzens</v>
      </c>
      <c r="C293" s="348">
        <f>VPI!R293</f>
        <v>5249.0272151898725</v>
      </c>
      <c r="D293" s="206">
        <f>Effort!I293-IF(PCS!I299&lt;0, Effort!D293, 0)</f>
        <v>1.7867644614232532</v>
      </c>
      <c r="E293" s="505">
        <f>IF(PCS!I299&lt;0, 0, PCS!F299/Aide!C293)</f>
        <v>3.701621120152101</v>
      </c>
      <c r="F293" s="505">
        <f>Effort!G293</f>
        <v>0</v>
      </c>
      <c r="G293" s="371">
        <f t="shared" si="13"/>
        <v>5.4883855815753542</v>
      </c>
      <c r="H293" s="223">
        <f t="shared" si="14"/>
        <v>0</v>
      </c>
      <c r="I293" s="42">
        <f t="shared" si="15"/>
        <v>0</v>
      </c>
      <c r="J293" s="29"/>
    </row>
    <row r="294" spans="1:10" x14ac:dyDescent="0.25">
      <c r="A294" s="38">
        <f>Données!A294</f>
        <v>5926</v>
      </c>
      <c r="B294" s="168" t="str">
        <f>Données!B294</f>
        <v>Pomy</v>
      </c>
      <c r="C294" s="348">
        <f>VPI!R294</f>
        <v>26782.680140845066</v>
      </c>
      <c r="D294" s="206">
        <f>Effort!I294-IF(PCS!I300&lt;0, Effort!D294, 0)</f>
        <v>15.191521838305558</v>
      </c>
      <c r="E294" s="505">
        <f>IF(PCS!I300&lt;0, 0, PCS!F300/Aide!C294)</f>
        <v>2.1415713326063801</v>
      </c>
      <c r="F294" s="505">
        <f>Effort!G294</f>
        <v>0</v>
      </c>
      <c r="G294" s="371">
        <f t="shared" si="13"/>
        <v>17.333093170911937</v>
      </c>
      <c r="H294" s="223">
        <f t="shared" si="14"/>
        <v>0</v>
      </c>
      <c r="I294" s="42">
        <f t="shared" si="15"/>
        <v>0</v>
      </c>
      <c r="J294" s="29"/>
    </row>
    <row r="295" spans="1:10" x14ac:dyDescent="0.25">
      <c r="A295" s="38">
        <f>Données!A295</f>
        <v>5928</v>
      </c>
      <c r="B295" s="168" t="str">
        <f>Données!B295</f>
        <v>Rovray</v>
      </c>
      <c r="C295" s="348">
        <f>VPI!R295</f>
        <v>5095.519580419581</v>
      </c>
      <c r="D295" s="206">
        <f>Effort!I295-IF(PCS!I301&lt;0, Effort!D295, 0)</f>
        <v>8.0339905808052894</v>
      </c>
      <c r="E295" s="505">
        <f>IF(PCS!I301&lt;0, 0, PCS!F301/Aide!C295)</f>
        <v>2.340291271929144E-2</v>
      </c>
      <c r="F295" s="505">
        <f>Effort!G295</f>
        <v>0</v>
      </c>
      <c r="G295" s="371">
        <f t="shared" si="13"/>
        <v>8.0573934935245806</v>
      </c>
      <c r="H295" s="223">
        <f t="shared" si="14"/>
        <v>0</v>
      </c>
      <c r="I295" s="42">
        <f t="shared" si="15"/>
        <v>0</v>
      </c>
      <c r="J295" s="29"/>
    </row>
    <row r="296" spans="1:10" x14ac:dyDescent="0.25">
      <c r="A296" s="38">
        <f>Données!A296</f>
        <v>5929</v>
      </c>
      <c r="B296" s="168" t="str">
        <f>Données!B296</f>
        <v>Suchy</v>
      </c>
      <c r="C296" s="348">
        <f>VPI!R296</f>
        <v>21603.071857142855</v>
      </c>
      <c r="D296" s="206">
        <f>Effort!I296-IF(PCS!I302&lt;0, Effort!D296, 0)</f>
        <v>16.966120500567023</v>
      </c>
      <c r="E296" s="505">
        <f>IF(PCS!I302&lt;0, 0, PCS!F302/Aide!C296)</f>
        <v>2.342602493509141</v>
      </c>
      <c r="F296" s="505">
        <f>Effort!G296</f>
        <v>0</v>
      </c>
      <c r="G296" s="371">
        <f t="shared" si="13"/>
        <v>19.308722994076163</v>
      </c>
      <c r="H296" s="223">
        <f t="shared" si="14"/>
        <v>0</v>
      </c>
      <c r="I296" s="42">
        <f t="shared" si="15"/>
        <v>0</v>
      </c>
      <c r="J296" s="29"/>
    </row>
    <row r="297" spans="1:10" x14ac:dyDescent="0.25">
      <c r="A297" s="38">
        <f>Données!A297</f>
        <v>5930</v>
      </c>
      <c r="B297" s="168" t="str">
        <f>Données!B297</f>
        <v>Suscévaz</v>
      </c>
      <c r="C297" s="348">
        <f>VPI!R297</f>
        <v>5749.1651388888886</v>
      </c>
      <c r="D297" s="206">
        <f>Effort!I297-IF(PCS!I303&lt;0, Effort!D297, 0)</f>
        <v>8.231096607687526</v>
      </c>
      <c r="E297" s="505">
        <f>IF(PCS!I303&lt;0, 0, PCS!F303/Aide!C297)</f>
        <v>4.221304209169114</v>
      </c>
      <c r="F297" s="505">
        <f>Effort!G297</f>
        <v>0</v>
      </c>
      <c r="G297" s="371">
        <f t="shared" si="13"/>
        <v>12.45240081685664</v>
      </c>
      <c r="H297" s="223">
        <f t="shared" si="14"/>
        <v>0</v>
      </c>
      <c r="I297" s="42">
        <f t="shared" si="15"/>
        <v>0</v>
      </c>
      <c r="J297" s="29"/>
    </row>
    <row r="298" spans="1:10" x14ac:dyDescent="0.25">
      <c r="A298" s="38">
        <f>Données!A298</f>
        <v>5931</v>
      </c>
      <c r="B298" s="168" t="str">
        <f>Données!B298</f>
        <v>Treycovagnes</v>
      </c>
      <c r="C298" s="348">
        <f>VPI!R298</f>
        <v>16306.743466666663</v>
      </c>
      <c r="D298" s="206">
        <f>Effort!I298-IF(PCS!I304&lt;0, Effort!D298, 0)</f>
        <v>14.495038520258994</v>
      </c>
      <c r="E298" s="505">
        <f>IF(PCS!I304&lt;0, 0, PCS!F304/Aide!C298)</f>
        <v>6.3424230111557298</v>
      </c>
      <c r="F298" s="505">
        <f>Effort!G298</f>
        <v>0</v>
      </c>
      <c r="G298" s="371">
        <f t="shared" si="13"/>
        <v>20.837461531414725</v>
      </c>
      <c r="H298" s="223">
        <f t="shared" si="14"/>
        <v>0</v>
      </c>
      <c r="I298" s="42">
        <f t="shared" si="15"/>
        <v>0</v>
      </c>
      <c r="J298" s="29"/>
    </row>
    <row r="299" spans="1:10" x14ac:dyDescent="0.25">
      <c r="A299" s="38">
        <f>Données!A299</f>
        <v>5932</v>
      </c>
      <c r="B299" s="168" t="str">
        <f>Données!B299</f>
        <v>Ursins</v>
      </c>
      <c r="C299" s="348">
        <f>VPI!R299</f>
        <v>7945.6340000000009</v>
      </c>
      <c r="D299" s="206">
        <f>Effort!I299-IF(PCS!I305&lt;0, Effort!D299, 0)</f>
        <v>18.078543158733986</v>
      </c>
      <c r="E299" s="505">
        <f>IF(PCS!I305&lt;0, 0, PCS!F305/Aide!C299)</f>
        <v>1.2251791361142483</v>
      </c>
      <c r="F299" s="505">
        <f>Effort!G299</f>
        <v>0</v>
      </c>
      <c r="G299" s="371">
        <f t="shared" si="13"/>
        <v>19.303722294848235</v>
      </c>
      <c r="H299" s="223">
        <f t="shared" si="14"/>
        <v>0</v>
      </c>
      <c r="I299" s="42">
        <f t="shared" si="15"/>
        <v>0</v>
      </c>
      <c r="J299" s="29"/>
    </row>
    <row r="300" spans="1:10" x14ac:dyDescent="0.25">
      <c r="A300" s="38">
        <f>Données!A300</f>
        <v>5933</v>
      </c>
      <c r="B300" s="168" t="str">
        <f>Données!B300</f>
        <v>Valeyres-sous-Montagny</v>
      </c>
      <c r="C300" s="348">
        <f>VPI!R300</f>
        <v>23478.314609929079</v>
      </c>
      <c r="D300" s="206">
        <f>Effort!I300-IF(PCS!I306&lt;0, Effort!D300, 0)</f>
        <v>18.044386620955692</v>
      </c>
      <c r="E300" s="505">
        <f>IF(PCS!I306&lt;0, 0, PCS!F306/Aide!C300)</f>
        <v>2.3369530952956992</v>
      </c>
      <c r="F300" s="505">
        <f>Effort!G300</f>
        <v>0</v>
      </c>
      <c r="G300" s="371">
        <f t="shared" si="13"/>
        <v>20.381339716251389</v>
      </c>
      <c r="H300" s="223">
        <f t="shared" si="14"/>
        <v>0</v>
      </c>
      <c r="I300" s="42">
        <f t="shared" si="15"/>
        <v>0</v>
      </c>
      <c r="J300" s="29"/>
    </row>
    <row r="301" spans="1:10" x14ac:dyDescent="0.25">
      <c r="A301" s="38">
        <f>Données!A301</f>
        <v>5934</v>
      </c>
      <c r="B301" s="168" t="str">
        <f>Données!B301</f>
        <v>Valeyres-sous-Ursins</v>
      </c>
      <c r="C301" s="348">
        <f>VPI!R301</f>
        <v>16787.585844155841</v>
      </c>
      <c r="D301" s="206">
        <f>Effort!I301-IF(PCS!I307&lt;0, Effort!D301, 0)</f>
        <v>34.968722637496874</v>
      </c>
      <c r="E301" s="505">
        <f>IF(PCS!I307&lt;0, 0, PCS!F307/Aide!C301)</f>
        <v>1.7969016081309499</v>
      </c>
      <c r="F301" s="505">
        <f>Effort!G301</f>
        <v>0</v>
      </c>
      <c r="G301" s="371">
        <f t="shared" si="13"/>
        <v>36.765624245627826</v>
      </c>
      <c r="H301" s="223">
        <f t="shared" si="14"/>
        <v>0</v>
      </c>
      <c r="I301" s="42">
        <f t="shared" si="15"/>
        <v>0</v>
      </c>
      <c r="J301" s="29"/>
    </row>
    <row r="302" spans="1:10" x14ac:dyDescent="0.25">
      <c r="A302" s="38">
        <f>Données!A302</f>
        <v>5935</v>
      </c>
      <c r="B302" s="168" t="str">
        <f>Données!B302</f>
        <v>Villars-Epeney</v>
      </c>
      <c r="C302" s="348">
        <f>VPI!R302</f>
        <v>6724.4138235294122</v>
      </c>
      <c r="D302" s="206">
        <f>Effort!I302-IF(PCS!I308&lt;0, Effort!D302, 0)</f>
        <v>35.109278134945249</v>
      </c>
      <c r="E302" s="505">
        <f>IF(PCS!I308&lt;0, 0, PCS!F308/Aide!C302)</f>
        <v>4.3024344960398251</v>
      </c>
      <c r="F302" s="505">
        <f>Effort!G302</f>
        <v>0</v>
      </c>
      <c r="G302" s="371">
        <f t="shared" si="13"/>
        <v>39.411712630985072</v>
      </c>
      <c r="H302" s="223">
        <f t="shared" si="14"/>
        <v>0</v>
      </c>
      <c r="I302" s="42">
        <f t="shared" si="15"/>
        <v>0</v>
      </c>
      <c r="J302" s="29"/>
    </row>
    <row r="303" spans="1:10" x14ac:dyDescent="0.25">
      <c r="A303" s="38">
        <f>Données!A303</f>
        <v>5937</v>
      </c>
      <c r="B303" s="168" t="str">
        <f>Données!B303</f>
        <v>Vugelles-La Mothe</v>
      </c>
      <c r="C303" s="348">
        <f>VPI!R303</f>
        <v>3343.8941428571434</v>
      </c>
      <c r="D303" s="206">
        <f>Effort!I303-IF(PCS!I309&lt;0, Effort!D303, 0)</f>
        <v>4.6747577909836835</v>
      </c>
      <c r="E303" s="505">
        <f>IF(PCS!I309&lt;0, 0, PCS!F309/Aide!C303)</f>
        <v>2.68459604774741</v>
      </c>
      <c r="F303" s="505">
        <f>Effort!G303</f>
        <v>0</v>
      </c>
      <c r="G303" s="371">
        <f t="shared" si="13"/>
        <v>7.3593538387310939</v>
      </c>
      <c r="H303" s="223">
        <f t="shared" si="14"/>
        <v>0</v>
      </c>
      <c r="I303" s="42">
        <f t="shared" si="15"/>
        <v>0</v>
      </c>
      <c r="J303" s="29"/>
    </row>
    <row r="304" spans="1:10" x14ac:dyDescent="0.25">
      <c r="A304" s="38">
        <f>Données!A304</f>
        <v>5938</v>
      </c>
      <c r="B304" s="168" t="str">
        <f>Données!B304</f>
        <v>Yverdon-les-Bains</v>
      </c>
      <c r="C304" s="348">
        <f>VPI!R304</f>
        <v>780594.69946666679</v>
      </c>
      <c r="D304" s="206">
        <f>Effort!I304-IF(PCS!I310&lt;0, Effort!D304, 0)</f>
        <v>-21.982293124482261</v>
      </c>
      <c r="E304" s="505">
        <f>IF(PCS!I310&lt;0, 0, PCS!F310/Aide!C304)</f>
        <v>5.4630508994150571</v>
      </c>
      <c r="F304" s="505">
        <f>Effort!G304</f>
        <v>0</v>
      </c>
      <c r="G304" s="371">
        <f t="shared" si="13"/>
        <v>-16.519242225067202</v>
      </c>
      <c r="H304" s="223">
        <f t="shared" si="14"/>
        <v>-8.5192422250672024</v>
      </c>
      <c r="I304" s="42">
        <f t="shared" si="15"/>
        <v>6650075.3243600708</v>
      </c>
      <c r="J304" s="29"/>
    </row>
    <row r="305" spans="1:12" x14ac:dyDescent="0.25">
      <c r="A305" s="38">
        <f>Données!A305</f>
        <v>5939</v>
      </c>
      <c r="B305" s="168" t="str">
        <f>Données!B305</f>
        <v>Yvonand</v>
      </c>
      <c r="C305" s="348">
        <f>VPI!R305</f>
        <v>97394.348251748248</v>
      </c>
      <c r="D305" s="206">
        <f>Effort!I305-IF(PCS!I311&lt;0, Effort!D305, 0)</f>
        <v>3.7853429677050325</v>
      </c>
      <c r="E305" s="505">
        <f>IF(PCS!I311&lt;0, 0, PCS!F311/Aide!C305)</f>
        <v>7.6372230868812068</v>
      </c>
      <c r="F305" s="505">
        <f>Effort!G305</f>
        <v>0</v>
      </c>
      <c r="G305" s="371">
        <f t="shared" si="13"/>
        <v>11.422566054586239</v>
      </c>
      <c r="H305" s="223">
        <f t="shared" si="14"/>
        <v>0</v>
      </c>
      <c r="I305" s="42">
        <f t="shared" si="15"/>
        <v>0</v>
      </c>
      <c r="J305" s="29"/>
    </row>
    <row r="306" spans="1:12" x14ac:dyDescent="0.25">
      <c r="A306" s="25"/>
      <c r="B306" s="172">
        <f>COUNTA(B6:B305)</f>
        <v>300</v>
      </c>
      <c r="C306" s="417">
        <f>VPI!R306</f>
        <v>40270921.104040481</v>
      </c>
      <c r="D306" s="693"/>
      <c r="E306" s="694"/>
      <c r="F306" s="694"/>
      <c r="G306" s="694"/>
      <c r="H306" s="695"/>
      <c r="I306" s="550">
        <f>SUM(I6:I305)</f>
        <v>11228875.662806239</v>
      </c>
      <c r="K306" s="10"/>
      <c r="L306" s="10"/>
    </row>
    <row r="307" spans="1:12" x14ac:dyDescent="0.25">
      <c r="I307" s="23"/>
      <c r="J307" s="5"/>
    </row>
    <row r="308" spans="1:12" x14ac:dyDescent="0.25">
      <c r="I308" s="23"/>
    </row>
  </sheetData>
  <sheetProtection sheet="1" objects="1" scenarios="1"/>
  <mergeCells count="7">
    <mergeCell ref="D306:H306"/>
    <mergeCell ref="C4:C5"/>
    <mergeCell ref="B4:B5"/>
    <mergeCell ref="A4:A5"/>
    <mergeCell ref="I4:I5"/>
    <mergeCell ref="G4:G5"/>
    <mergeCell ref="D4:D5"/>
  </mergeCells>
  <phoneticPr fontId="21" type="noConversion"/>
  <conditionalFormatting sqref="D6:G305 D306">
    <cfRule type="cellIs" dxfId="6" priority="3" operator="lessThan">
      <formula>0</formula>
    </cfRule>
    <cfRule type="cellIs" dxfId="5" priority="4" operator="greaterThan">
      <formula>0</formula>
    </cfRule>
  </conditionalFormatting>
  <conditionalFormatting sqref="H5">
    <cfRule type="cellIs" dxfId="4" priority="1" operator="lessThan">
      <formula>0</formula>
    </cfRule>
    <cfRule type="cellIs" dxfId="3" priority="2" operator="greaterThan">
      <formula>0</formula>
    </cfRule>
  </conditionalFormatting>
  <hyperlinks>
    <hyperlink ref="C1" location="Effort!A1" display="← Précédent" xr:uid="{AB4DD465-687C-427D-8055-D2BD3588A1AC}"/>
    <hyperlink ref="E1" location="Taux!A1" display="Suivant →" xr:uid="{595CC61F-6155-4574-887D-9823ED57B9F9}"/>
    <hyperlink ref="D1" location="'Table des matières'!A1" display="Table des             matières" xr:uid="{FC746932-0F9A-4D6A-946B-B9E5F79E5828}"/>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tabColor theme="6" tint="0.39997558519241921"/>
  </sheetPr>
  <dimension ref="A1:R311"/>
  <sheetViews>
    <sheetView workbookViewId="0">
      <pane ySplit="5" topLeftCell="A6" activePane="bottomLeft" state="frozen"/>
      <selection activeCell="C3" sqref="C3:E3"/>
      <selection pane="bottomLeft" activeCell="C3" sqref="C3:E3"/>
    </sheetView>
  </sheetViews>
  <sheetFormatPr baseColWidth="10" defaultColWidth="10.75" defaultRowHeight="15" x14ac:dyDescent="0.25"/>
  <cols>
    <col min="1" max="1" width="7.25" style="11" customWidth="1"/>
    <col min="2" max="2" width="20.25" style="11" bestFit="1" customWidth="1"/>
    <col min="3" max="3" width="16.125" style="5" customWidth="1"/>
    <col min="4" max="4" width="22.375" style="5" customWidth="1"/>
    <col min="5" max="6" width="12.125" style="5" customWidth="1"/>
    <col min="7" max="7" width="16.5" style="5" customWidth="1"/>
    <col min="8" max="8" width="12.125" style="11" customWidth="1"/>
    <col min="9" max="9" width="12" style="11" customWidth="1"/>
    <col min="10" max="10" width="9.25" style="11" bestFit="1" customWidth="1"/>
    <col min="11" max="11" width="8.875" style="13" bestFit="1" customWidth="1"/>
    <col min="12" max="12" width="11.75" style="13" bestFit="1" customWidth="1"/>
    <col min="13" max="13" width="12.5" style="13" bestFit="1" customWidth="1"/>
    <col min="14" max="14" width="6.75" style="11" customWidth="1"/>
    <col min="15" max="15" width="12.25" style="11" customWidth="1"/>
    <col min="16" max="16" width="12.625" style="11" customWidth="1"/>
    <col min="17" max="17" width="9.625" style="11" customWidth="1"/>
    <col min="18" max="18" width="11.25" style="5" bestFit="1" customWidth="1"/>
    <col min="19" max="16384" width="10.75" style="11"/>
  </cols>
  <sheetData>
    <row r="1" spans="1:18" s="291" customFormat="1" ht="26.25" x14ac:dyDescent="0.4">
      <c r="A1" s="278" t="s">
        <v>403</v>
      </c>
      <c r="B1" s="283"/>
      <c r="C1" s="404" t="s">
        <v>405</v>
      </c>
      <c r="D1" s="302" t="s">
        <v>397</v>
      </c>
      <c r="E1" s="403" t="s">
        <v>406</v>
      </c>
      <c r="F1" s="288"/>
      <c r="G1" s="288"/>
      <c r="H1" s="287"/>
      <c r="I1" s="287"/>
      <c r="J1" s="287"/>
      <c r="K1" s="290"/>
      <c r="L1" s="290"/>
      <c r="M1" s="290"/>
      <c r="N1" s="287"/>
      <c r="O1" s="287"/>
      <c r="P1" s="287"/>
      <c r="Q1" s="287"/>
      <c r="R1" s="286"/>
    </row>
    <row r="2" spans="1:18" s="33" customFormat="1" ht="15.75" x14ac:dyDescent="0.25">
      <c r="A2" s="355" t="str">
        <f>Paramètres!B4</f>
        <v>Décompte 2022</v>
      </c>
      <c r="B2" s="32"/>
      <c r="C2" s="34"/>
      <c r="D2" s="34"/>
      <c r="E2" s="34"/>
      <c r="F2" s="34"/>
      <c r="G2" s="34"/>
      <c r="H2" s="573" t="s">
        <v>568</v>
      </c>
      <c r="I2" s="219"/>
      <c r="J2" s="219"/>
      <c r="K2" s="80"/>
      <c r="L2" s="80"/>
      <c r="M2" s="80"/>
      <c r="N2" s="219"/>
      <c r="O2" s="219"/>
      <c r="P2" s="219"/>
      <c r="Q2" s="219"/>
      <c r="R2" s="5"/>
    </row>
    <row r="3" spans="1:18" ht="26.1" customHeight="1" x14ac:dyDescent="0.25">
      <c r="D3" s="4"/>
      <c r="H3" s="81"/>
      <c r="I3" s="81"/>
    </row>
    <row r="4" spans="1:18" ht="36.75" customHeight="1" x14ac:dyDescent="0.25">
      <c r="A4" s="680" t="s">
        <v>44</v>
      </c>
      <c r="B4" s="680" t="s">
        <v>84</v>
      </c>
      <c r="C4" s="680" t="s">
        <v>413</v>
      </c>
      <c r="D4" s="350" t="s">
        <v>494</v>
      </c>
      <c r="E4" s="686" t="s">
        <v>300</v>
      </c>
      <c r="F4" s="686" t="s">
        <v>436</v>
      </c>
      <c r="G4" s="495" t="s">
        <v>493</v>
      </c>
      <c r="H4" s="691" t="s">
        <v>515</v>
      </c>
      <c r="I4" s="493" t="s">
        <v>113</v>
      </c>
      <c r="J4" s="689" t="s">
        <v>437</v>
      </c>
      <c r="K4" s="5"/>
      <c r="L4" s="11"/>
      <c r="M4" s="11"/>
      <c r="R4" s="11"/>
    </row>
    <row r="5" spans="1:18" x14ac:dyDescent="0.25">
      <c r="A5" s="682"/>
      <c r="B5" s="682"/>
      <c r="C5" s="682"/>
      <c r="D5" s="553" t="str">
        <f>CONCATENATE(LEFT(Paramètres!B4,LENB(Paramètres!B4)-4), "T-1")</f>
        <v>Décompte T-1</v>
      </c>
      <c r="E5" s="687"/>
      <c r="F5" s="687"/>
      <c r="G5" s="511" t="str">
        <f>Paramètres!B4</f>
        <v>Décompte 2022</v>
      </c>
      <c r="H5" s="692"/>
      <c r="I5" s="517">
        <f>Paramètres!B47</f>
        <v>93.882000000000005</v>
      </c>
      <c r="J5" s="696"/>
      <c r="K5" s="5"/>
      <c r="L5" s="11"/>
      <c r="M5" s="11"/>
      <c r="R5" s="11"/>
    </row>
    <row r="6" spans="1:18" x14ac:dyDescent="0.25">
      <c r="A6" s="36">
        <f>Données!A6</f>
        <v>5401</v>
      </c>
      <c r="B6" s="199" t="str">
        <f>Données!B6</f>
        <v>Aigle</v>
      </c>
      <c r="C6" s="347">
        <f>VPI!R6</f>
        <v>294634.51575757569</v>
      </c>
      <c r="D6" s="523">
        <f>Données!AP6</f>
        <v>-4.7163916696975434</v>
      </c>
      <c r="E6" s="410">
        <f>VPI!Q6</f>
        <v>66</v>
      </c>
      <c r="F6" s="242">
        <f>E6-D6</f>
        <v>70.716391669697543</v>
      </c>
      <c r="G6" s="59">
        <f>Effort!I6+Aide!I6/Taux!C6+Effort!K6/Taux!C6</f>
        <v>-3.6445955867011648</v>
      </c>
      <c r="H6" s="82">
        <f>F6+G6</f>
        <v>67.071796082996372</v>
      </c>
      <c r="I6" s="223">
        <f>IF(H6&gt;$I$5,H6-$I$5,0)</f>
        <v>0</v>
      </c>
      <c r="J6" s="64">
        <f>-I6*C6</f>
        <v>0</v>
      </c>
      <c r="K6" s="5"/>
      <c r="L6" s="10"/>
      <c r="M6" s="11"/>
      <c r="R6" s="11"/>
    </row>
    <row r="7" spans="1:18" x14ac:dyDescent="0.25">
      <c r="A7" s="38">
        <f>Données!A7</f>
        <v>5402</v>
      </c>
      <c r="B7" s="197" t="str">
        <f>Données!B7</f>
        <v>Bex</v>
      </c>
      <c r="C7" s="348">
        <f>VPI!R7</f>
        <v>191961.18746478873</v>
      </c>
      <c r="D7" s="524">
        <f>Données!AP7</f>
        <v>-8.7469694401254685</v>
      </c>
      <c r="E7" s="411">
        <f>VPI!Q7</f>
        <v>71</v>
      </c>
      <c r="F7" s="241">
        <f t="shared" ref="F7:F70" si="0">E7-D7</f>
        <v>79.746969440125469</v>
      </c>
      <c r="G7" s="238">
        <f>Effort!I7+Aide!I7/Taux!C7+Effort!K7/Taux!C7</f>
        <v>-10.533707157521359</v>
      </c>
      <c r="H7" s="83">
        <f t="shared" ref="H7:H70" si="1">F7+G7</f>
        <v>69.213262282604106</v>
      </c>
      <c r="I7" s="223">
        <f t="shared" ref="I7:I70" si="2">IF(H7&gt;$I$5,H7-$I$5,0)</f>
        <v>0</v>
      </c>
      <c r="J7" s="42">
        <f t="shared" ref="J7:J70" si="3">-I7*C7</f>
        <v>0</v>
      </c>
      <c r="K7" s="5"/>
      <c r="L7" s="10"/>
      <c r="M7" s="11"/>
      <c r="R7" s="11"/>
    </row>
    <row r="8" spans="1:18" x14ac:dyDescent="0.25">
      <c r="A8" s="38">
        <f>Données!A8</f>
        <v>5403</v>
      </c>
      <c r="B8" s="197" t="str">
        <f>Données!B8</f>
        <v>Chessel</v>
      </c>
      <c r="C8" s="348">
        <f>VPI!R8</f>
        <v>13521.430615384616</v>
      </c>
      <c r="D8" s="524">
        <f>Données!AP8</f>
        <v>4.0899769806375206</v>
      </c>
      <c r="E8" s="411">
        <f>VPI!Q8</f>
        <v>65</v>
      </c>
      <c r="F8" s="241">
        <f t="shared" si="0"/>
        <v>60.910023019362477</v>
      </c>
      <c r="G8" s="238">
        <f>Effort!I8+Aide!I8/Taux!C8+Effort!K8/Taux!C8</f>
        <v>10.761966862749954</v>
      </c>
      <c r="H8" s="83">
        <f t="shared" si="1"/>
        <v>71.671989882112427</v>
      </c>
      <c r="I8" s="223">
        <f t="shared" si="2"/>
        <v>0</v>
      </c>
      <c r="J8" s="42">
        <f t="shared" si="3"/>
        <v>0</v>
      </c>
      <c r="K8" s="5"/>
      <c r="L8" s="10"/>
      <c r="M8" s="11"/>
      <c r="R8" s="11"/>
    </row>
    <row r="9" spans="1:18" x14ac:dyDescent="0.25">
      <c r="A9" s="38">
        <f>Données!A9</f>
        <v>5404</v>
      </c>
      <c r="B9" s="197" t="str">
        <f>Données!B9</f>
        <v>Corbeyrier</v>
      </c>
      <c r="C9" s="348">
        <f>VPI!R9</f>
        <v>11663.247882882884</v>
      </c>
      <c r="D9" s="524">
        <f>Données!AP9</f>
        <v>7.87655651655108</v>
      </c>
      <c r="E9" s="411">
        <f>VPI!Q9</f>
        <v>74</v>
      </c>
      <c r="F9" s="241">
        <f t="shared" si="0"/>
        <v>66.123443483448924</v>
      </c>
      <c r="G9" s="238">
        <f>Effort!I9+Aide!I9/Taux!C9+Effort!K9/Taux!C9</f>
        <v>7.8782685393946608</v>
      </c>
      <c r="H9" s="83">
        <f t="shared" si="1"/>
        <v>74.001712022843577</v>
      </c>
      <c r="I9" s="223">
        <f t="shared" si="2"/>
        <v>0</v>
      </c>
      <c r="J9" s="42">
        <f t="shared" si="3"/>
        <v>0</v>
      </c>
      <c r="K9" s="5"/>
      <c r="L9" s="10"/>
      <c r="M9" s="11"/>
      <c r="R9" s="11"/>
    </row>
    <row r="10" spans="1:18" x14ac:dyDescent="0.25">
      <c r="A10" s="38">
        <f>Données!A10</f>
        <v>5405</v>
      </c>
      <c r="B10" s="197" t="str">
        <f>Données!B10</f>
        <v>Gryon</v>
      </c>
      <c r="C10" s="348">
        <f>VPI!R10</f>
        <v>73286.214467120197</v>
      </c>
      <c r="D10" s="524">
        <f>Données!AP10</f>
        <v>29.660499569515913</v>
      </c>
      <c r="E10" s="411">
        <f>VPI!Q10</f>
        <v>73.5</v>
      </c>
      <c r="F10" s="241">
        <f t="shared" si="0"/>
        <v>43.839500430484087</v>
      </c>
      <c r="G10" s="238">
        <f>Effort!I10+Aide!I10/Taux!C10+Effort!K10/Taux!C10</f>
        <v>28.367013539314861</v>
      </c>
      <c r="H10" s="83">
        <f t="shared" si="1"/>
        <v>72.206513969798948</v>
      </c>
      <c r="I10" s="223">
        <f t="shared" si="2"/>
        <v>0</v>
      </c>
      <c r="J10" s="42">
        <f t="shared" si="3"/>
        <v>0</v>
      </c>
      <c r="K10" s="5"/>
      <c r="L10" s="10"/>
      <c r="M10" s="11"/>
      <c r="R10" s="11"/>
    </row>
    <row r="11" spans="1:18" x14ac:dyDescent="0.25">
      <c r="A11" s="38">
        <f>Données!A11</f>
        <v>5406</v>
      </c>
      <c r="B11" s="197" t="str">
        <f>Données!B11</f>
        <v>Lavey-Morcles</v>
      </c>
      <c r="C11" s="348">
        <f>VPI!R11</f>
        <v>22111.529381387842</v>
      </c>
      <c r="D11" s="524">
        <f>Données!AP11</f>
        <v>1.3050180150908257</v>
      </c>
      <c r="E11" s="411">
        <f>VPI!Q11</f>
        <v>71.5</v>
      </c>
      <c r="F11" s="241">
        <f t="shared" si="0"/>
        <v>70.194981984909177</v>
      </c>
      <c r="G11" s="238">
        <f>Effort!I11+Aide!I11/Taux!C11+Effort!K11/Taux!C11</f>
        <v>1.8540725717661388</v>
      </c>
      <c r="H11" s="83">
        <f t="shared" si="1"/>
        <v>72.049054556675316</v>
      </c>
      <c r="I11" s="223">
        <f t="shared" si="2"/>
        <v>0</v>
      </c>
      <c r="J11" s="42">
        <f t="shared" si="3"/>
        <v>0</v>
      </c>
      <c r="K11" s="5"/>
      <c r="L11" s="10"/>
      <c r="M11" s="11"/>
      <c r="R11" s="11"/>
    </row>
    <row r="12" spans="1:18" x14ac:dyDescent="0.25">
      <c r="A12" s="38">
        <f>Données!A12</f>
        <v>5407</v>
      </c>
      <c r="B12" s="197" t="str">
        <f>Données!B12</f>
        <v>Leysin</v>
      </c>
      <c r="C12" s="348">
        <f>VPI!R12</f>
        <v>89841.412521367529</v>
      </c>
      <c r="D12" s="524">
        <f>Données!AP12</f>
        <v>-4.5890261915199062</v>
      </c>
      <c r="E12" s="411">
        <f>VPI!Q12</f>
        <v>78</v>
      </c>
      <c r="F12" s="241">
        <f t="shared" si="0"/>
        <v>82.589026191519906</v>
      </c>
      <c r="G12" s="238">
        <f>Effort!I12+Aide!I12/Taux!C12+Effort!K12/Taux!C12</f>
        <v>-7.8188372945459044</v>
      </c>
      <c r="H12" s="83">
        <f t="shared" si="1"/>
        <v>74.770188896974005</v>
      </c>
      <c r="I12" s="223">
        <f t="shared" si="2"/>
        <v>0</v>
      </c>
      <c r="J12" s="42">
        <f t="shared" si="3"/>
        <v>0</v>
      </c>
      <c r="K12" s="5"/>
      <c r="L12" s="10"/>
      <c r="M12" s="11"/>
      <c r="R12" s="11"/>
    </row>
    <row r="13" spans="1:18" x14ac:dyDescent="0.25">
      <c r="A13" s="38">
        <f>Données!A13</f>
        <v>5408</v>
      </c>
      <c r="B13" s="197" t="str">
        <f>Données!B13</f>
        <v>Noville</v>
      </c>
      <c r="C13" s="348">
        <f>VPI!R13</f>
        <v>41973.380088888902</v>
      </c>
      <c r="D13" s="524">
        <f>Données!AP13</f>
        <v>17.386048038640972</v>
      </c>
      <c r="E13" s="411">
        <f>VPI!Q13</f>
        <v>75</v>
      </c>
      <c r="F13" s="241">
        <f t="shared" si="0"/>
        <v>57.613951961359028</v>
      </c>
      <c r="G13" s="238">
        <f>Effort!I13+Aide!I13/Taux!C13+Effort!K13/Taux!C13</f>
        <v>18.478130790900323</v>
      </c>
      <c r="H13" s="83">
        <f t="shared" si="1"/>
        <v>76.092082752259358</v>
      </c>
      <c r="I13" s="223">
        <f t="shared" si="2"/>
        <v>0</v>
      </c>
      <c r="J13" s="42">
        <f t="shared" si="3"/>
        <v>0</v>
      </c>
      <c r="K13" s="5"/>
      <c r="L13" s="10"/>
      <c r="M13" s="11"/>
      <c r="R13" s="11"/>
    </row>
    <row r="14" spans="1:18" x14ac:dyDescent="0.25">
      <c r="A14" s="38">
        <f>Données!A14</f>
        <v>5409</v>
      </c>
      <c r="B14" s="197" t="str">
        <f>Données!B14</f>
        <v>Ollon</v>
      </c>
      <c r="C14" s="348">
        <f>VPI!R14</f>
        <v>405938.29721719451</v>
      </c>
      <c r="D14" s="524">
        <f>Données!AP14</f>
        <v>23.992091330052517</v>
      </c>
      <c r="E14" s="411">
        <f>VPI!Q14</f>
        <v>68</v>
      </c>
      <c r="F14" s="241">
        <f t="shared" si="0"/>
        <v>44.007908669947483</v>
      </c>
      <c r="G14" s="238">
        <f>Effort!I14+Aide!I14/Taux!C14+Effort!K14/Taux!C14</f>
        <v>22.346667323587077</v>
      </c>
      <c r="H14" s="83">
        <f t="shared" si="1"/>
        <v>66.354575993534553</v>
      </c>
      <c r="I14" s="223">
        <f t="shared" si="2"/>
        <v>0</v>
      </c>
      <c r="J14" s="42">
        <f t="shared" si="3"/>
        <v>0</v>
      </c>
      <c r="K14" s="5"/>
      <c r="L14" s="10"/>
      <c r="M14" s="11"/>
      <c r="R14" s="11"/>
    </row>
    <row r="15" spans="1:18" x14ac:dyDescent="0.25">
      <c r="A15" s="38">
        <f>Données!A15</f>
        <v>5410</v>
      </c>
      <c r="B15" s="197" t="str">
        <f>Données!B15</f>
        <v>Ormont-Dessous</v>
      </c>
      <c r="C15" s="348">
        <f>VPI!R15</f>
        <v>38418.577099567097</v>
      </c>
      <c r="D15" s="524">
        <f>Données!AP15</f>
        <v>15.353719343699154</v>
      </c>
      <c r="E15" s="411">
        <f>VPI!Q15</f>
        <v>77</v>
      </c>
      <c r="F15" s="241">
        <f t="shared" si="0"/>
        <v>61.646280656300846</v>
      </c>
      <c r="G15" s="238">
        <f>Effort!I15+Aide!I15/Taux!C15+Effort!K15/Taux!C15</f>
        <v>14.32317765208769</v>
      </c>
      <c r="H15" s="83">
        <f t="shared" si="1"/>
        <v>75.969458308388539</v>
      </c>
      <c r="I15" s="223">
        <f t="shared" si="2"/>
        <v>0</v>
      </c>
      <c r="J15" s="42">
        <f t="shared" si="3"/>
        <v>0</v>
      </c>
      <c r="K15" s="5"/>
      <c r="L15" s="10"/>
      <c r="M15" s="11"/>
      <c r="R15" s="11"/>
    </row>
    <row r="16" spans="1:18" x14ac:dyDescent="0.25">
      <c r="A16" s="38">
        <f>Données!A16</f>
        <v>5411</v>
      </c>
      <c r="B16" s="197" t="str">
        <f>Données!B16</f>
        <v>Ormont-Dessus</v>
      </c>
      <c r="C16" s="348">
        <f>VPI!R16</f>
        <v>76161.465657894747</v>
      </c>
      <c r="D16" s="524">
        <f>Données!AP16</f>
        <v>28.618020251586799</v>
      </c>
      <c r="E16" s="411">
        <f>VPI!Q16</f>
        <v>76</v>
      </c>
      <c r="F16" s="241">
        <f t="shared" si="0"/>
        <v>47.381979748413201</v>
      </c>
      <c r="G16" s="238">
        <f>Effort!I16+Aide!I16/Taux!C16+Effort!K16/Taux!C16</f>
        <v>28.569497979694564</v>
      </c>
      <c r="H16" s="83">
        <f t="shared" si="1"/>
        <v>75.951477728107761</v>
      </c>
      <c r="I16" s="223">
        <f t="shared" si="2"/>
        <v>0</v>
      </c>
      <c r="J16" s="42">
        <f t="shared" si="3"/>
        <v>0</v>
      </c>
      <c r="K16" s="5"/>
      <c r="L16" s="10"/>
      <c r="M16" s="11"/>
      <c r="R16" s="11"/>
    </row>
    <row r="17" spans="1:18" x14ac:dyDescent="0.25">
      <c r="A17" s="38">
        <f>Données!A17</f>
        <v>5412</v>
      </c>
      <c r="B17" s="197" t="str">
        <f>Données!B17</f>
        <v>Rennaz</v>
      </c>
      <c r="C17" s="348">
        <f>VPI!R17</f>
        <v>32240.440579710143</v>
      </c>
      <c r="D17" s="524">
        <f>Données!AP17</f>
        <v>17.915109276333499</v>
      </c>
      <c r="E17" s="411">
        <f>VPI!Q17</f>
        <v>69</v>
      </c>
      <c r="F17" s="241">
        <f t="shared" si="0"/>
        <v>51.084890723666504</v>
      </c>
      <c r="G17" s="238">
        <f>Effort!I17+Aide!I17/Taux!C17+Effort!K17/Taux!C17</f>
        <v>19.606194060768054</v>
      </c>
      <c r="H17" s="83">
        <f t="shared" si="1"/>
        <v>70.691084784434565</v>
      </c>
      <c r="I17" s="223">
        <f t="shared" si="2"/>
        <v>0</v>
      </c>
      <c r="J17" s="42">
        <f t="shared" si="3"/>
        <v>0</v>
      </c>
      <c r="K17" s="5"/>
      <c r="L17" s="10"/>
      <c r="M17" s="11"/>
      <c r="R17" s="11"/>
    </row>
    <row r="18" spans="1:18" x14ac:dyDescent="0.25">
      <c r="A18" s="38">
        <f>Données!A18</f>
        <v>5413</v>
      </c>
      <c r="B18" s="197" t="str">
        <f>Données!B18</f>
        <v>Roche</v>
      </c>
      <c r="C18" s="348">
        <f>VPI!R18</f>
        <v>42596.643504901964</v>
      </c>
      <c r="D18" s="524">
        <f>Données!AP18</f>
        <v>0.54053168194483903</v>
      </c>
      <c r="E18" s="411">
        <f>VPI!Q18</f>
        <v>68</v>
      </c>
      <c r="F18" s="241">
        <f t="shared" si="0"/>
        <v>67.459468318055158</v>
      </c>
      <c r="G18" s="238">
        <f>Effort!I18+Aide!I18/Taux!C18+Effort!K18/Taux!C18</f>
        <v>-2.5254244279922062</v>
      </c>
      <c r="H18" s="83">
        <f t="shared" si="1"/>
        <v>64.934043890062952</v>
      </c>
      <c r="I18" s="223">
        <f t="shared" si="2"/>
        <v>0</v>
      </c>
      <c r="J18" s="42">
        <f t="shared" si="3"/>
        <v>0</v>
      </c>
      <c r="K18" s="5"/>
      <c r="L18" s="10"/>
      <c r="M18" s="11"/>
      <c r="R18" s="11"/>
    </row>
    <row r="19" spans="1:18" x14ac:dyDescent="0.25">
      <c r="A19" s="38">
        <f>Données!A19</f>
        <v>5414</v>
      </c>
      <c r="B19" s="197" t="str">
        <f>Données!B19</f>
        <v>Villeneuve</v>
      </c>
      <c r="C19" s="348">
        <f>VPI!R19</f>
        <v>165881.46711111109</v>
      </c>
      <c r="D19" s="524">
        <f>Données!AP19</f>
        <v>8.1972867951792097</v>
      </c>
      <c r="E19" s="411">
        <f>VPI!Q19</f>
        <v>67.5</v>
      </c>
      <c r="F19" s="241">
        <f t="shared" si="0"/>
        <v>59.30271320482079</v>
      </c>
      <c r="G19" s="238">
        <f>Effort!I19+Aide!I19/Taux!C19+Effort!K19/Taux!C19</f>
        <v>2.250765990846233</v>
      </c>
      <c r="H19" s="83">
        <f t="shared" si="1"/>
        <v>61.553479195667023</v>
      </c>
      <c r="I19" s="223">
        <f t="shared" si="2"/>
        <v>0</v>
      </c>
      <c r="J19" s="42">
        <f t="shared" si="3"/>
        <v>0</v>
      </c>
      <c r="K19" s="5"/>
      <c r="L19" s="10"/>
      <c r="M19" s="11"/>
      <c r="R19" s="11"/>
    </row>
    <row r="20" spans="1:18" x14ac:dyDescent="0.25">
      <c r="A20" s="38">
        <f>Données!A20</f>
        <v>5415</v>
      </c>
      <c r="B20" s="197" t="str">
        <f>Données!B20</f>
        <v>Yvorne</v>
      </c>
      <c r="C20" s="348">
        <f>VPI!R20</f>
        <v>33675.515990675995</v>
      </c>
      <c r="D20" s="524">
        <f>Données!AP20</f>
        <v>18.866944474219338</v>
      </c>
      <c r="E20" s="411">
        <f>VPI!Q20</f>
        <v>71.5</v>
      </c>
      <c r="F20" s="241">
        <f t="shared" si="0"/>
        <v>52.633055525780662</v>
      </c>
      <c r="G20" s="238">
        <f>Effort!I20+Aide!I20/Taux!C20+Effort!K20/Taux!C20</f>
        <v>14.53495030790738</v>
      </c>
      <c r="H20" s="83">
        <f t="shared" si="1"/>
        <v>67.168005833688042</v>
      </c>
      <c r="I20" s="223">
        <f t="shared" si="2"/>
        <v>0</v>
      </c>
      <c r="J20" s="42">
        <f t="shared" si="3"/>
        <v>0</v>
      </c>
      <c r="K20" s="5"/>
      <c r="L20" s="10"/>
      <c r="M20" s="11"/>
      <c r="R20" s="11"/>
    </row>
    <row r="21" spans="1:18" x14ac:dyDescent="0.25">
      <c r="A21" s="38">
        <f>Données!A21</f>
        <v>5422</v>
      </c>
      <c r="B21" s="197" t="str">
        <f>Données!B21</f>
        <v>Aubonne</v>
      </c>
      <c r="C21" s="348">
        <f>VPI!R21</f>
        <v>297608.37742857152</v>
      </c>
      <c r="D21" s="524">
        <f>Données!AP21</f>
        <v>39.020299212291064</v>
      </c>
      <c r="E21" s="411">
        <f>VPI!Q21</f>
        <v>70</v>
      </c>
      <c r="F21" s="241">
        <f t="shared" si="0"/>
        <v>30.979700787708936</v>
      </c>
      <c r="G21" s="238">
        <f>Effort!I21+Aide!I21/Taux!C21+Effort!K21/Taux!C21</f>
        <v>34.300536723523862</v>
      </c>
      <c r="H21" s="83">
        <f t="shared" si="1"/>
        <v>65.280237511232798</v>
      </c>
      <c r="I21" s="223">
        <f t="shared" si="2"/>
        <v>0</v>
      </c>
      <c r="J21" s="42">
        <f t="shared" si="3"/>
        <v>0</v>
      </c>
      <c r="K21" s="5"/>
      <c r="L21" s="10"/>
      <c r="M21" s="11"/>
      <c r="R21" s="11"/>
    </row>
    <row r="22" spans="1:18" x14ac:dyDescent="0.25">
      <c r="A22" s="38">
        <f>Données!A22</f>
        <v>5423</v>
      </c>
      <c r="B22" s="197" t="str">
        <f>Données!B22</f>
        <v>Ballens</v>
      </c>
      <c r="C22" s="348">
        <f>VPI!R22</f>
        <v>17345.890547945211</v>
      </c>
      <c r="D22" s="524">
        <f>Données!AP22</f>
        <v>11.708460153746396</v>
      </c>
      <c r="E22" s="411">
        <f>VPI!Q22</f>
        <v>73</v>
      </c>
      <c r="F22" s="241">
        <f t="shared" si="0"/>
        <v>61.291539846253606</v>
      </c>
      <c r="G22" s="238">
        <f>Effort!I22+Aide!I22/Taux!C22+Effort!K22/Taux!C22</f>
        <v>12.672653051274056</v>
      </c>
      <c r="H22" s="83">
        <f t="shared" si="1"/>
        <v>73.964192897527667</v>
      </c>
      <c r="I22" s="223">
        <f t="shared" si="2"/>
        <v>0</v>
      </c>
      <c r="J22" s="42">
        <f t="shared" si="3"/>
        <v>0</v>
      </c>
      <c r="K22" s="5"/>
      <c r="L22" s="10"/>
      <c r="M22" s="11"/>
      <c r="R22" s="11"/>
    </row>
    <row r="23" spans="1:18" x14ac:dyDescent="0.25">
      <c r="A23" s="38">
        <f>Données!A23</f>
        <v>5424</v>
      </c>
      <c r="B23" s="197" t="str">
        <f>Données!B23</f>
        <v>Berolle</v>
      </c>
      <c r="C23" s="348">
        <f>VPI!R23</f>
        <v>10263.254304635762</v>
      </c>
      <c r="D23" s="524">
        <f>Données!AP23</f>
        <v>8.1183993602049487</v>
      </c>
      <c r="E23" s="411">
        <f>VPI!Q23</f>
        <v>75.5</v>
      </c>
      <c r="F23" s="241">
        <f t="shared" si="0"/>
        <v>67.381600639795053</v>
      </c>
      <c r="G23" s="238">
        <f>Effort!I23+Aide!I23/Taux!C23+Effort!K23/Taux!C23</f>
        <v>17.00725502251737</v>
      </c>
      <c r="H23" s="83">
        <f t="shared" si="1"/>
        <v>84.388855662312423</v>
      </c>
      <c r="I23" s="223">
        <f t="shared" si="2"/>
        <v>0</v>
      </c>
      <c r="J23" s="42">
        <f t="shared" si="3"/>
        <v>0</v>
      </c>
      <c r="K23" s="5"/>
      <c r="L23" s="10"/>
      <c r="M23" s="11"/>
      <c r="R23" s="11"/>
    </row>
    <row r="24" spans="1:18" x14ac:dyDescent="0.25">
      <c r="A24" s="38">
        <f>Données!A24</f>
        <v>5425</v>
      </c>
      <c r="B24" s="197" t="str">
        <f>Données!B24</f>
        <v>Bière</v>
      </c>
      <c r="C24" s="348">
        <f>VPI!R24</f>
        <v>42247.955252373817</v>
      </c>
      <c r="D24" s="524">
        <f>Données!AP24</f>
        <v>8.0471159904390568</v>
      </c>
      <c r="E24" s="411">
        <f>VPI!Q24</f>
        <v>69</v>
      </c>
      <c r="F24" s="241">
        <f t="shared" si="0"/>
        <v>60.952884009560947</v>
      </c>
      <c r="G24" s="238">
        <f>Effort!I24+Aide!I24/Taux!C24+Effort!K24/Taux!C24</f>
        <v>4.1184006157810096</v>
      </c>
      <c r="H24" s="83">
        <f t="shared" si="1"/>
        <v>65.07128462534196</v>
      </c>
      <c r="I24" s="223">
        <f t="shared" si="2"/>
        <v>0</v>
      </c>
      <c r="J24" s="42">
        <f t="shared" si="3"/>
        <v>0</v>
      </c>
      <c r="K24" s="5"/>
      <c r="L24" s="10"/>
      <c r="M24" s="11"/>
      <c r="R24" s="11"/>
    </row>
    <row r="25" spans="1:18" x14ac:dyDescent="0.25">
      <c r="A25" s="38">
        <f>Données!A25</f>
        <v>5426</v>
      </c>
      <c r="B25" s="197" t="str">
        <f>Données!B25</f>
        <v>Bougy-Villars</v>
      </c>
      <c r="C25" s="348">
        <f>VPI!R25</f>
        <v>61985.534935400508</v>
      </c>
      <c r="D25" s="524">
        <f>Données!AP25</f>
        <v>42.339138470643057</v>
      </c>
      <c r="E25" s="411">
        <f>VPI!Q25</f>
        <v>64.5</v>
      </c>
      <c r="F25" s="241">
        <f t="shared" si="0"/>
        <v>22.160861529356943</v>
      </c>
      <c r="G25" s="238">
        <f>Effort!I25+Aide!I25/Taux!C25+Effort!K25/Taux!C25</f>
        <v>44.964014321723738</v>
      </c>
      <c r="H25" s="83">
        <f t="shared" si="1"/>
        <v>67.124875851080674</v>
      </c>
      <c r="I25" s="223">
        <f t="shared" si="2"/>
        <v>0</v>
      </c>
      <c r="J25" s="42">
        <f t="shared" si="3"/>
        <v>0</v>
      </c>
      <c r="K25" s="5"/>
      <c r="L25" s="10"/>
      <c r="M25" s="11"/>
      <c r="R25" s="11"/>
    </row>
    <row r="26" spans="1:18" x14ac:dyDescent="0.25">
      <c r="A26" s="38">
        <f>Données!A26</f>
        <v>5427</v>
      </c>
      <c r="B26" s="197" t="str">
        <f>Données!B26</f>
        <v>Féchy</v>
      </c>
      <c r="C26" s="348">
        <f>VPI!R26</f>
        <v>86972.782199519221</v>
      </c>
      <c r="D26" s="524">
        <f>Données!AP26</f>
        <v>40.583981406407261</v>
      </c>
      <c r="E26" s="411">
        <f>VPI!Q26</f>
        <v>64</v>
      </c>
      <c r="F26" s="241">
        <f t="shared" si="0"/>
        <v>23.416018593592739</v>
      </c>
      <c r="G26" s="238">
        <f>Effort!I26+Aide!I26/Taux!C26+Effort!K26/Taux!C26</f>
        <v>40.35597973602124</v>
      </c>
      <c r="H26" s="83">
        <f t="shared" si="1"/>
        <v>63.771998329613979</v>
      </c>
      <c r="I26" s="223">
        <f t="shared" si="2"/>
        <v>0</v>
      </c>
      <c r="J26" s="42">
        <f t="shared" si="3"/>
        <v>0</v>
      </c>
      <c r="K26" s="5"/>
      <c r="L26" s="10"/>
      <c r="M26" s="11"/>
      <c r="R26" s="11"/>
    </row>
    <row r="27" spans="1:18" x14ac:dyDescent="0.25">
      <c r="A27" s="38">
        <f>Données!A27</f>
        <v>5428</v>
      </c>
      <c r="B27" s="197" t="str">
        <f>Données!B27</f>
        <v>Gimel</v>
      </c>
      <c r="C27" s="348">
        <f>VPI!R27</f>
        <v>71357.587986577171</v>
      </c>
      <c r="D27" s="524">
        <f>Données!AP27</f>
        <v>7.7941035715866231</v>
      </c>
      <c r="E27" s="411">
        <f>VPI!Q27</f>
        <v>74.5</v>
      </c>
      <c r="F27" s="241">
        <f t="shared" si="0"/>
        <v>66.705896428413382</v>
      </c>
      <c r="G27" s="238">
        <f>Effort!I27+Aide!I27/Taux!C27+Effort!K27/Taux!C27</f>
        <v>7.7195550107853403</v>
      </c>
      <c r="H27" s="83">
        <f t="shared" si="1"/>
        <v>74.425451439198724</v>
      </c>
      <c r="I27" s="223">
        <f t="shared" si="2"/>
        <v>0</v>
      </c>
      <c r="J27" s="42">
        <f t="shared" si="3"/>
        <v>0</v>
      </c>
      <c r="K27" s="5"/>
      <c r="L27" s="10"/>
      <c r="M27" s="11"/>
      <c r="R27" s="11"/>
    </row>
    <row r="28" spans="1:18" x14ac:dyDescent="0.25">
      <c r="A28" s="38">
        <f>Données!A28</f>
        <v>5429</v>
      </c>
      <c r="B28" s="197" t="str">
        <f>Données!B28</f>
        <v>Longirod</v>
      </c>
      <c r="C28" s="348">
        <f>VPI!R28</f>
        <v>17142.381290322584</v>
      </c>
      <c r="D28" s="524">
        <f>Données!AP28</f>
        <v>18.850790109901546</v>
      </c>
      <c r="E28" s="411">
        <f>VPI!Q28</f>
        <v>77.5</v>
      </c>
      <c r="F28" s="241">
        <f t="shared" si="0"/>
        <v>58.649209890098454</v>
      </c>
      <c r="G28" s="238">
        <f>Effort!I28+Aide!I28/Taux!C28+Effort!K28/Taux!C28</f>
        <v>14.015218873447548</v>
      </c>
      <c r="H28" s="83">
        <f t="shared" si="1"/>
        <v>72.664428763545999</v>
      </c>
      <c r="I28" s="223">
        <f t="shared" si="2"/>
        <v>0</v>
      </c>
      <c r="J28" s="42">
        <f t="shared" si="3"/>
        <v>0</v>
      </c>
      <c r="K28" s="5"/>
      <c r="L28" s="10"/>
      <c r="M28" s="11"/>
      <c r="R28" s="11"/>
    </row>
    <row r="29" spans="1:18" x14ac:dyDescent="0.25">
      <c r="A29" s="38">
        <f>Données!A29</f>
        <v>5430</v>
      </c>
      <c r="B29" s="197" t="str">
        <f>Données!B29</f>
        <v>Marchissy</v>
      </c>
      <c r="C29" s="348">
        <f>VPI!R29</f>
        <v>17121.715483870968</v>
      </c>
      <c r="D29" s="524">
        <f>Données!AP29</f>
        <v>14.824200221946516</v>
      </c>
      <c r="E29" s="411">
        <f>VPI!Q29</f>
        <v>77.5</v>
      </c>
      <c r="F29" s="241">
        <f t="shared" si="0"/>
        <v>62.675799778053488</v>
      </c>
      <c r="G29" s="238">
        <f>Effort!I29+Aide!I29/Taux!C29+Effort!K29/Taux!C29</f>
        <v>17.059507312461754</v>
      </c>
      <c r="H29" s="83">
        <f t="shared" si="1"/>
        <v>79.735307090515249</v>
      </c>
      <c r="I29" s="223">
        <f t="shared" si="2"/>
        <v>0</v>
      </c>
      <c r="J29" s="42">
        <f t="shared" si="3"/>
        <v>0</v>
      </c>
      <c r="K29" s="5"/>
      <c r="L29" s="10"/>
      <c r="M29" s="11"/>
      <c r="R29" s="11"/>
    </row>
    <row r="30" spans="1:18" x14ac:dyDescent="0.25">
      <c r="A30" s="38">
        <f>Données!A30</f>
        <v>5431</v>
      </c>
      <c r="B30" s="197" t="str">
        <f>Données!B30</f>
        <v>Mollens</v>
      </c>
      <c r="C30" s="348">
        <f>VPI!R30</f>
        <v>9475.049594594595</v>
      </c>
      <c r="D30" s="524">
        <f>Données!AP30</f>
        <v>16.659379426441415</v>
      </c>
      <c r="E30" s="411">
        <f>VPI!Q30</f>
        <v>74</v>
      </c>
      <c r="F30" s="241">
        <f t="shared" si="0"/>
        <v>57.340620573558581</v>
      </c>
      <c r="G30" s="238">
        <f>Effort!I30+Aide!I30/Taux!C30+Effort!K30/Taux!C30</f>
        <v>12.076571578899159</v>
      </c>
      <c r="H30" s="83">
        <f t="shared" si="1"/>
        <v>69.417192152457744</v>
      </c>
      <c r="I30" s="223">
        <f t="shared" si="2"/>
        <v>0</v>
      </c>
      <c r="J30" s="42">
        <f t="shared" si="3"/>
        <v>0</v>
      </c>
      <c r="K30" s="5"/>
      <c r="L30" s="10"/>
      <c r="M30" s="11"/>
      <c r="R30" s="11"/>
    </row>
    <row r="31" spans="1:18" x14ac:dyDescent="0.25">
      <c r="A31" s="38">
        <f>Données!A31</f>
        <v>5434</v>
      </c>
      <c r="B31" s="197" t="str">
        <f>Données!B31</f>
        <v>Saint-George</v>
      </c>
      <c r="C31" s="348">
        <f>VPI!R31</f>
        <v>41109.419880095913</v>
      </c>
      <c r="D31" s="524">
        <f>Données!AP31</f>
        <v>23.719047977736892</v>
      </c>
      <c r="E31" s="411">
        <f>VPI!Q31</f>
        <v>69.5</v>
      </c>
      <c r="F31" s="241">
        <f t="shared" si="0"/>
        <v>45.780952022263108</v>
      </c>
      <c r="G31" s="238">
        <f>Effort!I31+Aide!I31/Taux!C31+Effort!K31/Taux!C31</f>
        <v>22.098282109708151</v>
      </c>
      <c r="H31" s="83">
        <f t="shared" si="1"/>
        <v>67.879234131971259</v>
      </c>
      <c r="I31" s="223">
        <f t="shared" si="2"/>
        <v>0</v>
      </c>
      <c r="J31" s="42">
        <f t="shared" si="3"/>
        <v>0</v>
      </c>
      <c r="K31" s="5"/>
      <c r="L31" s="10"/>
      <c r="M31" s="11"/>
      <c r="R31" s="11"/>
    </row>
    <row r="32" spans="1:18" x14ac:dyDescent="0.25">
      <c r="A32" s="38">
        <f>Données!A32</f>
        <v>5435</v>
      </c>
      <c r="B32" s="197" t="str">
        <f>Données!B32</f>
        <v>Saint-Livres</v>
      </c>
      <c r="C32" s="348">
        <f>VPI!R32</f>
        <v>25462.29188405797</v>
      </c>
      <c r="D32" s="524">
        <f>Données!AP32</f>
        <v>22.627327698818849</v>
      </c>
      <c r="E32" s="411">
        <f>VPI!Q32</f>
        <v>69</v>
      </c>
      <c r="F32" s="241">
        <f t="shared" si="0"/>
        <v>46.372672301181154</v>
      </c>
      <c r="G32" s="238">
        <f>Effort!I32+Aide!I32/Taux!C32+Effort!K32/Taux!C32</f>
        <v>21.079054074203807</v>
      </c>
      <c r="H32" s="83">
        <f t="shared" si="1"/>
        <v>67.451726375384965</v>
      </c>
      <c r="I32" s="223">
        <f t="shared" si="2"/>
        <v>0</v>
      </c>
      <c r="J32" s="42">
        <f t="shared" si="3"/>
        <v>0</v>
      </c>
      <c r="K32" s="5"/>
      <c r="L32" s="10"/>
      <c r="M32" s="11"/>
      <c r="R32" s="11"/>
    </row>
    <row r="33" spans="1:18" x14ac:dyDescent="0.25">
      <c r="A33" s="38">
        <f>Données!A33</f>
        <v>5436</v>
      </c>
      <c r="B33" s="197" t="str">
        <f>Données!B33</f>
        <v>Saint-Oyens</v>
      </c>
      <c r="C33" s="348">
        <f>VPI!R33</f>
        <v>16425.371772151899</v>
      </c>
      <c r="D33" s="524">
        <f>Données!AP33</f>
        <v>19.240468772638589</v>
      </c>
      <c r="E33" s="411">
        <f>VPI!Q33</f>
        <v>79</v>
      </c>
      <c r="F33" s="241">
        <f t="shared" si="0"/>
        <v>59.759531227361407</v>
      </c>
      <c r="G33" s="238">
        <f>Effort!I33+Aide!I33/Taux!C33+Effort!K33/Taux!C33</f>
        <v>18.672719150400944</v>
      </c>
      <c r="H33" s="83">
        <f t="shared" si="1"/>
        <v>78.432250377762358</v>
      </c>
      <c r="I33" s="223">
        <f t="shared" si="2"/>
        <v>0</v>
      </c>
      <c r="J33" s="42">
        <f t="shared" si="3"/>
        <v>0</v>
      </c>
      <c r="K33" s="5"/>
      <c r="L33" s="10"/>
      <c r="M33" s="11"/>
      <c r="R33" s="11"/>
    </row>
    <row r="34" spans="1:18" x14ac:dyDescent="0.25">
      <c r="A34" s="38">
        <f>Données!A34</f>
        <v>5437</v>
      </c>
      <c r="B34" s="197" t="str">
        <f>Données!B34</f>
        <v>Saubraz</v>
      </c>
      <c r="C34" s="348">
        <f>VPI!R34</f>
        <v>12127.91725</v>
      </c>
      <c r="D34" s="524">
        <f>Données!AP34</f>
        <v>11.80107091244011</v>
      </c>
      <c r="E34" s="411">
        <f>VPI!Q34</f>
        <v>80</v>
      </c>
      <c r="F34" s="241">
        <f t="shared" si="0"/>
        <v>68.19892908755989</v>
      </c>
      <c r="G34" s="238">
        <f>Effort!I34+Aide!I34/Taux!C34+Effort!K34/Taux!C34</f>
        <v>5.7846128565361656</v>
      </c>
      <c r="H34" s="83">
        <f t="shared" si="1"/>
        <v>73.983541944096061</v>
      </c>
      <c r="I34" s="223">
        <f t="shared" si="2"/>
        <v>0</v>
      </c>
      <c r="J34" s="42">
        <f t="shared" si="3"/>
        <v>0</v>
      </c>
      <c r="K34" s="5"/>
      <c r="L34" s="10"/>
      <c r="M34" s="11"/>
      <c r="R34" s="11"/>
    </row>
    <row r="35" spans="1:18" x14ac:dyDescent="0.25">
      <c r="A35" s="38">
        <f>Données!A35</f>
        <v>5451</v>
      </c>
      <c r="B35" s="197" t="str">
        <f>Données!B35</f>
        <v>Avenches</v>
      </c>
      <c r="C35" s="348">
        <f>VPI!R35</f>
        <v>142633.11649122802</v>
      </c>
      <c r="D35" s="524">
        <f>Données!AP35</f>
        <v>8.0841964090713176</v>
      </c>
      <c r="E35" s="411">
        <f>VPI!Q35</f>
        <v>66.5</v>
      </c>
      <c r="F35" s="241">
        <f t="shared" si="0"/>
        <v>58.415803590928682</v>
      </c>
      <c r="G35" s="238">
        <f>Effort!I35+Aide!I35/Taux!C35+Effort!K35/Taux!C35</f>
        <v>8.2060618175429116</v>
      </c>
      <c r="H35" s="83">
        <f t="shared" si="1"/>
        <v>66.621865408471592</v>
      </c>
      <c r="I35" s="223">
        <f t="shared" si="2"/>
        <v>0</v>
      </c>
      <c r="J35" s="42">
        <f t="shared" si="3"/>
        <v>0</v>
      </c>
      <c r="K35" s="5"/>
      <c r="L35" s="10"/>
      <c r="M35" s="11"/>
      <c r="R35" s="11"/>
    </row>
    <row r="36" spans="1:18" x14ac:dyDescent="0.25">
      <c r="A36" s="38">
        <f>Données!A36</f>
        <v>5456</v>
      </c>
      <c r="B36" s="197" t="str">
        <f>Données!B36</f>
        <v>Cudrefin</v>
      </c>
      <c r="C36" s="348">
        <f>VPI!R36</f>
        <v>64060.385932203382</v>
      </c>
      <c r="D36" s="524">
        <f>Données!AP36</f>
        <v>19.000925518519384</v>
      </c>
      <c r="E36" s="411">
        <f>VPI!Q36</f>
        <v>59</v>
      </c>
      <c r="F36" s="241">
        <f t="shared" si="0"/>
        <v>39.999074481480619</v>
      </c>
      <c r="G36" s="238">
        <f>Effort!I36+Aide!I36/Taux!C36+Effort!K36/Taux!C36</f>
        <v>18.077891907933402</v>
      </c>
      <c r="H36" s="83">
        <f t="shared" si="1"/>
        <v>58.076966389414025</v>
      </c>
      <c r="I36" s="223">
        <f t="shared" si="2"/>
        <v>0</v>
      </c>
      <c r="J36" s="42">
        <f t="shared" si="3"/>
        <v>0</v>
      </c>
      <c r="K36" s="5"/>
      <c r="L36" s="10"/>
      <c r="M36" s="11"/>
      <c r="R36" s="11"/>
    </row>
    <row r="37" spans="1:18" x14ac:dyDescent="0.25">
      <c r="A37" s="38">
        <f>Données!A37</f>
        <v>5458</v>
      </c>
      <c r="B37" s="197" t="str">
        <f>Données!B37</f>
        <v>Faoug</v>
      </c>
      <c r="C37" s="348">
        <f>VPI!R37</f>
        <v>32630.920512820507</v>
      </c>
      <c r="D37" s="524">
        <f>Données!AP37</f>
        <v>24.248507982393967</v>
      </c>
      <c r="E37" s="411">
        <f>VPI!Q37</f>
        <v>65</v>
      </c>
      <c r="F37" s="241">
        <f t="shared" si="0"/>
        <v>40.751492017606033</v>
      </c>
      <c r="G37" s="238">
        <f>Effort!I37+Aide!I37/Taux!C37+Effort!K37/Taux!C37</f>
        <v>21.506282157179051</v>
      </c>
      <c r="H37" s="83">
        <f t="shared" si="1"/>
        <v>62.257774174785084</v>
      </c>
      <c r="I37" s="223">
        <f t="shared" si="2"/>
        <v>0</v>
      </c>
      <c r="J37" s="42">
        <f t="shared" si="3"/>
        <v>0</v>
      </c>
      <c r="K37" s="5"/>
      <c r="L37" s="10"/>
      <c r="M37" s="11"/>
      <c r="R37" s="11"/>
    </row>
    <row r="38" spans="1:18" x14ac:dyDescent="0.25">
      <c r="A38" s="38">
        <f>Données!A38</f>
        <v>5464</v>
      </c>
      <c r="B38" s="197" t="str">
        <f>Données!B38</f>
        <v>Vully-les-Lacs</v>
      </c>
      <c r="C38" s="348">
        <f>VPI!R38</f>
        <v>117933.44731343284</v>
      </c>
      <c r="D38" s="524">
        <f>Données!AP38</f>
        <v>14.698518660763845</v>
      </c>
      <c r="E38" s="411">
        <f>VPI!Q38</f>
        <v>67</v>
      </c>
      <c r="F38" s="241">
        <f t="shared" si="0"/>
        <v>52.301481339236155</v>
      </c>
      <c r="G38" s="238">
        <f>Effort!I38+Aide!I38/Taux!C38+Effort!K38/Taux!C38</f>
        <v>13.090429571573315</v>
      </c>
      <c r="H38" s="83">
        <f t="shared" si="1"/>
        <v>65.391910910809472</v>
      </c>
      <c r="I38" s="223">
        <f t="shared" si="2"/>
        <v>0</v>
      </c>
      <c r="J38" s="42">
        <f t="shared" si="3"/>
        <v>0</v>
      </c>
      <c r="K38" s="5"/>
      <c r="L38" s="10"/>
      <c r="M38" s="11"/>
      <c r="R38" s="11"/>
    </row>
    <row r="39" spans="1:18" x14ac:dyDescent="0.25">
      <c r="A39" s="38">
        <f>Données!A39</f>
        <v>5471</v>
      </c>
      <c r="B39" s="197" t="str">
        <f>Données!B39</f>
        <v>Bettens</v>
      </c>
      <c r="C39" s="348">
        <f>VPI!R39</f>
        <v>22692.287412698413</v>
      </c>
      <c r="D39" s="524">
        <f>Données!AP39</f>
        <v>21.115282187555799</v>
      </c>
      <c r="E39" s="411">
        <f>VPI!Q39</f>
        <v>70</v>
      </c>
      <c r="F39" s="241">
        <f t="shared" si="0"/>
        <v>48.884717812444201</v>
      </c>
      <c r="G39" s="238">
        <f>Effort!I39+Aide!I39/Taux!C39+Effort!K39/Taux!C39</f>
        <v>19.570198566581553</v>
      </c>
      <c r="H39" s="83">
        <f t="shared" si="1"/>
        <v>68.454916379025747</v>
      </c>
      <c r="I39" s="223">
        <f t="shared" si="2"/>
        <v>0</v>
      </c>
      <c r="J39" s="42">
        <f t="shared" si="3"/>
        <v>0</v>
      </c>
      <c r="K39" s="5"/>
      <c r="L39" s="10"/>
      <c r="M39" s="11"/>
      <c r="R39" s="11"/>
    </row>
    <row r="40" spans="1:18" x14ac:dyDescent="0.25">
      <c r="A40" s="38">
        <f>Données!A40</f>
        <v>5472</v>
      </c>
      <c r="B40" s="197" t="str">
        <f>Données!B40</f>
        <v>Bournens</v>
      </c>
      <c r="C40" s="348">
        <f>VPI!R40</f>
        <v>19974.836617647059</v>
      </c>
      <c r="D40" s="524">
        <f>Données!AP40</f>
        <v>25.801092099888585</v>
      </c>
      <c r="E40" s="411">
        <f>VPI!Q40</f>
        <v>68</v>
      </c>
      <c r="F40" s="241">
        <f t="shared" si="0"/>
        <v>42.198907900111415</v>
      </c>
      <c r="G40" s="238">
        <f>Effort!I40+Aide!I40/Taux!C40+Effort!K40/Taux!C40</f>
        <v>22.980127470272706</v>
      </c>
      <c r="H40" s="83">
        <f t="shared" si="1"/>
        <v>65.179035370384128</v>
      </c>
      <c r="I40" s="223">
        <f t="shared" si="2"/>
        <v>0</v>
      </c>
      <c r="J40" s="42">
        <f t="shared" si="3"/>
        <v>0</v>
      </c>
      <c r="K40" s="5"/>
      <c r="L40" s="10"/>
      <c r="M40" s="11"/>
      <c r="R40" s="11"/>
    </row>
    <row r="41" spans="1:18" x14ac:dyDescent="0.25">
      <c r="A41" s="38">
        <f>Données!A41</f>
        <v>5473</v>
      </c>
      <c r="B41" s="197" t="str">
        <f>Données!B41</f>
        <v>Boussens</v>
      </c>
      <c r="C41" s="348">
        <f>VPI!R41</f>
        <v>42017.076666666668</v>
      </c>
      <c r="D41" s="524">
        <f>Données!AP41</f>
        <v>21.888253981031689</v>
      </c>
      <c r="E41" s="411">
        <f>VPI!Q41</f>
        <v>66</v>
      </c>
      <c r="F41" s="241">
        <f t="shared" si="0"/>
        <v>44.111746018968311</v>
      </c>
      <c r="G41" s="238">
        <f>Effort!I41+Aide!I41/Taux!C41+Effort!K41/Taux!C41</f>
        <v>24.836649746590592</v>
      </c>
      <c r="H41" s="83">
        <f t="shared" si="1"/>
        <v>68.948395765558899</v>
      </c>
      <c r="I41" s="223">
        <f t="shared" si="2"/>
        <v>0</v>
      </c>
      <c r="J41" s="42">
        <f t="shared" si="3"/>
        <v>0</v>
      </c>
      <c r="K41" s="5"/>
      <c r="L41" s="10"/>
      <c r="M41" s="11"/>
      <c r="R41" s="11"/>
    </row>
    <row r="42" spans="1:18" x14ac:dyDescent="0.25">
      <c r="A42" s="38">
        <f>Données!A42</f>
        <v>5474</v>
      </c>
      <c r="B42" s="197" t="str">
        <f>Données!B42</f>
        <v>La Chaux (Cossonay)</v>
      </c>
      <c r="C42" s="348">
        <f>VPI!R42</f>
        <v>13862.516425438596</v>
      </c>
      <c r="D42" s="524">
        <f>Données!AP42</f>
        <v>15.645858169142969</v>
      </c>
      <c r="E42" s="411">
        <f>VPI!Q42</f>
        <v>76</v>
      </c>
      <c r="F42" s="241">
        <f t="shared" si="0"/>
        <v>60.354141830857031</v>
      </c>
      <c r="G42" s="238">
        <f>Effort!I42+Aide!I42/Taux!C42+Effort!K42/Taux!C42</f>
        <v>16.870724088890803</v>
      </c>
      <c r="H42" s="83">
        <f t="shared" si="1"/>
        <v>77.224865919747828</v>
      </c>
      <c r="I42" s="223">
        <f t="shared" si="2"/>
        <v>0</v>
      </c>
      <c r="J42" s="42">
        <f t="shared" si="3"/>
        <v>0</v>
      </c>
      <c r="K42" s="5"/>
      <c r="L42" s="10"/>
      <c r="M42" s="11"/>
      <c r="R42" s="11"/>
    </row>
    <row r="43" spans="1:18" x14ac:dyDescent="0.25">
      <c r="A43" s="38">
        <f>Données!A43</f>
        <v>5475</v>
      </c>
      <c r="B43" s="197" t="str">
        <f>Données!B43</f>
        <v>Chavannes-le-Veyron</v>
      </c>
      <c r="C43" s="348">
        <f>VPI!R43</f>
        <v>4297.2048000000004</v>
      </c>
      <c r="D43" s="524">
        <f>Données!AP43</f>
        <v>9.4020456338882763</v>
      </c>
      <c r="E43" s="411">
        <f>VPI!Q43</f>
        <v>75</v>
      </c>
      <c r="F43" s="241">
        <f t="shared" si="0"/>
        <v>65.597954366111722</v>
      </c>
      <c r="G43" s="238">
        <f>Effort!I43+Aide!I43/Taux!C43+Effort!K43/Taux!C43</f>
        <v>7.1342088994189048</v>
      </c>
      <c r="H43" s="83">
        <f t="shared" si="1"/>
        <v>72.73216326553063</v>
      </c>
      <c r="I43" s="223">
        <f t="shared" si="2"/>
        <v>0</v>
      </c>
      <c r="J43" s="42">
        <f t="shared" si="3"/>
        <v>0</v>
      </c>
      <c r="K43" s="5"/>
      <c r="L43" s="10"/>
      <c r="M43" s="11"/>
      <c r="R43" s="11"/>
    </row>
    <row r="44" spans="1:18" x14ac:dyDescent="0.25">
      <c r="A44" s="38">
        <f>Données!A44</f>
        <v>5476</v>
      </c>
      <c r="B44" s="197" t="str">
        <f>Données!B44</f>
        <v>Chevilly</v>
      </c>
      <c r="C44" s="348">
        <f>VPI!R44</f>
        <v>13558.452965517243</v>
      </c>
      <c r="D44" s="524">
        <f>Données!AP44</f>
        <v>21.429469990882666</v>
      </c>
      <c r="E44" s="411">
        <f>VPI!Q44</f>
        <v>72.5</v>
      </c>
      <c r="F44" s="241">
        <f t="shared" si="0"/>
        <v>51.070530009117334</v>
      </c>
      <c r="G44" s="238">
        <f>Effort!I44+Aide!I44/Taux!C44+Effort!K44/Taux!C44</f>
        <v>23.870302641155959</v>
      </c>
      <c r="H44" s="83">
        <f t="shared" si="1"/>
        <v>74.940832650273293</v>
      </c>
      <c r="I44" s="223">
        <f t="shared" si="2"/>
        <v>0</v>
      </c>
      <c r="J44" s="42">
        <f t="shared" si="3"/>
        <v>0</v>
      </c>
      <c r="K44" s="5"/>
      <c r="L44" s="10"/>
      <c r="M44" s="11"/>
      <c r="R44" s="11"/>
    </row>
    <row r="45" spans="1:18" x14ac:dyDescent="0.25">
      <c r="A45" s="38">
        <f>Données!A45</f>
        <v>5477</v>
      </c>
      <c r="B45" s="197" t="str">
        <f>Données!B45</f>
        <v>Cossonay</v>
      </c>
      <c r="C45" s="348">
        <f>VPI!R45</f>
        <v>151490.5288235294</v>
      </c>
      <c r="D45" s="524">
        <f>Données!AP45</f>
        <v>11.409098154636498</v>
      </c>
      <c r="E45" s="411">
        <f>VPI!Q45</f>
        <v>68</v>
      </c>
      <c r="F45" s="241">
        <f t="shared" si="0"/>
        <v>56.590901845363504</v>
      </c>
      <c r="G45" s="238">
        <f>Effort!I45+Aide!I45/Taux!C45+Effort!K45/Taux!C45</f>
        <v>13.037297573709612</v>
      </c>
      <c r="H45" s="83">
        <f t="shared" si="1"/>
        <v>69.628199419073113</v>
      </c>
      <c r="I45" s="223">
        <f t="shared" si="2"/>
        <v>0</v>
      </c>
      <c r="J45" s="42">
        <f t="shared" si="3"/>
        <v>0</v>
      </c>
      <c r="K45" s="5"/>
      <c r="L45" s="10"/>
      <c r="M45" s="11"/>
      <c r="R45" s="11"/>
    </row>
    <row r="46" spans="1:18" x14ac:dyDescent="0.25">
      <c r="A46" s="38">
        <f>Données!A46</f>
        <v>5479</v>
      </c>
      <c r="B46" s="197" t="str">
        <f>Données!B46</f>
        <v>Cuarnens</v>
      </c>
      <c r="C46" s="348">
        <f>VPI!R46</f>
        <v>14331.337792207793</v>
      </c>
      <c r="D46" s="524">
        <f>Données!AP46</f>
        <v>17.017004379976395</v>
      </c>
      <c r="E46" s="411">
        <f>VPI!Q46</f>
        <v>77</v>
      </c>
      <c r="F46" s="241">
        <f t="shared" si="0"/>
        <v>59.982995620023601</v>
      </c>
      <c r="G46" s="238">
        <f>Effort!I46+Aide!I46/Taux!C46+Effort!K46/Taux!C46</f>
        <v>5.9929114778014814</v>
      </c>
      <c r="H46" s="83">
        <f t="shared" si="1"/>
        <v>65.975907097825086</v>
      </c>
      <c r="I46" s="223">
        <f t="shared" si="2"/>
        <v>0</v>
      </c>
      <c r="J46" s="42">
        <f t="shared" si="3"/>
        <v>0</v>
      </c>
      <c r="K46" s="5"/>
      <c r="L46" s="10"/>
      <c r="M46" s="11"/>
      <c r="R46" s="11"/>
    </row>
    <row r="47" spans="1:18" x14ac:dyDescent="0.25">
      <c r="A47" s="38">
        <f>Données!A47</f>
        <v>5480</v>
      </c>
      <c r="B47" s="197" t="str">
        <f>Données!B47</f>
        <v>Daillens</v>
      </c>
      <c r="C47" s="348">
        <f>VPI!R47</f>
        <v>42720.265505050505</v>
      </c>
      <c r="D47" s="524">
        <f>Données!AP47</f>
        <v>23.364147660791311</v>
      </c>
      <c r="E47" s="411">
        <f>VPI!Q47</f>
        <v>66</v>
      </c>
      <c r="F47" s="241">
        <f t="shared" si="0"/>
        <v>42.635852339208689</v>
      </c>
      <c r="G47" s="238">
        <f>Effort!I47+Aide!I47/Taux!C47+Effort!K47/Taux!C47</f>
        <v>23.896993055434592</v>
      </c>
      <c r="H47" s="83">
        <f t="shared" si="1"/>
        <v>66.532845394643289</v>
      </c>
      <c r="I47" s="223">
        <f t="shared" si="2"/>
        <v>0</v>
      </c>
      <c r="J47" s="42">
        <f t="shared" si="3"/>
        <v>0</v>
      </c>
      <c r="K47" s="5"/>
      <c r="L47" s="10"/>
      <c r="M47" s="11"/>
      <c r="R47" s="11"/>
    </row>
    <row r="48" spans="1:18" x14ac:dyDescent="0.25">
      <c r="A48" s="38">
        <f>Données!A48</f>
        <v>5481</v>
      </c>
      <c r="B48" s="197" t="str">
        <f>Données!B48</f>
        <v>Dizy</v>
      </c>
      <c r="C48" s="348">
        <f>VPI!R48</f>
        <v>8552.7156000000014</v>
      </c>
      <c r="D48" s="524">
        <f>Données!AP48</f>
        <v>19.741164695155366</v>
      </c>
      <c r="E48" s="411">
        <f>VPI!Q48</f>
        <v>75</v>
      </c>
      <c r="F48" s="241">
        <f t="shared" si="0"/>
        <v>55.258835304844638</v>
      </c>
      <c r="G48" s="238">
        <f>Effort!I48+Aide!I48/Taux!C48+Effort!K48/Taux!C48</f>
        <v>20.296453120665415</v>
      </c>
      <c r="H48" s="83">
        <f t="shared" si="1"/>
        <v>75.555288425510057</v>
      </c>
      <c r="I48" s="223">
        <f t="shared" si="2"/>
        <v>0</v>
      </c>
      <c r="J48" s="42">
        <f t="shared" si="3"/>
        <v>0</v>
      </c>
      <c r="K48" s="5"/>
      <c r="L48" s="10"/>
      <c r="M48" s="11"/>
      <c r="R48" s="11"/>
    </row>
    <row r="49" spans="1:18" x14ac:dyDescent="0.25">
      <c r="A49" s="38">
        <f>Données!A49</f>
        <v>5482</v>
      </c>
      <c r="B49" s="197" t="str">
        <f>Données!B49</f>
        <v>Eclépens</v>
      </c>
      <c r="C49" s="348">
        <f>VPI!R49</f>
        <v>48314.544130434791</v>
      </c>
      <c r="D49" s="524">
        <f>Données!AP49</f>
        <v>26.684512482806088</v>
      </c>
      <c r="E49" s="411">
        <f>VPI!Q49</f>
        <v>46</v>
      </c>
      <c r="F49" s="241">
        <f t="shared" si="0"/>
        <v>19.315487517193912</v>
      </c>
      <c r="G49" s="238">
        <f>Effort!I49+Aide!I49/Taux!C49+Effort!K49/Taux!C49</f>
        <v>24.988003278610442</v>
      </c>
      <c r="H49" s="83">
        <f t="shared" si="1"/>
        <v>44.30349079580435</v>
      </c>
      <c r="I49" s="223">
        <f t="shared" si="2"/>
        <v>0</v>
      </c>
      <c r="J49" s="42">
        <f t="shared" si="3"/>
        <v>0</v>
      </c>
      <c r="K49" s="5"/>
      <c r="L49" s="10"/>
      <c r="M49" s="11"/>
      <c r="R49" s="11"/>
    </row>
    <row r="50" spans="1:18" x14ac:dyDescent="0.25">
      <c r="A50" s="38">
        <f>Données!A50</f>
        <v>5483</v>
      </c>
      <c r="B50" s="197" t="str">
        <f>Données!B50</f>
        <v>Ferreyres</v>
      </c>
      <c r="C50" s="348">
        <f>VPI!R50</f>
        <v>10284.283289473684</v>
      </c>
      <c r="D50" s="524">
        <f>Données!AP50</f>
        <v>16.349271725099289</v>
      </c>
      <c r="E50" s="411">
        <f>VPI!Q50</f>
        <v>76</v>
      </c>
      <c r="F50" s="241">
        <f t="shared" si="0"/>
        <v>59.650728274900715</v>
      </c>
      <c r="G50" s="238">
        <f>Effort!I50+Aide!I50/Taux!C50+Effort!K50/Taux!C50</f>
        <v>16.586115452295957</v>
      </c>
      <c r="H50" s="83">
        <f t="shared" si="1"/>
        <v>76.236843727196671</v>
      </c>
      <c r="I50" s="223">
        <f t="shared" si="2"/>
        <v>0</v>
      </c>
      <c r="J50" s="42">
        <f t="shared" si="3"/>
        <v>0</v>
      </c>
      <c r="K50" s="5"/>
      <c r="L50" s="10"/>
      <c r="M50" s="11"/>
      <c r="R50" s="11"/>
    </row>
    <row r="51" spans="1:18" x14ac:dyDescent="0.25">
      <c r="A51" s="38">
        <f>Données!A51</f>
        <v>5484</v>
      </c>
      <c r="B51" s="197" t="str">
        <f>Données!B51</f>
        <v>Gollion</v>
      </c>
      <c r="C51" s="348">
        <f>VPI!R51</f>
        <v>32601.670945945945</v>
      </c>
      <c r="D51" s="524">
        <f>Données!AP51</f>
        <v>19.109505194959223</v>
      </c>
      <c r="E51" s="411">
        <f>VPI!Q51</f>
        <v>74</v>
      </c>
      <c r="F51" s="241">
        <f t="shared" si="0"/>
        <v>54.890494805040774</v>
      </c>
      <c r="G51" s="238">
        <f>Effort!I51+Aide!I51/Taux!C51+Effort!K51/Taux!C51</f>
        <v>14.651553240497247</v>
      </c>
      <c r="H51" s="83">
        <f t="shared" si="1"/>
        <v>69.542048045538024</v>
      </c>
      <c r="I51" s="223">
        <f t="shared" si="2"/>
        <v>0</v>
      </c>
      <c r="J51" s="42">
        <f t="shared" si="3"/>
        <v>0</v>
      </c>
      <c r="K51" s="5"/>
      <c r="L51" s="10"/>
      <c r="M51" s="11"/>
      <c r="R51" s="11"/>
    </row>
    <row r="52" spans="1:18" x14ac:dyDescent="0.25">
      <c r="A52" s="38">
        <f>Données!A52</f>
        <v>5485</v>
      </c>
      <c r="B52" s="197" t="str">
        <f>Données!B52</f>
        <v>Grancy</v>
      </c>
      <c r="C52" s="348">
        <f>VPI!R52</f>
        <v>18961.380428571429</v>
      </c>
      <c r="D52" s="524">
        <f>Données!AP52</f>
        <v>30.273728402939177</v>
      </c>
      <c r="E52" s="411">
        <f>VPI!Q52</f>
        <v>70</v>
      </c>
      <c r="F52" s="241">
        <f t="shared" si="0"/>
        <v>39.726271597060823</v>
      </c>
      <c r="G52" s="238">
        <f>Effort!I52+Aide!I52/Taux!C52+Effort!K52/Taux!C52</f>
        <v>22.590045635114762</v>
      </c>
      <c r="H52" s="83">
        <f t="shared" si="1"/>
        <v>62.316317232175585</v>
      </c>
      <c r="I52" s="223">
        <f t="shared" si="2"/>
        <v>0</v>
      </c>
      <c r="J52" s="42">
        <f t="shared" si="3"/>
        <v>0</v>
      </c>
      <c r="K52" s="5"/>
      <c r="L52" s="10"/>
      <c r="M52" s="11"/>
      <c r="R52" s="11"/>
    </row>
    <row r="53" spans="1:18" x14ac:dyDescent="0.25">
      <c r="A53" s="38">
        <f>Données!A53</f>
        <v>5486</v>
      </c>
      <c r="B53" s="197" t="str">
        <f>Données!B53</f>
        <v>L'Isle</v>
      </c>
      <c r="C53" s="348">
        <f>VPI!R53</f>
        <v>34756.215466666676</v>
      </c>
      <c r="D53" s="524">
        <f>Données!AP53</f>
        <v>7.9764575355719494</v>
      </c>
      <c r="E53" s="411">
        <f>VPI!Q53</f>
        <v>75</v>
      </c>
      <c r="F53" s="241">
        <f t="shared" si="0"/>
        <v>67.023542464428047</v>
      </c>
      <c r="G53" s="238">
        <f>Effort!I53+Aide!I53/Taux!C53+Effort!K53/Taux!C53</f>
        <v>14.327364592425539</v>
      </c>
      <c r="H53" s="83">
        <f t="shared" si="1"/>
        <v>81.350907056853586</v>
      </c>
      <c r="I53" s="223">
        <f t="shared" si="2"/>
        <v>0</v>
      </c>
      <c r="J53" s="42">
        <f t="shared" si="3"/>
        <v>0</v>
      </c>
      <c r="K53" s="5"/>
      <c r="L53" s="10"/>
      <c r="M53" s="11"/>
      <c r="R53" s="11"/>
    </row>
    <row r="54" spans="1:18" x14ac:dyDescent="0.25">
      <c r="A54" s="38">
        <f>Données!A54</f>
        <v>5487</v>
      </c>
      <c r="B54" s="197" t="str">
        <f>Données!B54</f>
        <v>Lussery-Villars</v>
      </c>
      <c r="C54" s="348">
        <f>VPI!R54</f>
        <v>12042.619866666666</v>
      </c>
      <c r="D54" s="524">
        <f>Données!AP54</f>
        <v>18.68747302601092</v>
      </c>
      <c r="E54" s="411">
        <f>VPI!Q54</f>
        <v>75</v>
      </c>
      <c r="F54" s="241">
        <f t="shared" si="0"/>
        <v>56.31252697398908</v>
      </c>
      <c r="G54" s="238">
        <f>Effort!I54+Aide!I54/Taux!C54+Effort!K54/Taux!C54</f>
        <v>4.5849182899586225</v>
      </c>
      <c r="H54" s="83">
        <f t="shared" si="1"/>
        <v>60.897445263947702</v>
      </c>
      <c r="I54" s="223">
        <f t="shared" si="2"/>
        <v>0</v>
      </c>
      <c r="J54" s="42">
        <f t="shared" si="3"/>
        <v>0</v>
      </c>
      <c r="K54" s="5"/>
      <c r="L54" s="10"/>
      <c r="M54" s="11"/>
      <c r="R54" s="11"/>
    </row>
    <row r="55" spans="1:18" x14ac:dyDescent="0.25">
      <c r="A55" s="38">
        <f>Données!A55</f>
        <v>5488</v>
      </c>
      <c r="B55" s="197" t="str">
        <f>Données!B55</f>
        <v>Mauraz</v>
      </c>
      <c r="C55" s="348">
        <f>VPI!R55</f>
        <v>2131.6062337662343</v>
      </c>
      <c r="D55" s="524">
        <f>Données!AP55</f>
        <v>10.443437487039191</v>
      </c>
      <c r="E55" s="411">
        <f>VPI!Q55</f>
        <v>77</v>
      </c>
      <c r="F55" s="241">
        <f t="shared" si="0"/>
        <v>66.556562512960809</v>
      </c>
      <c r="G55" s="238">
        <f>Effort!I55+Aide!I55/Taux!C55+Effort!K55/Taux!C55</f>
        <v>15.614765332310519</v>
      </c>
      <c r="H55" s="83">
        <f t="shared" si="1"/>
        <v>82.171327845271321</v>
      </c>
      <c r="I55" s="223">
        <f t="shared" si="2"/>
        <v>0</v>
      </c>
      <c r="J55" s="42">
        <f t="shared" si="3"/>
        <v>0</v>
      </c>
      <c r="K55" s="5"/>
      <c r="L55" s="10"/>
      <c r="M55" s="11"/>
      <c r="R55" s="11"/>
    </row>
    <row r="56" spans="1:18" x14ac:dyDescent="0.25">
      <c r="A56" s="38">
        <f>Données!A56</f>
        <v>5489</v>
      </c>
      <c r="B56" s="197" t="str">
        <f>Données!B56</f>
        <v>Mex</v>
      </c>
      <c r="C56" s="348">
        <f>VPI!R56</f>
        <v>60740.368067226897</v>
      </c>
      <c r="D56" s="524">
        <f>Données!AP56</f>
        <v>32.356047299372158</v>
      </c>
      <c r="E56" s="411">
        <f>VPI!Q56</f>
        <v>59.5</v>
      </c>
      <c r="F56" s="241">
        <f t="shared" si="0"/>
        <v>27.143952700627842</v>
      </c>
      <c r="G56" s="238">
        <f>Effort!I56+Aide!I56/Taux!C56+Effort!K56/Taux!C56</f>
        <v>34.699418550014641</v>
      </c>
      <c r="H56" s="83">
        <f t="shared" si="1"/>
        <v>61.843371250642484</v>
      </c>
      <c r="I56" s="223">
        <f t="shared" si="2"/>
        <v>0</v>
      </c>
      <c r="J56" s="42">
        <f t="shared" si="3"/>
        <v>0</v>
      </c>
      <c r="K56" s="5"/>
      <c r="L56" s="10"/>
      <c r="M56" s="11"/>
      <c r="R56" s="11"/>
    </row>
    <row r="57" spans="1:18" x14ac:dyDescent="0.25">
      <c r="A57" s="38">
        <f>Données!A57</f>
        <v>5490</v>
      </c>
      <c r="B57" s="197" t="str">
        <f>Données!B57</f>
        <v>Moiry</v>
      </c>
      <c r="C57" s="348">
        <f>VPI!R57</f>
        <v>8460.9523376623383</v>
      </c>
      <c r="D57" s="524">
        <f>Données!AP57</f>
        <v>12.11606299775203</v>
      </c>
      <c r="E57" s="411">
        <f>VPI!Q57</f>
        <v>77</v>
      </c>
      <c r="F57" s="241">
        <f t="shared" si="0"/>
        <v>64.883937002247976</v>
      </c>
      <c r="G57" s="238">
        <f>Effort!I57+Aide!I57/Taux!C57+Effort!K57/Taux!C57</f>
        <v>9.8802974158090926</v>
      </c>
      <c r="H57" s="83">
        <f t="shared" si="1"/>
        <v>74.764234418057072</v>
      </c>
      <c r="I57" s="223">
        <f t="shared" si="2"/>
        <v>0</v>
      </c>
      <c r="J57" s="42">
        <f t="shared" si="3"/>
        <v>0</v>
      </c>
      <c r="K57" s="5"/>
      <c r="L57" s="10"/>
      <c r="M57" s="11"/>
      <c r="R57" s="11"/>
    </row>
    <row r="58" spans="1:18" x14ac:dyDescent="0.25">
      <c r="A58" s="38">
        <f>Données!A58</f>
        <v>5491</v>
      </c>
      <c r="B58" s="197" t="str">
        <f>Données!B58</f>
        <v>Mont-la-Ville</v>
      </c>
      <c r="C58" s="348">
        <f>VPI!R58</f>
        <v>13842.217236842105</v>
      </c>
      <c r="D58" s="524">
        <f>Données!AP58</f>
        <v>7.7301947702853653</v>
      </c>
      <c r="E58" s="411">
        <f>VPI!Q58</f>
        <v>76</v>
      </c>
      <c r="F58" s="241">
        <f t="shared" si="0"/>
        <v>68.269805229714635</v>
      </c>
      <c r="G58" s="238">
        <f>Effort!I58+Aide!I58/Taux!C58+Effort!K58/Taux!C58</f>
        <v>8.7065193811733206</v>
      </c>
      <c r="H58" s="83">
        <f t="shared" si="1"/>
        <v>76.976324610887957</v>
      </c>
      <c r="I58" s="223">
        <f t="shared" si="2"/>
        <v>0</v>
      </c>
      <c r="J58" s="42">
        <f t="shared" si="3"/>
        <v>0</v>
      </c>
      <c r="K58" s="5"/>
      <c r="L58" s="10"/>
      <c r="M58" s="11"/>
      <c r="R58" s="11"/>
    </row>
    <row r="59" spans="1:18" x14ac:dyDescent="0.25">
      <c r="A59" s="38">
        <f>Données!A59</f>
        <v>5492</v>
      </c>
      <c r="B59" s="197" t="str">
        <f>Données!B59</f>
        <v>Montricher</v>
      </c>
      <c r="C59" s="348">
        <f>VPI!R59</f>
        <v>149907.58062499994</v>
      </c>
      <c r="D59" s="524">
        <f>Données!AP59</f>
        <v>51.739099731051937</v>
      </c>
      <c r="E59" s="411">
        <f>VPI!Q59</f>
        <v>64</v>
      </c>
      <c r="F59" s="241">
        <f t="shared" si="0"/>
        <v>12.260900268948063</v>
      </c>
      <c r="G59" s="238">
        <f>Effort!I59+Aide!I59/Taux!C59+Effort!K59/Taux!C59</f>
        <v>48</v>
      </c>
      <c r="H59" s="83">
        <f t="shared" si="1"/>
        <v>60.260900268948063</v>
      </c>
      <c r="I59" s="223">
        <f t="shared" si="2"/>
        <v>0</v>
      </c>
      <c r="J59" s="42">
        <f t="shared" si="3"/>
        <v>0</v>
      </c>
      <c r="K59" s="5"/>
      <c r="L59" s="10"/>
      <c r="M59" s="11"/>
      <c r="R59" s="11"/>
    </row>
    <row r="60" spans="1:18" x14ac:dyDescent="0.25">
      <c r="A60" s="38">
        <f>Données!A60</f>
        <v>5493</v>
      </c>
      <c r="B60" s="197" t="str">
        <f>Données!B60</f>
        <v>Orny</v>
      </c>
      <c r="C60" s="348">
        <f>VPI!R60</f>
        <v>14635.830579557431</v>
      </c>
      <c r="D60" s="524">
        <f>Données!AP60</f>
        <v>11.050271780385817</v>
      </c>
      <c r="E60" s="411">
        <f>VPI!Q60</f>
        <v>73</v>
      </c>
      <c r="F60" s="241">
        <f t="shared" si="0"/>
        <v>61.949728219614187</v>
      </c>
      <c r="G60" s="238">
        <f>Effort!I60+Aide!I60/Taux!C60+Effort!K60/Taux!C60</f>
        <v>13.768759425853048</v>
      </c>
      <c r="H60" s="83">
        <f t="shared" si="1"/>
        <v>75.718487645467235</v>
      </c>
      <c r="I60" s="223">
        <f t="shared" si="2"/>
        <v>0</v>
      </c>
      <c r="J60" s="42">
        <f t="shared" si="3"/>
        <v>0</v>
      </c>
      <c r="K60" s="5"/>
      <c r="L60" s="10"/>
      <c r="M60" s="11"/>
      <c r="R60" s="11"/>
    </row>
    <row r="61" spans="1:18" x14ac:dyDescent="0.25">
      <c r="A61" s="38">
        <f>Données!A61</f>
        <v>5495</v>
      </c>
      <c r="B61" s="197" t="str">
        <f>Données!B61</f>
        <v>Penthalaz</v>
      </c>
      <c r="C61" s="348">
        <f>VPI!R61</f>
        <v>103056.57202702702</v>
      </c>
      <c r="D61" s="524">
        <f>Données!AP61</f>
        <v>7.3428808466938227</v>
      </c>
      <c r="E61" s="411">
        <f>VPI!Q61</f>
        <v>74</v>
      </c>
      <c r="F61" s="241">
        <f t="shared" si="0"/>
        <v>66.657119153306184</v>
      </c>
      <c r="G61" s="238">
        <f>Effort!I61+Aide!I61/Taux!C61+Effort!K61/Taux!C61</f>
        <v>10.312689205834486</v>
      </c>
      <c r="H61" s="83">
        <f t="shared" si="1"/>
        <v>76.969808359140671</v>
      </c>
      <c r="I61" s="223">
        <f t="shared" si="2"/>
        <v>0</v>
      </c>
      <c r="J61" s="42">
        <f t="shared" si="3"/>
        <v>0</v>
      </c>
      <c r="K61" s="5"/>
      <c r="L61" s="10"/>
      <c r="M61" s="11"/>
      <c r="R61" s="11"/>
    </row>
    <row r="62" spans="1:18" x14ac:dyDescent="0.25">
      <c r="A62" s="38">
        <f>Données!A62</f>
        <v>5496</v>
      </c>
      <c r="B62" s="197" t="str">
        <f>Données!B62</f>
        <v>Penthaz</v>
      </c>
      <c r="C62" s="348">
        <f>VPI!R62</f>
        <v>61651.518705035967</v>
      </c>
      <c r="D62" s="524">
        <f>Données!AP62</f>
        <v>11.045111683902057</v>
      </c>
      <c r="E62" s="411">
        <f>VPI!Q62</f>
        <v>69.5</v>
      </c>
      <c r="F62" s="241">
        <f t="shared" si="0"/>
        <v>58.454888316097943</v>
      </c>
      <c r="G62" s="238">
        <f>Effort!I62+Aide!I62/Taux!C62+Effort!K62/Taux!C62</f>
        <v>13.49035885037469</v>
      </c>
      <c r="H62" s="83">
        <f t="shared" si="1"/>
        <v>71.945247166472626</v>
      </c>
      <c r="I62" s="223">
        <f t="shared" si="2"/>
        <v>0</v>
      </c>
      <c r="J62" s="42">
        <f t="shared" si="3"/>
        <v>0</v>
      </c>
      <c r="K62" s="5"/>
      <c r="L62" s="10"/>
      <c r="M62" s="11"/>
      <c r="R62" s="11"/>
    </row>
    <row r="63" spans="1:18" x14ac:dyDescent="0.25">
      <c r="A63" s="38">
        <f>Données!A63</f>
        <v>5497</v>
      </c>
      <c r="B63" s="197" t="str">
        <f>Données!B63</f>
        <v>Pompaples</v>
      </c>
      <c r="C63" s="348">
        <f>VPI!R63</f>
        <v>22949.830606060608</v>
      </c>
      <c r="D63" s="524">
        <f>Données!AP63</f>
        <v>11.371656297109617</v>
      </c>
      <c r="E63" s="411">
        <f>VPI!Q63</f>
        <v>66</v>
      </c>
      <c r="F63" s="241">
        <f t="shared" si="0"/>
        <v>54.628343702890383</v>
      </c>
      <c r="G63" s="238">
        <f>Effort!I63+Aide!I63/Taux!C63+Effort!K63/Taux!C63</f>
        <v>11.827703685805254</v>
      </c>
      <c r="H63" s="83">
        <f t="shared" si="1"/>
        <v>66.456047388695637</v>
      </c>
      <c r="I63" s="223">
        <f t="shared" si="2"/>
        <v>0</v>
      </c>
      <c r="J63" s="42">
        <f t="shared" si="3"/>
        <v>0</v>
      </c>
      <c r="K63" s="5"/>
      <c r="L63" s="10"/>
      <c r="M63" s="11"/>
      <c r="R63" s="11"/>
    </row>
    <row r="64" spans="1:18" x14ac:dyDescent="0.25">
      <c r="A64" s="38">
        <f>Données!A64</f>
        <v>5498</v>
      </c>
      <c r="B64" s="197" t="str">
        <f>Données!B64</f>
        <v>La Sarraz</v>
      </c>
      <c r="C64" s="348">
        <f>VPI!R64</f>
        <v>73743.655606060609</v>
      </c>
      <c r="D64" s="524">
        <f>Données!AP64</f>
        <v>9.467557673542867</v>
      </c>
      <c r="E64" s="411">
        <f>VPI!Q64</f>
        <v>66</v>
      </c>
      <c r="F64" s="241">
        <f t="shared" si="0"/>
        <v>56.532442326457129</v>
      </c>
      <c r="G64" s="238">
        <f>Effort!I64+Aide!I64/Taux!C64+Effort!K64/Taux!C64</f>
        <v>8.7963398449731631</v>
      </c>
      <c r="H64" s="83">
        <f t="shared" si="1"/>
        <v>65.328782171430291</v>
      </c>
      <c r="I64" s="223">
        <f t="shared" si="2"/>
        <v>0</v>
      </c>
      <c r="J64" s="42">
        <f t="shared" si="3"/>
        <v>0</v>
      </c>
      <c r="K64" s="5"/>
      <c r="L64" s="10"/>
      <c r="M64" s="11"/>
      <c r="R64" s="11"/>
    </row>
    <row r="65" spans="1:18" x14ac:dyDescent="0.25">
      <c r="A65" s="38">
        <f>Données!A65</f>
        <v>5499</v>
      </c>
      <c r="B65" s="197" t="str">
        <f>Données!B65</f>
        <v>Senarclens</v>
      </c>
      <c r="C65" s="348">
        <f>VPI!R65</f>
        <v>20491.103065693427</v>
      </c>
      <c r="D65" s="524">
        <f>Données!AP65</f>
        <v>21.82090660459458</v>
      </c>
      <c r="E65" s="411">
        <f>VPI!Q65</f>
        <v>68.5</v>
      </c>
      <c r="F65" s="241">
        <f t="shared" si="0"/>
        <v>46.679093395405417</v>
      </c>
      <c r="G65" s="238">
        <f>Effort!I65+Aide!I65/Taux!C65+Effort!K65/Taux!C65</f>
        <v>24.496866471010364</v>
      </c>
      <c r="H65" s="83">
        <f t="shared" si="1"/>
        <v>71.175959866415781</v>
      </c>
      <c r="I65" s="223">
        <f t="shared" si="2"/>
        <v>0</v>
      </c>
      <c r="J65" s="42">
        <f t="shared" si="3"/>
        <v>0</v>
      </c>
      <c r="K65" s="5"/>
      <c r="L65" s="10"/>
      <c r="M65" s="11"/>
      <c r="R65" s="11"/>
    </row>
    <row r="66" spans="1:18" x14ac:dyDescent="0.25">
      <c r="A66" s="38">
        <f>Données!A66</f>
        <v>5501</v>
      </c>
      <c r="B66" s="197" t="str">
        <f>Données!B66</f>
        <v>Sullens</v>
      </c>
      <c r="C66" s="348">
        <f>VPI!R66</f>
        <v>53840.673124999994</v>
      </c>
      <c r="D66" s="524">
        <f>Données!AP66</f>
        <v>21.551495127824737</v>
      </c>
      <c r="E66" s="411">
        <f>VPI!Q66</f>
        <v>64</v>
      </c>
      <c r="F66" s="241">
        <f t="shared" si="0"/>
        <v>42.448504872175263</v>
      </c>
      <c r="G66" s="238">
        <f>Effort!I66+Aide!I66/Taux!C66+Effort!K66/Taux!C66</f>
        <v>26.456721031623168</v>
      </c>
      <c r="H66" s="83">
        <f t="shared" si="1"/>
        <v>68.905225903798424</v>
      </c>
      <c r="I66" s="223">
        <f t="shared" si="2"/>
        <v>0</v>
      </c>
      <c r="J66" s="42">
        <f t="shared" si="3"/>
        <v>0</v>
      </c>
      <c r="K66" s="5"/>
      <c r="L66" s="10"/>
      <c r="M66" s="11"/>
      <c r="R66" s="11"/>
    </row>
    <row r="67" spans="1:18" x14ac:dyDescent="0.25">
      <c r="A67" s="38">
        <f>Données!A67</f>
        <v>5503</v>
      </c>
      <c r="B67" s="197" t="str">
        <f>Données!B67</f>
        <v>Vufflens-la-Ville</v>
      </c>
      <c r="C67" s="348">
        <f>VPI!R67</f>
        <v>75222.663980099518</v>
      </c>
      <c r="D67" s="524">
        <f>Données!AP67</f>
        <v>30.173736892894137</v>
      </c>
      <c r="E67" s="411">
        <f>VPI!Q67</f>
        <v>67</v>
      </c>
      <c r="F67" s="241">
        <f t="shared" si="0"/>
        <v>36.826263107105859</v>
      </c>
      <c r="G67" s="238">
        <f>Effort!I67+Aide!I67/Taux!C67+Effort!K67/Taux!C67</f>
        <v>29.425369470212544</v>
      </c>
      <c r="H67" s="83">
        <f t="shared" si="1"/>
        <v>66.251632577318404</v>
      </c>
      <c r="I67" s="223">
        <f t="shared" si="2"/>
        <v>0</v>
      </c>
      <c r="J67" s="42">
        <f t="shared" si="3"/>
        <v>0</v>
      </c>
      <c r="K67" s="5"/>
      <c r="L67" s="10"/>
      <c r="M67" s="11"/>
      <c r="R67" s="11"/>
    </row>
    <row r="68" spans="1:18" x14ac:dyDescent="0.25">
      <c r="A68" s="38">
        <f>Données!A68</f>
        <v>5511</v>
      </c>
      <c r="B68" s="197" t="str">
        <f>Données!B68</f>
        <v>Assens</v>
      </c>
      <c r="C68" s="348">
        <f>VPI!R68</f>
        <v>72835.778857142868</v>
      </c>
      <c r="D68" s="524">
        <f>Données!AP68</f>
        <v>24.45</v>
      </c>
      <c r="E68" s="411">
        <f>VPI!Q68</f>
        <v>70</v>
      </c>
      <c r="F68" s="241">
        <f t="shared" si="0"/>
        <v>45.55</v>
      </c>
      <c r="G68" s="238">
        <f>Effort!I68+Aide!I68/Taux!C68+Effort!K68/Taux!C68</f>
        <v>23.611811407255189</v>
      </c>
      <c r="H68" s="83">
        <f t="shared" si="1"/>
        <v>69.161811407255186</v>
      </c>
      <c r="I68" s="223">
        <f t="shared" si="2"/>
        <v>0</v>
      </c>
      <c r="J68" s="42">
        <f t="shared" si="3"/>
        <v>0</v>
      </c>
      <c r="K68" s="5"/>
      <c r="L68" s="10"/>
      <c r="M68" s="11"/>
      <c r="R68" s="11"/>
    </row>
    <row r="69" spans="1:18" x14ac:dyDescent="0.25">
      <c r="A69" s="38">
        <f>Données!A69</f>
        <v>5512</v>
      </c>
      <c r="B69" s="197" t="str">
        <f>Données!B69</f>
        <v>Bercher</v>
      </c>
      <c r="C69" s="348">
        <f>VPI!R69</f>
        <v>41198.7282278481</v>
      </c>
      <c r="D69" s="524">
        <f>Données!AP69</f>
        <v>10.918310842543416</v>
      </c>
      <c r="E69" s="411">
        <f>VPI!Q69</f>
        <v>79</v>
      </c>
      <c r="F69" s="241">
        <f t="shared" si="0"/>
        <v>68.08168915745658</v>
      </c>
      <c r="G69" s="238">
        <f>Effort!I69+Aide!I69/Taux!C69+Effort!K69/Taux!C69</f>
        <v>9.6620048577440159</v>
      </c>
      <c r="H69" s="83">
        <f t="shared" si="1"/>
        <v>77.743694015200589</v>
      </c>
      <c r="I69" s="223">
        <f t="shared" si="2"/>
        <v>0</v>
      </c>
      <c r="J69" s="42">
        <f t="shared" si="3"/>
        <v>0</v>
      </c>
      <c r="K69" s="5"/>
      <c r="L69" s="10"/>
      <c r="M69" s="11"/>
      <c r="R69" s="11"/>
    </row>
    <row r="70" spans="1:18" x14ac:dyDescent="0.25">
      <c r="A70" s="38">
        <f>Données!A70</f>
        <v>5514</v>
      </c>
      <c r="B70" s="197" t="str">
        <f>Données!B70</f>
        <v>Bottens</v>
      </c>
      <c r="C70" s="348">
        <f>VPI!R70</f>
        <v>45712.235586206894</v>
      </c>
      <c r="D70" s="524">
        <f>Données!AP70</f>
        <v>15.032658227157945</v>
      </c>
      <c r="E70" s="411">
        <f>VPI!Q70</f>
        <v>72.5</v>
      </c>
      <c r="F70" s="241">
        <f t="shared" si="0"/>
        <v>57.467341772842055</v>
      </c>
      <c r="G70" s="238">
        <f>Effort!I70+Aide!I70/Taux!C70+Effort!K70/Taux!C70</f>
        <v>16.040366673497825</v>
      </c>
      <c r="H70" s="83">
        <f t="shared" si="1"/>
        <v>73.507708446339876</v>
      </c>
      <c r="I70" s="223">
        <f t="shared" si="2"/>
        <v>0</v>
      </c>
      <c r="J70" s="42">
        <f t="shared" si="3"/>
        <v>0</v>
      </c>
      <c r="K70" s="5"/>
      <c r="L70" s="10"/>
      <c r="M70" s="11"/>
      <c r="R70" s="11"/>
    </row>
    <row r="71" spans="1:18" x14ac:dyDescent="0.25">
      <c r="A71" s="38">
        <f>Données!A71</f>
        <v>5515</v>
      </c>
      <c r="B71" s="197" t="str">
        <f>Données!B71</f>
        <v>Bretigny-sur-Morrens</v>
      </c>
      <c r="C71" s="348">
        <f>VPI!R71</f>
        <v>29285.295897435899</v>
      </c>
      <c r="D71" s="524">
        <f>Données!AP71</f>
        <v>19.690211553532638</v>
      </c>
      <c r="E71" s="411">
        <f>VPI!Q71</f>
        <v>78</v>
      </c>
      <c r="F71" s="241">
        <f t="shared" ref="F71:F134" si="4">E71-D71</f>
        <v>58.309788446467365</v>
      </c>
      <c r="G71" s="238">
        <f>Effort!I71+Aide!I71/Taux!C71+Effort!K71/Taux!C71</f>
        <v>15.989005813567609</v>
      </c>
      <c r="H71" s="83">
        <f t="shared" ref="H71:H134" si="5">F71+G71</f>
        <v>74.298794260034981</v>
      </c>
      <c r="I71" s="223">
        <f t="shared" ref="I71:I134" si="6">IF(H71&gt;$I$5,H71-$I$5,0)</f>
        <v>0</v>
      </c>
      <c r="J71" s="42">
        <f t="shared" ref="J71:J134" si="7">-I71*C71</f>
        <v>0</v>
      </c>
      <c r="K71" s="5"/>
      <c r="L71" s="10"/>
      <c r="M71" s="11"/>
      <c r="R71" s="11"/>
    </row>
    <row r="72" spans="1:18" x14ac:dyDescent="0.25">
      <c r="A72" s="38">
        <f>Données!A72</f>
        <v>5516</v>
      </c>
      <c r="B72" s="197" t="str">
        <f>Données!B72</f>
        <v>Cugy</v>
      </c>
      <c r="C72" s="348">
        <f>VPI!R72</f>
        <v>110290.24758771928</v>
      </c>
      <c r="D72" s="524">
        <f>Données!AP72</f>
        <v>19.815285731739312</v>
      </c>
      <c r="E72" s="411">
        <f>VPI!Q72</f>
        <v>76</v>
      </c>
      <c r="F72" s="241">
        <f t="shared" si="4"/>
        <v>56.184714268260691</v>
      </c>
      <c r="G72" s="238">
        <f>Effort!I72+Aide!I72/Taux!C72+Effort!K72/Taux!C72</f>
        <v>19.839758509352649</v>
      </c>
      <c r="H72" s="83">
        <f t="shared" si="5"/>
        <v>76.02447277761334</v>
      </c>
      <c r="I72" s="223">
        <f t="shared" si="6"/>
        <v>0</v>
      </c>
      <c r="J72" s="42">
        <f t="shared" si="7"/>
        <v>0</v>
      </c>
      <c r="K72" s="5"/>
      <c r="L72" s="10"/>
      <c r="M72" s="11"/>
      <c r="R72" s="11"/>
    </row>
    <row r="73" spans="1:18" x14ac:dyDescent="0.25">
      <c r="A73" s="38">
        <f>Données!A73</f>
        <v>5518</v>
      </c>
      <c r="B73" s="197" t="str">
        <f>Données!B73</f>
        <v>Echallens</v>
      </c>
      <c r="C73" s="348">
        <f>VPI!R73</f>
        <v>193282.28662068967</v>
      </c>
      <c r="D73" s="524">
        <f>Données!AP73</f>
        <v>7.6237055488769103</v>
      </c>
      <c r="E73" s="411">
        <f>VPI!Q73</f>
        <v>72.5</v>
      </c>
      <c r="F73" s="241">
        <f t="shared" si="4"/>
        <v>64.876294451123087</v>
      </c>
      <c r="G73" s="238">
        <f>Effort!I73+Aide!I73/Taux!C73+Effort!K73/Taux!C73</f>
        <v>8.8727612890536509</v>
      </c>
      <c r="H73" s="83">
        <f t="shared" si="5"/>
        <v>73.749055740176743</v>
      </c>
      <c r="I73" s="223">
        <f t="shared" si="6"/>
        <v>0</v>
      </c>
      <c r="J73" s="42">
        <f t="shared" si="7"/>
        <v>0</v>
      </c>
      <c r="K73" s="5"/>
      <c r="L73" s="10"/>
      <c r="M73" s="11"/>
      <c r="R73" s="11"/>
    </row>
    <row r="74" spans="1:18" x14ac:dyDescent="0.25">
      <c r="A74" s="38">
        <f>Données!A74</f>
        <v>5520</v>
      </c>
      <c r="B74" s="197" t="str">
        <f>Données!B74</f>
        <v>Essertines-sur-Yverdon</v>
      </c>
      <c r="C74" s="348">
        <f>VPI!R74</f>
        <v>31422.035945945943</v>
      </c>
      <c r="D74" s="524">
        <f>Données!AP74</f>
        <v>13.139756819314398</v>
      </c>
      <c r="E74" s="411">
        <f>VPI!Q74</f>
        <v>74</v>
      </c>
      <c r="F74" s="241">
        <f t="shared" si="4"/>
        <v>60.8602431806856</v>
      </c>
      <c r="G74" s="238">
        <f>Effort!I74+Aide!I74/Taux!C74+Effort!K74/Taux!C74</f>
        <v>11.231083291609878</v>
      </c>
      <c r="H74" s="83">
        <f t="shared" si="5"/>
        <v>72.091326472295478</v>
      </c>
      <c r="I74" s="223">
        <f t="shared" si="6"/>
        <v>0</v>
      </c>
      <c r="J74" s="42">
        <f t="shared" si="7"/>
        <v>0</v>
      </c>
      <c r="K74" s="5"/>
      <c r="L74" s="10"/>
      <c r="M74" s="11"/>
      <c r="R74" s="11"/>
    </row>
    <row r="75" spans="1:18" x14ac:dyDescent="0.25">
      <c r="A75" s="38">
        <f>Données!A75</f>
        <v>5521</v>
      </c>
      <c r="B75" s="197" t="str">
        <f>Données!B75</f>
        <v>Etagnières</v>
      </c>
      <c r="C75" s="348">
        <f>VPI!R75</f>
        <v>47189.665890410972</v>
      </c>
      <c r="D75" s="524">
        <f>Données!AP75</f>
        <v>20.27288571863814</v>
      </c>
      <c r="E75" s="411">
        <f>VPI!Q75</f>
        <v>73</v>
      </c>
      <c r="F75" s="241">
        <f t="shared" si="4"/>
        <v>52.727114281361864</v>
      </c>
      <c r="G75" s="238">
        <f>Effort!I75+Aide!I75/Taux!C75+Effort!K75/Taux!C75</f>
        <v>23.099463602831552</v>
      </c>
      <c r="H75" s="83">
        <f t="shared" si="5"/>
        <v>75.826577884193412</v>
      </c>
      <c r="I75" s="223">
        <f t="shared" si="6"/>
        <v>0</v>
      </c>
      <c r="J75" s="42">
        <f t="shared" si="7"/>
        <v>0</v>
      </c>
      <c r="K75" s="5"/>
      <c r="L75" s="10"/>
      <c r="M75" s="11"/>
      <c r="R75" s="11"/>
    </row>
    <row r="76" spans="1:18" x14ac:dyDescent="0.25">
      <c r="A76" s="38">
        <f>Données!A76</f>
        <v>5522</v>
      </c>
      <c r="B76" s="197" t="str">
        <f>Données!B76</f>
        <v>Fey</v>
      </c>
      <c r="C76" s="348">
        <f>VPI!R76</f>
        <v>24172.463733333334</v>
      </c>
      <c r="D76" s="524">
        <f>Données!AP76</f>
        <v>15.124400217210432</v>
      </c>
      <c r="E76" s="411">
        <f>VPI!Q76</f>
        <v>75</v>
      </c>
      <c r="F76" s="241">
        <f t="shared" si="4"/>
        <v>59.875599782789564</v>
      </c>
      <c r="G76" s="238">
        <f>Effort!I76+Aide!I76/Taux!C76+Effort!K76/Taux!C76</f>
        <v>16.250020253551774</v>
      </c>
      <c r="H76" s="83">
        <f t="shared" si="5"/>
        <v>76.125620036341331</v>
      </c>
      <c r="I76" s="223">
        <f t="shared" si="6"/>
        <v>0</v>
      </c>
      <c r="J76" s="42">
        <f t="shared" si="7"/>
        <v>0</v>
      </c>
      <c r="K76" s="5"/>
      <c r="L76" s="10"/>
      <c r="M76" s="11"/>
      <c r="R76" s="11"/>
    </row>
    <row r="77" spans="1:18" x14ac:dyDescent="0.25">
      <c r="A77" s="38">
        <f>Données!A77</f>
        <v>5523</v>
      </c>
      <c r="B77" s="197" t="str">
        <f>Données!B77</f>
        <v>Froideville</v>
      </c>
      <c r="C77" s="348">
        <f>VPI!R77</f>
        <v>92231.307222222211</v>
      </c>
      <c r="D77" s="524">
        <f>Données!AP77</f>
        <v>15.422938930039543</v>
      </c>
      <c r="E77" s="411">
        <f>VPI!Q77</f>
        <v>72</v>
      </c>
      <c r="F77" s="241">
        <f t="shared" si="4"/>
        <v>56.577061069960457</v>
      </c>
      <c r="G77" s="238">
        <f>Effort!I77+Aide!I77/Taux!C77+Effort!K77/Taux!C77</f>
        <v>13.839855196761491</v>
      </c>
      <c r="H77" s="83">
        <f t="shared" si="5"/>
        <v>70.416916266721955</v>
      </c>
      <c r="I77" s="223">
        <f t="shared" si="6"/>
        <v>0</v>
      </c>
      <c r="J77" s="42">
        <f t="shared" si="7"/>
        <v>0</v>
      </c>
      <c r="K77" s="5"/>
      <c r="L77" s="10"/>
      <c r="M77" s="11"/>
      <c r="R77" s="11"/>
    </row>
    <row r="78" spans="1:18" x14ac:dyDescent="0.25">
      <c r="A78" s="38">
        <f>Données!A78</f>
        <v>5527</v>
      </c>
      <c r="B78" s="197" t="str">
        <f>Données!B78</f>
        <v>Morrens</v>
      </c>
      <c r="C78" s="348">
        <f>VPI!R78</f>
        <v>40722.505675675682</v>
      </c>
      <c r="D78" s="524">
        <f>Données!AP78</f>
        <v>17.040757593502782</v>
      </c>
      <c r="E78" s="411">
        <f>VPI!Q78</f>
        <v>74</v>
      </c>
      <c r="F78" s="241">
        <f t="shared" si="4"/>
        <v>56.959242406497218</v>
      </c>
      <c r="G78" s="238">
        <f>Effort!I78+Aide!I78/Taux!C78+Effort!K78/Taux!C78</f>
        <v>17.535226814481543</v>
      </c>
      <c r="H78" s="83">
        <f t="shared" si="5"/>
        <v>74.494469220978758</v>
      </c>
      <c r="I78" s="223">
        <f t="shared" si="6"/>
        <v>0</v>
      </c>
      <c r="J78" s="42">
        <f t="shared" si="7"/>
        <v>0</v>
      </c>
      <c r="K78" s="5"/>
      <c r="L78" s="10"/>
      <c r="M78" s="11"/>
      <c r="R78" s="11"/>
    </row>
    <row r="79" spans="1:18" x14ac:dyDescent="0.25">
      <c r="A79" s="38">
        <f>Données!A79</f>
        <v>5529</v>
      </c>
      <c r="B79" s="197" t="str">
        <f>Données!B79</f>
        <v>Oulens-sous-Echallens</v>
      </c>
      <c r="C79" s="348">
        <f>VPI!R79</f>
        <v>22677.013380281693</v>
      </c>
      <c r="D79" s="524">
        <f>Données!AP79</f>
        <v>19.072941113265518</v>
      </c>
      <c r="E79" s="411">
        <f>VPI!Q79</f>
        <v>71</v>
      </c>
      <c r="F79" s="241">
        <f t="shared" si="4"/>
        <v>51.927058886734486</v>
      </c>
      <c r="G79" s="238">
        <f>Effort!I79+Aide!I79/Taux!C79+Effort!K79/Taux!C79</f>
        <v>21.474508747023577</v>
      </c>
      <c r="H79" s="83">
        <f t="shared" si="5"/>
        <v>73.401567633758063</v>
      </c>
      <c r="I79" s="223">
        <f t="shared" si="6"/>
        <v>0</v>
      </c>
      <c r="J79" s="42">
        <f t="shared" si="7"/>
        <v>0</v>
      </c>
      <c r="K79" s="5"/>
      <c r="L79" s="10"/>
      <c r="M79" s="11"/>
      <c r="R79" s="11"/>
    </row>
    <row r="80" spans="1:18" x14ac:dyDescent="0.25">
      <c r="A80" s="38">
        <f>Données!A80</f>
        <v>5530</v>
      </c>
      <c r="B80" s="197" t="str">
        <f>Données!B80</f>
        <v>Pailly</v>
      </c>
      <c r="C80" s="348">
        <f>VPI!R80</f>
        <v>20112.17390350877</v>
      </c>
      <c r="D80" s="524">
        <f>Données!AP80</f>
        <v>16.957643952209164</v>
      </c>
      <c r="E80" s="411">
        <f>VPI!Q80</f>
        <v>76</v>
      </c>
      <c r="F80" s="241">
        <f t="shared" si="4"/>
        <v>59.042356047790832</v>
      </c>
      <c r="G80" s="238">
        <f>Effort!I80+Aide!I80/Taux!C80+Effort!K80/Taux!C80</f>
        <v>18.839326704980259</v>
      </c>
      <c r="H80" s="83">
        <f t="shared" si="5"/>
        <v>77.881682752771098</v>
      </c>
      <c r="I80" s="223">
        <f t="shared" si="6"/>
        <v>0</v>
      </c>
      <c r="J80" s="42">
        <f t="shared" si="7"/>
        <v>0</v>
      </c>
      <c r="K80" s="5"/>
      <c r="L80" s="10"/>
      <c r="M80" s="11"/>
      <c r="R80" s="11"/>
    </row>
    <row r="81" spans="1:18" x14ac:dyDescent="0.25">
      <c r="A81" s="38">
        <f>Données!A81</f>
        <v>5531</v>
      </c>
      <c r="B81" s="197" t="str">
        <f>Données!B81</f>
        <v>Penthéréaz</v>
      </c>
      <c r="C81" s="348">
        <f>VPI!R81</f>
        <v>17299.306216216217</v>
      </c>
      <c r="D81" s="524">
        <f>Données!AP81</f>
        <v>18.22510767273155</v>
      </c>
      <c r="E81" s="411">
        <f>VPI!Q81</f>
        <v>74</v>
      </c>
      <c r="F81" s="241">
        <f t="shared" si="4"/>
        <v>55.774892327268446</v>
      </c>
      <c r="G81" s="238">
        <f>Effort!I81+Aide!I81/Taux!C81+Effort!K81/Taux!C81</f>
        <v>22.976065277479766</v>
      </c>
      <c r="H81" s="83">
        <f t="shared" si="5"/>
        <v>78.750957604748208</v>
      </c>
      <c r="I81" s="223">
        <f t="shared" si="6"/>
        <v>0</v>
      </c>
      <c r="J81" s="42">
        <f t="shared" si="7"/>
        <v>0</v>
      </c>
      <c r="K81" s="5"/>
      <c r="L81" s="10"/>
      <c r="M81" s="11"/>
      <c r="R81" s="11"/>
    </row>
    <row r="82" spans="1:18" x14ac:dyDescent="0.25">
      <c r="A82" s="38">
        <f>Données!A82</f>
        <v>5533</v>
      </c>
      <c r="B82" s="197" t="str">
        <f>Données!B82</f>
        <v>Poliez-Pittet</v>
      </c>
      <c r="C82" s="348">
        <f>VPI!R82</f>
        <v>28012.381095890411</v>
      </c>
      <c r="D82" s="524">
        <f>Données!AP82</f>
        <v>17.162221386732064</v>
      </c>
      <c r="E82" s="411">
        <f>VPI!Q82</f>
        <v>73</v>
      </c>
      <c r="F82" s="241">
        <f t="shared" si="4"/>
        <v>55.837778613267936</v>
      </c>
      <c r="G82" s="238">
        <f>Effort!I82+Aide!I82/Taux!C82+Effort!K82/Taux!C82</f>
        <v>17.05710105752566</v>
      </c>
      <c r="H82" s="83">
        <f t="shared" si="5"/>
        <v>72.8948796707936</v>
      </c>
      <c r="I82" s="223">
        <f t="shared" si="6"/>
        <v>0</v>
      </c>
      <c r="J82" s="42">
        <f t="shared" si="7"/>
        <v>0</v>
      </c>
      <c r="K82" s="5"/>
      <c r="L82" s="10"/>
      <c r="M82" s="11"/>
      <c r="R82" s="11"/>
    </row>
    <row r="83" spans="1:18" x14ac:dyDescent="0.25">
      <c r="A83" s="38">
        <f>Données!A83</f>
        <v>5534</v>
      </c>
      <c r="B83" s="197" t="str">
        <f>Données!B83</f>
        <v>Rueyres</v>
      </c>
      <c r="C83" s="348">
        <f>VPI!R83</f>
        <v>15042.055228310503</v>
      </c>
      <c r="D83" s="524">
        <f>Données!AP83</f>
        <v>25.354324568213496</v>
      </c>
      <c r="E83" s="411">
        <f>VPI!Q83</f>
        <v>73</v>
      </c>
      <c r="F83" s="241">
        <f t="shared" si="4"/>
        <v>47.645675431786501</v>
      </c>
      <c r="G83" s="238">
        <f>Effort!I83+Aide!I83/Taux!C83+Effort!K83/Taux!C83</f>
        <v>28.610678975195025</v>
      </c>
      <c r="H83" s="83">
        <f t="shared" si="5"/>
        <v>76.256354406981529</v>
      </c>
      <c r="I83" s="223">
        <f t="shared" si="6"/>
        <v>0</v>
      </c>
      <c r="J83" s="42">
        <f t="shared" si="7"/>
        <v>0</v>
      </c>
      <c r="K83" s="5"/>
      <c r="L83" s="10"/>
      <c r="M83" s="11"/>
      <c r="R83" s="11"/>
    </row>
    <row r="84" spans="1:18" x14ac:dyDescent="0.25">
      <c r="A84" s="38">
        <f>Données!A84</f>
        <v>5535</v>
      </c>
      <c r="B84" s="197" t="str">
        <f>Données!B84</f>
        <v>Saint-Barthélemy</v>
      </c>
      <c r="C84" s="348">
        <f>VPI!R84</f>
        <v>25488.94373333333</v>
      </c>
      <c r="D84" s="524">
        <f>Données!AP84</f>
        <v>14.227224960031988</v>
      </c>
      <c r="E84" s="411">
        <f>VPI!Q84</f>
        <v>75</v>
      </c>
      <c r="F84" s="241">
        <f t="shared" si="4"/>
        <v>60.77277503996801</v>
      </c>
      <c r="G84" s="238">
        <f>Effort!I84+Aide!I84/Taux!C84+Effort!K84/Taux!C84</f>
        <v>14.438072286963941</v>
      </c>
      <c r="H84" s="83">
        <f t="shared" si="5"/>
        <v>75.210847326931955</v>
      </c>
      <c r="I84" s="223">
        <f t="shared" si="6"/>
        <v>0</v>
      </c>
      <c r="J84" s="42">
        <f t="shared" si="7"/>
        <v>0</v>
      </c>
      <c r="K84" s="5"/>
      <c r="L84" s="10"/>
      <c r="M84" s="11"/>
      <c r="R84" s="11"/>
    </row>
    <row r="85" spans="1:18" x14ac:dyDescent="0.25">
      <c r="A85" s="38">
        <f>Données!A85</f>
        <v>5537</v>
      </c>
      <c r="B85" s="197" t="str">
        <f>Données!B85</f>
        <v>Villars-le-Terroir</v>
      </c>
      <c r="C85" s="348">
        <f>VPI!R85</f>
        <v>39164.122763157902</v>
      </c>
      <c r="D85" s="524">
        <f>Données!AP85</f>
        <v>14.212772660585706</v>
      </c>
      <c r="E85" s="411">
        <f>VPI!Q85</f>
        <v>76</v>
      </c>
      <c r="F85" s="241">
        <f t="shared" si="4"/>
        <v>61.787227339414294</v>
      </c>
      <c r="G85" s="238">
        <f>Effort!I85+Aide!I85/Taux!C85+Effort!K85/Taux!C85</f>
        <v>10.381755961147171</v>
      </c>
      <c r="H85" s="83">
        <f t="shared" si="5"/>
        <v>72.168983300561464</v>
      </c>
      <c r="I85" s="223">
        <f t="shared" si="6"/>
        <v>0</v>
      </c>
      <c r="J85" s="42">
        <f t="shared" si="7"/>
        <v>0</v>
      </c>
      <c r="K85" s="5"/>
      <c r="L85" s="10"/>
      <c r="M85" s="11"/>
      <c r="R85" s="11"/>
    </row>
    <row r="86" spans="1:18" x14ac:dyDescent="0.25">
      <c r="A86" s="38">
        <f>Données!A86</f>
        <v>5539</v>
      </c>
      <c r="B86" s="197" t="str">
        <f>Données!B86</f>
        <v>Vuarrens</v>
      </c>
      <c r="C86" s="348">
        <f>VPI!R86</f>
        <v>34442.458945578233</v>
      </c>
      <c r="D86" s="524">
        <f>Données!AP86</f>
        <v>14.695105594952672</v>
      </c>
      <c r="E86" s="411">
        <f>VPI!Q86</f>
        <v>73.5</v>
      </c>
      <c r="F86" s="241">
        <f t="shared" si="4"/>
        <v>58.804894405047328</v>
      </c>
      <c r="G86" s="238">
        <f>Effort!I86+Aide!I86/Taux!C86+Effort!K86/Taux!C86</f>
        <v>14.003383366524396</v>
      </c>
      <c r="H86" s="83">
        <f t="shared" si="5"/>
        <v>72.808277771571724</v>
      </c>
      <c r="I86" s="223">
        <f t="shared" si="6"/>
        <v>0</v>
      </c>
      <c r="J86" s="42">
        <f t="shared" si="7"/>
        <v>0</v>
      </c>
      <c r="K86" s="5"/>
      <c r="L86" s="10"/>
      <c r="M86" s="11"/>
      <c r="R86" s="11"/>
    </row>
    <row r="87" spans="1:18" x14ac:dyDescent="0.25">
      <c r="A87" s="38">
        <f>Données!A87</f>
        <v>5540</v>
      </c>
      <c r="B87" s="197" t="str">
        <f>Données!B87</f>
        <v>Montilliez</v>
      </c>
      <c r="C87" s="348">
        <f>VPI!R87</f>
        <v>67464.467689655183</v>
      </c>
      <c r="D87" s="524">
        <f>Données!AP87</f>
        <v>14.792110038003772</v>
      </c>
      <c r="E87" s="411">
        <f>VPI!Q87</f>
        <v>72.5</v>
      </c>
      <c r="F87" s="241">
        <f t="shared" si="4"/>
        <v>57.70788996199623</v>
      </c>
      <c r="G87" s="238">
        <f>Effort!I87+Aide!I87/Taux!C87+Effort!K87/Taux!C87</f>
        <v>16.574039685170757</v>
      </c>
      <c r="H87" s="83">
        <f t="shared" si="5"/>
        <v>74.28192964716699</v>
      </c>
      <c r="I87" s="223">
        <f t="shared" si="6"/>
        <v>0</v>
      </c>
      <c r="J87" s="42">
        <f t="shared" si="7"/>
        <v>0</v>
      </c>
      <c r="K87" s="5"/>
      <c r="L87" s="10"/>
      <c r="M87" s="11"/>
      <c r="R87" s="11"/>
    </row>
    <row r="88" spans="1:18" x14ac:dyDescent="0.25">
      <c r="A88" s="38">
        <f>Données!A88</f>
        <v>5541</v>
      </c>
      <c r="B88" s="197" t="str">
        <f>Données!B88</f>
        <v>Goumoëns</v>
      </c>
      <c r="C88" s="348">
        <f>VPI!R88</f>
        <v>41726.211258278148</v>
      </c>
      <c r="D88" s="524">
        <f>Données!AP88</f>
        <v>18.072978523153857</v>
      </c>
      <c r="E88" s="411">
        <f>VPI!Q88</f>
        <v>75.5</v>
      </c>
      <c r="F88" s="241">
        <f t="shared" si="4"/>
        <v>57.427021476846143</v>
      </c>
      <c r="G88" s="238">
        <f>Effort!I88+Aide!I88/Taux!C88+Effort!K88/Taux!C88</f>
        <v>17.953580247869148</v>
      </c>
      <c r="H88" s="83">
        <f t="shared" si="5"/>
        <v>75.380601724715291</v>
      </c>
      <c r="I88" s="223">
        <f t="shared" si="6"/>
        <v>0</v>
      </c>
      <c r="J88" s="42">
        <f t="shared" si="7"/>
        <v>0</v>
      </c>
      <c r="K88" s="5"/>
      <c r="L88" s="10"/>
      <c r="M88" s="11"/>
      <c r="R88" s="11"/>
    </row>
    <row r="89" spans="1:18" x14ac:dyDescent="0.25">
      <c r="A89" s="38">
        <f>Données!A89</f>
        <v>5551</v>
      </c>
      <c r="B89" s="197" t="str">
        <f>Données!B89</f>
        <v>Bonvillars</v>
      </c>
      <c r="C89" s="348">
        <f>VPI!R89</f>
        <v>18575.023035714283</v>
      </c>
      <c r="D89" s="524">
        <f>Données!AP89</f>
        <v>24.693537925540927</v>
      </c>
      <c r="E89" s="411">
        <f>VPI!Q89</f>
        <v>56</v>
      </c>
      <c r="F89" s="241">
        <f t="shared" si="4"/>
        <v>31.306462074459073</v>
      </c>
      <c r="G89" s="238">
        <f>Effort!I89+Aide!I89/Taux!C89+Effort!K89/Taux!C89</f>
        <v>23.533855830982858</v>
      </c>
      <c r="H89" s="83">
        <f t="shared" si="5"/>
        <v>54.840317905441935</v>
      </c>
      <c r="I89" s="223">
        <f t="shared" si="6"/>
        <v>0</v>
      </c>
      <c r="J89" s="42">
        <f t="shared" si="7"/>
        <v>0</v>
      </c>
      <c r="K89" s="5"/>
      <c r="L89" s="10"/>
      <c r="M89" s="11"/>
      <c r="R89" s="11"/>
    </row>
    <row r="90" spans="1:18" x14ac:dyDescent="0.25">
      <c r="A90" s="38">
        <f>Données!A90</f>
        <v>5552</v>
      </c>
      <c r="B90" s="197" t="str">
        <f>Données!B90</f>
        <v>Bullet</v>
      </c>
      <c r="C90" s="348">
        <f>VPI!R90</f>
        <v>19038.952167832165</v>
      </c>
      <c r="D90" s="524">
        <f>Données!AP90</f>
        <v>13.968405211610726</v>
      </c>
      <c r="E90" s="411">
        <f>VPI!Q90</f>
        <v>71.5</v>
      </c>
      <c r="F90" s="241">
        <f t="shared" si="4"/>
        <v>57.53159478838927</v>
      </c>
      <c r="G90" s="238">
        <f>Effort!I90+Aide!I90/Taux!C90+Effort!K90/Taux!C90</f>
        <v>13.033210437052173</v>
      </c>
      <c r="H90" s="83">
        <f t="shared" si="5"/>
        <v>70.564805225441447</v>
      </c>
      <c r="I90" s="223">
        <f t="shared" si="6"/>
        <v>0</v>
      </c>
      <c r="J90" s="42">
        <f t="shared" si="7"/>
        <v>0</v>
      </c>
      <c r="K90" s="5"/>
      <c r="L90" s="10"/>
      <c r="M90" s="11"/>
      <c r="R90" s="11"/>
    </row>
    <row r="91" spans="1:18" x14ac:dyDescent="0.25">
      <c r="A91" s="38">
        <f>Données!A91</f>
        <v>5553</v>
      </c>
      <c r="B91" s="197" t="str">
        <f>Données!B91</f>
        <v>Champagne</v>
      </c>
      <c r="C91" s="348">
        <f>VPI!R91</f>
        <v>38263.796923076923</v>
      </c>
      <c r="D91" s="524">
        <f>Données!AP91</f>
        <v>21.772779428254662</v>
      </c>
      <c r="E91" s="411">
        <f>VPI!Q91</f>
        <v>65</v>
      </c>
      <c r="F91" s="241">
        <f t="shared" si="4"/>
        <v>43.227220571745335</v>
      </c>
      <c r="G91" s="238">
        <f>Effort!I91+Aide!I91/Taux!C91+Effort!K91/Taux!C91</f>
        <v>20.619466730129357</v>
      </c>
      <c r="H91" s="83">
        <f t="shared" si="5"/>
        <v>63.846687301874695</v>
      </c>
      <c r="I91" s="223">
        <f t="shared" si="6"/>
        <v>0</v>
      </c>
      <c r="J91" s="42">
        <f t="shared" si="7"/>
        <v>0</v>
      </c>
      <c r="K91" s="5"/>
      <c r="L91" s="10"/>
      <c r="M91" s="11"/>
      <c r="R91" s="11"/>
    </row>
    <row r="92" spans="1:18" x14ac:dyDescent="0.25">
      <c r="A92" s="38">
        <f>Données!A92</f>
        <v>5554</v>
      </c>
      <c r="B92" s="197" t="str">
        <f>Données!B92</f>
        <v>Concise</v>
      </c>
      <c r="C92" s="348">
        <f>VPI!R92</f>
        <v>33907.166000000005</v>
      </c>
      <c r="D92" s="524">
        <f>Données!AP92</f>
        <v>14.665463881614878</v>
      </c>
      <c r="E92" s="411">
        <f>VPI!Q92</f>
        <v>75</v>
      </c>
      <c r="F92" s="241">
        <f t="shared" si="4"/>
        <v>60.334536118385124</v>
      </c>
      <c r="G92" s="238">
        <f>Effort!I92+Aide!I92/Taux!C92+Effort!K92/Taux!C92</f>
        <v>17.328442121755252</v>
      </c>
      <c r="H92" s="83">
        <f t="shared" si="5"/>
        <v>77.662978240140376</v>
      </c>
      <c r="I92" s="223">
        <f t="shared" si="6"/>
        <v>0</v>
      </c>
      <c r="J92" s="42">
        <f t="shared" si="7"/>
        <v>0</v>
      </c>
      <c r="K92" s="5"/>
      <c r="L92" s="10"/>
      <c r="M92" s="11"/>
      <c r="R92" s="11"/>
    </row>
    <row r="93" spans="1:18" x14ac:dyDescent="0.25">
      <c r="A93" s="38">
        <f>Données!A93</f>
        <v>5555</v>
      </c>
      <c r="B93" s="197" t="str">
        <f>Données!B93</f>
        <v>Corcelles-près-Concise</v>
      </c>
      <c r="C93" s="348">
        <f>VPI!R93</f>
        <v>13425.201594202899</v>
      </c>
      <c r="D93" s="524">
        <f>Données!AP93</f>
        <v>18.470984384409142</v>
      </c>
      <c r="E93" s="411">
        <f>VPI!Q93</f>
        <v>69</v>
      </c>
      <c r="F93" s="241">
        <f t="shared" si="4"/>
        <v>50.529015615590858</v>
      </c>
      <c r="G93" s="238">
        <f>Effort!I93+Aide!I93/Taux!C93+Effort!K93/Taux!C93</f>
        <v>17.637196020453892</v>
      </c>
      <c r="H93" s="83">
        <f t="shared" si="5"/>
        <v>68.16621163604475</v>
      </c>
      <c r="I93" s="223">
        <f t="shared" si="6"/>
        <v>0</v>
      </c>
      <c r="J93" s="42">
        <f t="shared" si="7"/>
        <v>0</v>
      </c>
      <c r="K93" s="5"/>
      <c r="L93" s="10"/>
      <c r="M93" s="11"/>
      <c r="R93" s="11"/>
    </row>
    <row r="94" spans="1:18" x14ac:dyDescent="0.25">
      <c r="A94" s="38">
        <f>Données!A94</f>
        <v>5556</v>
      </c>
      <c r="B94" s="197" t="str">
        <f>Données!B94</f>
        <v>Fiez</v>
      </c>
      <c r="C94" s="348">
        <f>VPI!R94</f>
        <v>13304.241787439612</v>
      </c>
      <c r="D94" s="524">
        <f>Données!AP94</f>
        <v>18.185392867268714</v>
      </c>
      <c r="E94" s="411">
        <f>VPI!Q94</f>
        <v>69</v>
      </c>
      <c r="F94" s="241">
        <f t="shared" si="4"/>
        <v>50.814607132731282</v>
      </c>
      <c r="G94" s="238">
        <f>Effort!I94+Aide!I94/Taux!C94+Effort!K94/Taux!C94</f>
        <v>15.448432391593826</v>
      </c>
      <c r="H94" s="83">
        <f t="shared" si="5"/>
        <v>66.263039524325109</v>
      </c>
      <c r="I94" s="223">
        <f t="shared" si="6"/>
        <v>0</v>
      </c>
      <c r="J94" s="42">
        <f t="shared" si="7"/>
        <v>0</v>
      </c>
      <c r="K94" s="5"/>
      <c r="L94" s="10"/>
      <c r="M94" s="11"/>
      <c r="R94" s="11"/>
    </row>
    <row r="95" spans="1:18" x14ac:dyDescent="0.25">
      <c r="A95" s="38">
        <f>Données!A95</f>
        <v>5557</v>
      </c>
      <c r="B95" s="197" t="str">
        <f>Données!B95</f>
        <v>Fontaines-sur-Grandson</v>
      </c>
      <c r="C95" s="348">
        <f>VPI!R95</f>
        <v>5098.7534782608691</v>
      </c>
      <c r="D95" s="524">
        <f>Données!AP95</f>
        <v>-4.4415961528336343</v>
      </c>
      <c r="E95" s="411">
        <f>VPI!Q95</f>
        <v>69</v>
      </c>
      <c r="F95" s="241">
        <f t="shared" si="4"/>
        <v>73.44159615283364</v>
      </c>
      <c r="G95" s="238">
        <f>Effort!I95+Aide!I95/Taux!C95+Effort!K95/Taux!C95</f>
        <v>5.7815609206258003</v>
      </c>
      <c r="H95" s="83">
        <f t="shared" si="5"/>
        <v>79.223157073459447</v>
      </c>
      <c r="I95" s="223">
        <f t="shared" si="6"/>
        <v>0</v>
      </c>
      <c r="J95" s="42">
        <f t="shared" si="7"/>
        <v>0</v>
      </c>
      <c r="K95" s="5"/>
      <c r="L95" s="10"/>
      <c r="M95" s="11"/>
      <c r="R95" s="11"/>
    </row>
    <row r="96" spans="1:18" x14ac:dyDescent="0.25">
      <c r="A96" s="38">
        <f>Données!A96</f>
        <v>5559</v>
      </c>
      <c r="B96" s="197" t="str">
        <f>Données!B96</f>
        <v>Giez</v>
      </c>
      <c r="C96" s="348">
        <f>VPI!R96</f>
        <v>21011.030606060605</v>
      </c>
      <c r="D96" s="524">
        <f>Données!AP96</f>
        <v>29.61977603186622</v>
      </c>
      <c r="E96" s="411">
        <f>VPI!Q96</f>
        <v>66</v>
      </c>
      <c r="F96" s="241">
        <f t="shared" si="4"/>
        <v>36.380223968133777</v>
      </c>
      <c r="G96" s="238">
        <f>Effort!I96+Aide!I96/Taux!C96+Effort!K96/Taux!C96</f>
        <v>27.440088288249623</v>
      </c>
      <c r="H96" s="83">
        <f t="shared" si="5"/>
        <v>63.820312256383403</v>
      </c>
      <c r="I96" s="223">
        <f t="shared" si="6"/>
        <v>0</v>
      </c>
      <c r="J96" s="42">
        <f t="shared" si="7"/>
        <v>0</v>
      </c>
      <c r="K96" s="5"/>
      <c r="L96" s="10"/>
      <c r="M96" s="11"/>
      <c r="R96" s="11"/>
    </row>
    <row r="97" spans="1:18" x14ac:dyDescent="0.25">
      <c r="A97" s="38">
        <f>Données!A97</f>
        <v>5560</v>
      </c>
      <c r="B97" s="197" t="str">
        <f>Données!B97</f>
        <v>Grandevent</v>
      </c>
      <c r="C97" s="348">
        <f>VPI!R97</f>
        <v>8996.1449295774655</v>
      </c>
      <c r="D97" s="524">
        <f>Données!AP97</f>
        <v>14.712205279572171</v>
      </c>
      <c r="E97" s="411">
        <f>VPI!Q97</f>
        <v>71</v>
      </c>
      <c r="F97" s="241">
        <f t="shared" si="4"/>
        <v>56.287794720427826</v>
      </c>
      <c r="G97" s="238">
        <f>Effort!I97+Aide!I97/Taux!C97+Effort!K97/Taux!C97</f>
        <v>21.892730715194386</v>
      </c>
      <c r="H97" s="83">
        <f t="shared" si="5"/>
        <v>78.180525435622215</v>
      </c>
      <c r="I97" s="223">
        <f t="shared" si="6"/>
        <v>0</v>
      </c>
      <c r="J97" s="42">
        <f t="shared" si="7"/>
        <v>0</v>
      </c>
      <c r="K97" s="5"/>
      <c r="L97" s="10"/>
      <c r="M97" s="11"/>
      <c r="R97" s="11"/>
    </row>
    <row r="98" spans="1:18" x14ac:dyDescent="0.25">
      <c r="A98" s="38">
        <f>Données!A98</f>
        <v>5561</v>
      </c>
      <c r="B98" s="197" t="str">
        <f>Données!B98</f>
        <v>Grandson</v>
      </c>
      <c r="C98" s="348">
        <f>VPI!R98</f>
        <v>132376.08594202899</v>
      </c>
      <c r="D98" s="524">
        <f>Données!AP98</f>
        <v>14.033166731542035</v>
      </c>
      <c r="E98" s="411">
        <f>VPI!Q98</f>
        <v>69</v>
      </c>
      <c r="F98" s="241">
        <f t="shared" si="4"/>
        <v>54.966833268457961</v>
      </c>
      <c r="G98" s="238">
        <f>Effort!I98+Aide!I98/Taux!C98+Effort!K98/Taux!C98</f>
        <v>18.662444607754104</v>
      </c>
      <c r="H98" s="83">
        <f t="shared" si="5"/>
        <v>73.629277876212058</v>
      </c>
      <c r="I98" s="223">
        <f t="shared" si="6"/>
        <v>0</v>
      </c>
      <c r="J98" s="42">
        <f t="shared" si="7"/>
        <v>0</v>
      </c>
      <c r="K98" s="5"/>
      <c r="L98" s="10"/>
      <c r="M98" s="11"/>
      <c r="R98" s="11"/>
    </row>
    <row r="99" spans="1:18" x14ac:dyDescent="0.25">
      <c r="A99" s="38">
        <f>Données!A99</f>
        <v>5562</v>
      </c>
      <c r="B99" s="197" t="str">
        <f>Données!B99</f>
        <v>Mauborget</v>
      </c>
      <c r="C99" s="348">
        <f>VPI!R99</f>
        <v>4559.8505476190467</v>
      </c>
      <c r="D99" s="524">
        <f>Données!AP99</f>
        <v>26.349277969841719</v>
      </c>
      <c r="E99" s="411">
        <f>VPI!Q99</f>
        <v>70</v>
      </c>
      <c r="F99" s="241">
        <f t="shared" si="4"/>
        <v>43.650722030158278</v>
      </c>
      <c r="G99" s="238">
        <f>Effort!I99+Aide!I99/Taux!C99+Effort!K99/Taux!C99</f>
        <v>17.824245626918781</v>
      </c>
      <c r="H99" s="83">
        <f t="shared" si="5"/>
        <v>61.474967657077059</v>
      </c>
      <c r="I99" s="223">
        <f t="shared" si="6"/>
        <v>0</v>
      </c>
      <c r="J99" s="42">
        <f t="shared" si="7"/>
        <v>0</v>
      </c>
      <c r="K99" s="5"/>
      <c r="L99" s="10"/>
      <c r="M99" s="11"/>
      <c r="R99" s="11"/>
    </row>
    <row r="100" spans="1:18" x14ac:dyDescent="0.25">
      <c r="A100" s="38">
        <f>Données!A100</f>
        <v>5563</v>
      </c>
      <c r="B100" s="197" t="str">
        <f>Données!B100</f>
        <v>Mutrux</v>
      </c>
      <c r="C100" s="348">
        <f>VPI!R100</f>
        <v>2282.3142499999999</v>
      </c>
      <c r="D100" s="524">
        <f>Données!AP100</f>
        <v>8.3987694668071882</v>
      </c>
      <c r="E100" s="411">
        <f>VPI!Q100</f>
        <v>80</v>
      </c>
      <c r="F100" s="241">
        <f t="shared" si="4"/>
        <v>71.601230533192819</v>
      </c>
      <c r="G100" s="238">
        <f>Effort!I100+Aide!I100/Taux!C100+Effort!K100/Taux!C100</f>
        <v>-21.515831573149931</v>
      </c>
      <c r="H100" s="83">
        <f t="shared" si="5"/>
        <v>50.085398960042887</v>
      </c>
      <c r="I100" s="223">
        <f t="shared" si="6"/>
        <v>0</v>
      </c>
      <c r="J100" s="42">
        <f t="shared" si="7"/>
        <v>0</v>
      </c>
      <c r="K100" s="5"/>
      <c r="L100" s="10"/>
      <c r="M100" s="11"/>
      <c r="R100" s="11"/>
    </row>
    <row r="101" spans="1:18" x14ac:dyDescent="0.25">
      <c r="A101" s="38">
        <f>Données!A101</f>
        <v>5564</v>
      </c>
      <c r="B101" s="197" t="str">
        <f>Données!B101</f>
        <v>Novalles</v>
      </c>
      <c r="C101" s="348">
        <f>VPI!R101</f>
        <v>2548.8725328947371</v>
      </c>
      <c r="D101" s="524">
        <f>Données!AP101</f>
        <v>-6.9625101970631746</v>
      </c>
      <c r="E101" s="411">
        <f>VPI!Q101</f>
        <v>76</v>
      </c>
      <c r="F101" s="241">
        <f t="shared" si="4"/>
        <v>82.962510197063182</v>
      </c>
      <c r="G101" s="238">
        <f>Effort!I101+Aide!I101/Taux!C101+Effort!K101/Taux!C101</f>
        <v>5.4948920563042751</v>
      </c>
      <c r="H101" s="83">
        <f t="shared" si="5"/>
        <v>88.457402253367462</v>
      </c>
      <c r="I101" s="223">
        <f t="shared" si="6"/>
        <v>0</v>
      </c>
      <c r="J101" s="42">
        <f t="shared" si="7"/>
        <v>0</v>
      </c>
      <c r="K101" s="5"/>
      <c r="L101" s="10"/>
      <c r="M101" s="11"/>
      <c r="R101" s="11"/>
    </row>
    <row r="102" spans="1:18" x14ac:dyDescent="0.25">
      <c r="A102" s="38">
        <f>Données!A102</f>
        <v>5565</v>
      </c>
      <c r="B102" s="197" t="str">
        <f>Données!B102</f>
        <v>Onnens</v>
      </c>
      <c r="C102" s="348">
        <f>VPI!R102</f>
        <v>11658.700944881888</v>
      </c>
      <c r="D102" s="524">
        <f>Données!AP102</f>
        <v>27.245096778364012</v>
      </c>
      <c r="E102" s="411">
        <f>VPI!Q102</f>
        <v>63.5</v>
      </c>
      <c r="F102" s="241">
        <f t="shared" si="4"/>
        <v>36.254903221635985</v>
      </c>
      <c r="G102" s="238">
        <f>Effort!I102+Aide!I102/Taux!C102+Effort!K102/Taux!C102</f>
        <v>8.2701316345334988</v>
      </c>
      <c r="H102" s="83">
        <f t="shared" si="5"/>
        <v>44.525034856169484</v>
      </c>
      <c r="I102" s="223">
        <f t="shared" si="6"/>
        <v>0</v>
      </c>
      <c r="J102" s="42">
        <f t="shared" si="7"/>
        <v>0</v>
      </c>
      <c r="K102" s="5"/>
      <c r="L102" s="10"/>
      <c r="M102" s="11"/>
      <c r="R102" s="11"/>
    </row>
    <row r="103" spans="1:18" x14ac:dyDescent="0.25">
      <c r="A103" s="38">
        <f>Données!A103</f>
        <v>5566</v>
      </c>
      <c r="B103" s="197" t="str">
        <f>Données!B103</f>
        <v>Provence</v>
      </c>
      <c r="C103" s="348">
        <f>VPI!R103</f>
        <v>8528.9197942386818</v>
      </c>
      <c r="D103" s="524">
        <f>Données!AP103</f>
        <v>-2.7956895930347136</v>
      </c>
      <c r="E103" s="411">
        <f>VPI!Q103</f>
        <v>81</v>
      </c>
      <c r="F103" s="241">
        <f t="shared" si="4"/>
        <v>83.795689593034709</v>
      </c>
      <c r="G103" s="238">
        <f>Effort!I103+Aide!I103/Taux!C103+Effort!K103/Taux!C103</f>
        <v>-9.0393086727440703</v>
      </c>
      <c r="H103" s="83">
        <f t="shared" si="5"/>
        <v>74.756380920290638</v>
      </c>
      <c r="I103" s="223">
        <f t="shared" si="6"/>
        <v>0</v>
      </c>
      <c r="J103" s="42">
        <f t="shared" si="7"/>
        <v>0</v>
      </c>
      <c r="K103" s="5"/>
      <c r="L103" s="10"/>
      <c r="M103" s="11"/>
      <c r="R103" s="11"/>
    </row>
    <row r="104" spans="1:18" x14ac:dyDescent="0.25">
      <c r="A104" s="38">
        <f>Données!A104</f>
        <v>5568</v>
      </c>
      <c r="B104" s="197" t="str">
        <f>Données!B104</f>
        <v>Sainte-Croix</v>
      </c>
      <c r="C104" s="348">
        <f>VPI!R104</f>
        <v>106004.96942857141</v>
      </c>
      <c r="D104" s="524">
        <f>Données!AP104</f>
        <v>-8.9442429573928663</v>
      </c>
      <c r="E104" s="411">
        <f>VPI!Q104</f>
        <v>70</v>
      </c>
      <c r="F104" s="241">
        <f t="shared" si="4"/>
        <v>78.944242957392873</v>
      </c>
      <c r="G104" s="238">
        <f>Effort!I104+Aide!I104/Taux!C104+Effort!K104/Taux!C104</f>
        <v>-10.267283353857962</v>
      </c>
      <c r="H104" s="83">
        <f t="shared" si="5"/>
        <v>68.676959603534911</v>
      </c>
      <c r="I104" s="223">
        <f t="shared" si="6"/>
        <v>0</v>
      </c>
      <c r="J104" s="42">
        <f t="shared" si="7"/>
        <v>0</v>
      </c>
      <c r="K104" s="5"/>
      <c r="L104" s="10"/>
      <c r="M104" s="11"/>
      <c r="R104" s="11"/>
    </row>
    <row r="105" spans="1:18" x14ac:dyDescent="0.25">
      <c r="A105" s="38">
        <f>Données!A105</f>
        <v>5571</v>
      </c>
      <c r="B105" s="197" t="str">
        <f>Données!B105</f>
        <v>Tévenon</v>
      </c>
      <c r="C105" s="348">
        <f>VPI!R105</f>
        <v>25907.008578088578</v>
      </c>
      <c r="D105" s="524">
        <f>Données!AP105</f>
        <v>12.471425773522258</v>
      </c>
      <c r="E105" s="411">
        <f>VPI!Q105</f>
        <v>71.5</v>
      </c>
      <c r="F105" s="241">
        <f t="shared" si="4"/>
        <v>59.028574226477744</v>
      </c>
      <c r="G105" s="238">
        <f>Effort!I105+Aide!I105/Taux!C105+Effort!K105/Taux!C105</f>
        <v>13.846817246075416</v>
      </c>
      <c r="H105" s="83">
        <f t="shared" si="5"/>
        <v>72.875391472553162</v>
      </c>
      <c r="I105" s="223">
        <f t="shared" si="6"/>
        <v>0</v>
      </c>
      <c r="J105" s="42">
        <f t="shared" si="7"/>
        <v>0</v>
      </c>
      <c r="K105" s="5"/>
      <c r="L105" s="10"/>
      <c r="M105" s="11"/>
      <c r="R105" s="11"/>
    </row>
    <row r="106" spans="1:18" x14ac:dyDescent="0.25">
      <c r="A106" s="38">
        <f>Données!A106</f>
        <v>5581</v>
      </c>
      <c r="B106" s="197" t="str">
        <f>Données!B106</f>
        <v>Belmont-sur-Lausanne</v>
      </c>
      <c r="C106" s="348">
        <f>VPI!R106</f>
        <v>233711.86319444442</v>
      </c>
      <c r="D106" s="524">
        <f>Données!AP106</f>
        <v>26.891514039137668</v>
      </c>
      <c r="E106" s="411">
        <f>VPI!Q106</f>
        <v>72</v>
      </c>
      <c r="F106" s="241">
        <f t="shared" si="4"/>
        <v>45.108485960862332</v>
      </c>
      <c r="G106" s="238">
        <f>Effort!I106+Aide!I106/Taux!C106+Effort!K106/Taux!C106</f>
        <v>28.633545875410462</v>
      </c>
      <c r="H106" s="83">
        <f t="shared" si="5"/>
        <v>73.742031836272787</v>
      </c>
      <c r="I106" s="223">
        <f t="shared" si="6"/>
        <v>0</v>
      </c>
      <c r="J106" s="42">
        <f t="shared" si="7"/>
        <v>0</v>
      </c>
      <c r="K106" s="5"/>
      <c r="L106" s="10"/>
      <c r="M106" s="11"/>
      <c r="R106" s="11"/>
    </row>
    <row r="107" spans="1:18" x14ac:dyDescent="0.25">
      <c r="A107" s="38">
        <f>Données!A107</f>
        <v>5582</v>
      </c>
      <c r="B107" s="197" t="str">
        <f>Données!B107</f>
        <v>Cheseaux-sur-Lausanne</v>
      </c>
      <c r="C107" s="348">
        <f>VPI!R107</f>
        <v>170428.79082191776</v>
      </c>
      <c r="D107" s="524">
        <f>Données!AP107</f>
        <v>15.548945625009488</v>
      </c>
      <c r="E107" s="411">
        <f>VPI!Q107</f>
        <v>73</v>
      </c>
      <c r="F107" s="241">
        <f t="shared" si="4"/>
        <v>57.451054374990512</v>
      </c>
      <c r="G107" s="238">
        <f>Effort!I107+Aide!I107/Taux!C107+Effort!K107/Taux!C107</f>
        <v>15.128544909643505</v>
      </c>
      <c r="H107" s="83">
        <f t="shared" si="5"/>
        <v>72.579599284634014</v>
      </c>
      <c r="I107" s="223">
        <f t="shared" si="6"/>
        <v>0</v>
      </c>
      <c r="J107" s="42">
        <f t="shared" si="7"/>
        <v>0</v>
      </c>
      <c r="K107" s="5"/>
      <c r="L107" s="10"/>
      <c r="M107" s="11"/>
      <c r="R107" s="11"/>
    </row>
    <row r="108" spans="1:18" x14ac:dyDescent="0.25">
      <c r="A108" s="38">
        <f>Données!A108</f>
        <v>5583</v>
      </c>
      <c r="B108" s="197" t="str">
        <f>Données!B108</f>
        <v>Crissier</v>
      </c>
      <c r="C108" s="348">
        <f>VPI!R108</f>
        <v>340496.54456692917</v>
      </c>
      <c r="D108" s="524">
        <f>Données!AP108</f>
        <v>13.792501929457579</v>
      </c>
      <c r="E108" s="411">
        <f>VPI!Q108</f>
        <v>63.5</v>
      </c>
      <c r="F108" s="241">
        <f t="shared" si="4"/>
        <v>49.707498070542421</v>
      </c>
      <c r="G108" s="238">
        <f>Effort!I108+Aide!I108/Taux!C108+Effort!K108/Taux!C108</f>
        <v>12.725812853471343</v>
      </c>
      <c r="H108" s="83">
        <f t="shared" si="5"/>
        <v>62.433310924013767</v>
      </c>
      <c r="I108" s="223">
        <f t="shared" si="6"/>
        <v>0</v>
      </c>
      <c r="J108" s="42">
        <f t="shared" si="7"/>
        <v>0</v>
      </c>
      <c r="K108" s="5"/>
      <c r="L108" s="10"/>
      <c r="M108" s="11"/>
      <c r="R108" s="11"/>
    </row>
    <row r="109" spans="1:18" x14ac:dyDescent="0.25">
      <c r="A109" s="38">
        <f>Données!A109</f>
        <v>5584</v>
      </c>
      <c r="B109" s="197" t="str">
        <f>Données!B109</f>
        <v>Epalinges</v>
      </c>
      <c r="C109" s="348">
        <f>VPI!R109</f>
        <v>489766.22341085278</v>
      </c>
      <c r="D109" s="524">
        <f>Données!AP109</f>
        <v>22.403571554395622</v>
      </c>
      <c r="E109" s="411">
        <f>VPI!Q109</f>
        <v>64.5</v>
      </c>
      <c r="F109" s="241">
        <f t="shared" si="4"/>
        <v>42.096428445604374</v>
      </c>
      <c r="G109" s="238">
        <f>Effort!I109+Aide!I109/Taux!C109+Effort!K109/Taux!C109</f>
        <v>20.828959892320981</v>
      </c>
      <c r="H109" s="83">
        <f t="shared" si="5"/>
        <v>62.925388337925355</v>
      </c>
      <c r="I109" s="223">
        <f t="shared" si="6"/>
        <v>0</v>
      </c>
      <c r="J109" s="42">
        <f t="shared" si="7"/>
        <v>0</v>
      </c>
      <c r="K109" s="5"/>
      <c r="L109" s="10"/>
      <c r="M109" s="11"/>
      <c r="R109" s="11"/>
    </row>
    <row r="110" spans="1:18" x14ac:dyDescent="0.25">
      <c r="A110" s="38">
        <f>Données!A110</f>
        <v>5585</v>
      </c>
      <c r="B110" s="197" t="str">
        <f>Données!B110</f>
        <v>Jouxtens-Mézery</v>
      </c>
      <c r="C110" s="348">
        <f>VPI!R110</f>
        <v>252946.52254237281</v>
      </c>
      <c r="D110" s="524">
        <f>Données!AP110</f>
        <v>44.297697793456138</v>
      </c>
      <c r="E110" s="411">
        <f>VPI!Q110</f>
        <v>59</v>
      </c>
      <c r="F110" s="241">
        <f t="shared" si="4"/>
        <v>14.702302206543862</v>
      </c>
      <c r="G110" s="238">
        <f>Effort!I110+Aide!I110/Taux!C110+Effort!K110/Taux!C110</f>
        <v>48</v>
      </c>
      <c r="H110" s="83">
        <f t="shared" si="5"/>
        <v>62.702302206543862</v>
      </c>
      <c r="I110" s="223">
        <f t="shared" si="6"/>
        <v>0</v>
      </c>
      <c r="J110" s="42">
        <f t="shared" si="7"/>
        <v>0</v>
      </c>
      <c r="K110" s="5"/>
      <c r="L110" s="10"/>
      <c r="M110" s="11"/>
      <c r="R110" s="11"/>
    </row>
    <row r="111" spans="1:18" x14ac:dyDescent="0.25">
      <c r="A111" s="38">
        <f>Données!A111</f>
        <v>5586</v>
      </c>
      <c r="B111" s="197" t="str">
        <f>Données!B111</f>
        <v>Lausanne</v>
      </c>
      <c r="C111" s="348">
        <f>VPI!R111</f>
        <v>6671451.3923142245</v>
      </c>
      <c r="D111" s="524">
        <f>Données!AP111</f>
        <v>7.5920879495233926</v>
      </c>
      <c r="E111" s="411">
        <f>VPI!Q111</f>
        <v>78.5</v>
      </c>
      <c r="F111" s="241">
        <f t="shared" si="4"/>
        <v>70.907912050476611</v>
      </c>
      <c r="G111" s="238">
        <f>Effort!I111+Aide!I111/Taux!C111+Effort!K111/Taux!C111</f>
        <v>8.0780273224269159</v>
      </c>
      <c r="H111" s="83">
        <f t="shared" si="5"/>
        <v>78.98593937290353</v>
      </c>
      <c r="I111" s="223">
        <f t="shared" si="6"/>
        <v>0</v>
      </c>
      <c r="J111" s="42">
        <f t="shared" si="7"/>
        <v>0</v>
      </c>
      <c r="K111" s="5"/>
      <c r="L111" s="10"/>
      <c r="M111" s="11"/>
      <c r="R111" s="11"/>
    </row>
    <row r="112" spans="1:18" x14ac:dyDescent="0.25">
      <c r="A112" s="38">
        <f>Données!A112</f>
        <v>5587</v>
      </c>
      <c r="B112" s="197" t="str">
        <f>Données!B112</f>
        <v>Le Mont-sur-Lausanne</v>
      </c>
      <c r="C112" s="348">
        <f>VPI!R112</f>
        <v>484050.33068027202</v>
      </c>
      <c r="D112" s="524">
        <f>Données!AP112</f>
        <v>23.418616403211388</v>
      </c>
      <c r="E112" s="411">
        <f>VPI!Q112</f>
        <v>73.5</v>
      </c>
      <c r="F112" s="241">
        <f t="shared" si="4"/>
        <v>50.081383596788612</v>
      </c>
      <c r="G112" s="238">
        <f>Effort!I112+Aide!I112/Taux!C112+Effort!K112/Taux!C112</f>
        <v>22.318333215093986</v>
      </c>
      <c r="H112" s="83">
        <f t="shared" si="5"/>
        <v>72.399716811882598</v>
      </c>
      <c r="I112" s="223">
        <f t="shared" si="6"/>
        <v>0</v>
      </c>
      <c r="J112" s="42">
        <f t="shared" si="7"/>
        <v>0</v>
      </c>
      <c r="K112" s="5"/>
      <c r="L112" s="10"/>
      <c r="M112" s="11"/>
      <c r="R112" s="11"/>
    </row>
    <row r="113" spans="1:18" x14ac:dyDescent="0.25">
      <c r="A113" s="38">
        <f>Données!A113</f>
        <v>5588</v>
      </c>
      <c r="B113" s="197" t="str">
        <f>Données!B113</f>
        <v>Paudex</v>
      </c>
      <c r="C113" s="348">
        <f>VPI!R113</f>
        <v>137556.51114930178</v>
      </c>
      <c r="D113" s="524">
        <f>Données!AP113</f>
        <v>47.201896533994592</v>
      </c>
      <c r="E113" s="411">
        <f>VPI!Q113</f>
        <v>66.5</v>
      </c>
      <c r="F113" s="241">
        <f t="shared" si="4"/>
        <v>19.298103466005408</v>
      </c>
      <c r="G113" s="238">
        <f>Effort!I113+Aide!I113/Taux!C113+Effort!K113/Taux!C113</f>
        <v>38.026937436068565</v>
      </c>
      <c r="H113" s="83">
        <f t="shared" si="5"/>
        <v>57.325040902073972</v>
      </c>
      <c r="I113" s="223">
        <f t="shared" si="6"/>
        <v>0</v>
      </c>
      <c r="J113" s="42">
        <f t="shared" si="7"/>
        <v>0</v>
      </c>
      <c r="K113" s="5"/>
      <c r="L113" s="10"/>
      <c r="M113" s="11"/>
      <c r="R113" s="11"/>
    </row>
    <row r="114" spans="1:18" x14ac:dyDescent="0.25">
      <c r="A114" s="38">
        <f>Données!A114</f>
        <v>5589</v>
      </c>
      <c r="B114" s="197" t="str">
        <f>Données!B114</f>
        <v>Prilly</v>
      </c>
      <c r="C114" s="348">
        <f>VPI!R114</f>
        <v>404219.10002122016</v>
      </c>
      <c r="D114" s="524">
        <f>Données!AP114</f>
        <v>5.0367081815805124</v>
      </c>
      <c r="E114" s="411">
        <f>VPI!Q114</f>
        <v>72.5</v>
      </c>
      <c r="F114" s="241">
        <f t="shared" si="4"/>
        <v>67.463291818419492</v>
      </c>
      <c r="G114" s="238">
        <f>Effort!I114+Aide!I114/Taux!C114+Effort!K114/Taux!C114</f>
        <v>2.7146749020883689</v>
      </c>
      <c r="H114" s="83">
        <f t="shared" si="5"/>
        <v>70.177966720507868</v>
      </c>
      <c r="I114" s="223">
        <f t="shared" si="6"/>
        <v>0</v>
      </c>
      <c r="J114" s="42">
        <f t="shared" si="7"/>
        <v>0</v>
      </c>
      <c r="K114" s="5"/>
      <c r="L114" s="10"/>
      <c r="M114" s="11"/>
      <c r="R114" s="11"/>
    </row>
    <row r="115" spans="1:18" x14ac:dyDescent="0.25">
      <c r="A115" s="38">
        <f>Données!A115</f>
        <v>5590</v>
      </c>
      <c r="B115" s="197" t="str">
        <f>Données!B115</f>
        <v>Pully</v>
      </c>
      <c r="C115" s="348">
        <f>VPI!R115</f>
        <v>1396472.1616393442</v>
      </c>
      <c r="D115" s="524">
        <f>Données!AP115</f>
        <v>30.189560998117585</v>
      </c>
      <c r="E115" s="411">
        <f>VPI!Q115</f>
        <v>61</v>
      </c>
      <c r="F115" s="241">
        <f t="shared" si="4"/>
        <v>30.810439001882415</v>
      </c>
      <c r="G115" s="238">
        <f>Effort!I115+Aide!I115/Taux!C115+Effort!K115/Taux!C115</f>
        <v>26.005907697486876</v>
      </c>
      <c r="H115" s="83">
        <f t="shared" si="5"/>
        <v>56.816346699369291</v>
      </c>
      <c r="I115" s="223">
        <f t="shared" si="6"/>
        <v>0</v>
      </c>
      <c r="J115" s="42">
        <f t="shared" si="7"/>
        <v>0</v>
      </c>
      <c r="K115" s="5"/>
      <c r="L115" s="10"/>
      <c r="M115" s="11"/>
      <c r="R115" s="11"/>
    </row>
    <row r="116" spans="1:18" x14ac:dyDescent="0.25">
      <c r="A116" s="38">
        <f>Données!A116</f>
        <v>5591</v>
      </c>
      <c r="B116" s="197" t="str">
        <f>Données!B116</f>
        <v>Renens</v>
      </c>
      <c r="C116" s="348">
        <f>VPI!R116</f>
        <v>592907.73419294995</v>
      </c>
      <c r="D116" s="524">
        <f>Données!AP116</f>
        <v>-15.53639944944795</v>
      </c>
      <c r="E116" s="411">
        <f>VPI!Q116</f>
        <v>77</v>
      </c>
      <c r="F116" s="241">
        <f t="shared" si="4"/>
        <v>92.536399449447956</v>
      </c>
      <c r="G116" s="238">
        <f>Effort!I116+Aide!I116/Taux!C116+Effort!K116/Taux!C116</f>
        <v>-12.972254796124155</v>
      </c>
      <c r="H116" s="83">
        <f t="shared" si="5"/>
        <v>79.564144653323808</v>
      </c>
      <c r="I116" s="223">
        <f t="shared" si="6"/>
        <v>0</v>
      </c>
      <c r="J116" s="42">
        <f t="shared" si="7"/>
        <v>0</v>
      </c>
      <c r="K116" s="5"/>
      <c r="L116" s="10"/>
      <c r="M116" s="11"/>
      <c r="R116" s="11"/>
    </row>
    <row r="117" spans="1:18" x14ac:dyDescent="0.25">
      <c r="A117" s="38">
        <f>Données!A117</f>
        <v>5592</v>
      </c>
      <c r="B117" s="197" t="str">
        <f>Données!B117</f>
        <v>Romanel-sur-Lausanne</v>
      </c>
      <c r="C117" s="348">
        <f>VPI!R117</f>
        <v>113604.64354609928</v>
      </c>
      <c r="D117" s="524">
        <f>Données!AP117</f>
        <v>14.293870113930197</v>
      </c>
      <c r="E117" s="411">
        <f>VPI!Q117</f>
        <v>70.5</v>
      </c>
      <c r="F117" s="241">
        <f t="shared" si="4"/>
        <v>56.206129886069803</v>
      </c>
      <c r="G117" s="238">
        <f>Effort!I117+Aide!I117/Taux!C117+Effort!K117/Taux!C117</f>
        <v>7.4550353180543301</v>
      </c>
      <c r="H117" s="83">
        <f t="shared" si="5"/>
        <v>63.661165204124131</v>
      </c>
      <c r="I117" s="223">
        <f t="shared" si="6"/>
        <v>0</v>
      </c>
      <c r="J117" s="42">
        <f t="shared" si="7"/>
        <v>0</v>
      </c>
      <c r="K117" s="5"/>
      <c r="L117" s="10"/>
      <c r="M117" s="11"/>
      <c r="R117" s="11"/>
    </row>
    <row r="118" spans="1:18" x14ac:dyDescent="0.25">
      <c r="A118" s="38">
        <f>Données!A118</f>
        <v>5601</v>
      </c>
      <c r="B118" s="197" t="str">
        <f>Données!B118</f>
        <v>Chexbres</v>
      </c>
      <c r="C118" s="348">
        <f>VPI!R118</f>
        <v>106015.29511111112</v>
      </c>
      <c r="D118" s="524">
        <f>Données!AP118</f>
        <v>25.299159852215311</v>
      </c>
      <c r="E118" s="411">
        <f>VPI!Q118</f>
        <v>67.5</v>
      </c>
      <c r="F118" s="241">
        <f t="shared" si="4"/>
        <v>42.200840147784689</v>
      </c>
      <c r="G118" s="238">
        <f>Effort!I118+Aide!I118/Taux!C118+Effort!K118/Taux!C118</f>
        <v>25.372215594908031</v>
      </c>
      <c r="H118" s="83">
        <f t="shared" si="5"/>
        <v>67.573055742692716</v>
      </c>
      <c r="I118" s="223">
        <f t="shared" si="6"/>
        <v>0</v>
      </c>
      <c r="J118" s="42">
        <f t="shared" si="7"/>
        <v>0</v>
      </c>
      <c r="K118" s="5"/>
      <c r="L118" s="10"/>
      <c r="M118" s="11"/>
      <c r="R118" s="11"/>
    </row>
    <row r="119" spans="1:18" x14ac:dyDescent="0.25">
      <c r="A119" s="38">
        <f>Données!A119</f>
        <v>5604</v>
      </c>
      <c r="B119" s="197" t="str">
        <f>Données!B119</f>
        <v>Forel (Lavaux)</v>
      </c>
      <c r="C119" s="348">
        <f>VPI!R119</f>
        <v>70961.315942029003</v>
      </c>
      <c r="D119" s="524">
        <f>Données!AP119</f>
        <v>17.500631815976849</v>
      </c>
      <c r="E119" s="411">
        <f>VPI!Q119</f>
        <v>69</v>
      </c>
      <c r="F119" s="241">
        <f t="shared" si="4"/>
        <v>51.499368184023155</v>
      </c>
      <c r="G119" s="238">
        <f>Effort!I119+Aide!I119/Taux!C119+Effort!K119/Taux!C119</f>
        <v>15.712028916628466</v>
      </c>
      <c r="H119" s="83">
        <f t="shared" si="5"/>
        <v>67.211397100651624</v>
      </c>
      <c r="I119" s="223">
        <f t="shared" si="6"/>
        <v>0</v>
      </c>
      <c r="J119" s="42">
        <f t="shared" si="7"/>
        <v>0</v>
      </c>
      <c r="K119" s="5"/>
      <c r="L119" s="10"/>
      <c r="M119" s="11"/>
      <c r="R119" s="11"/>
    </row>
    <row r="120" spans="1:18" x14ac:dyDescent="0.25">
      <c r="A120" s="38">
        <f>Données!A120</f>
        <v>5606</v>
      </c>
      <c r="B120" s="197" t="str">
        <f>Données!B120</f>
        <v>Lutry</v>
      </c>
      <c r="C120" s="348">
        <f>VPI!R120</f>
        <v>1212171.2253174603</v>
      </c>
      <c r="D120" s="524">
        <f>Données!AP120</f>
        <v>32.466963405285384</v>
      </c>
      <c r="E120" s="411">
        <f>VPI!Q120</f>
        <v>54</v>
      </c>
      <c r="F120" s="241">
        <f t="shared" si="4"/>
        <v>21.533036594714616</v>
      </c>
      <c r="G120" s="238">
        <f>Effort!I120+Aide!I120/Taux!C120+Effort!K120/Taux!C120</f>
        <v>37.51834566673017</v>
      </c>
      <c r="H120" s="83">
        <f t="shared" si="5"/>
        <v>59.051382261444786</v>
      </c>
      <c r="I120" s="223">
        <f t="shared" si="6"/>
        <v>0</v>
      </c>
      <c r="J120" s="42">
        <f t="shared" si="7"/>
        <v>0</v>
      </c>
      <c r="K120" s="5"/>
      <c r="L120" s="10"/>
      <c r="M120" s="11"/>
      <c r="R120" s="11"/>
    </row>
    <row r="121" spans="1:18" x14ac:dyDescent="0.25">
      <c r="A121" s="38">
        <f>Données!A121</f>
        <v>5607</v>
      </c>
      <c r="B121" s="197" t="str">
        <f>Données!B121</f>
        <v>Puidoux</v>
      </c>
      <c r="C121" s="348">
        <f>VPI!R121</f>
        <v>117496.04099650904</v>
      </c>
      <c r="D121" s="524">
        <f>Données!AP121</f>
        <v>18.686736665427265</v>
      </c>
      <c r="E121" s="411">
        <f>VPI!Q121</f>
        <v>68.5</v>
      </c>
      <c r="F121" s="241">
        <f t="shared" si="4"/>
        <v>49.813263334572738</v>
      </c>
      <c r="G121" s="238">
        <f>Effort!I121+Aide!I121/Taux!C121+Effort!K121/Taux!C121</f>
        <v>19.231591388703315</v>
      </c>
      <c r="H121" s="83">
        <f t="shared" si="5"/>
        <v>69.044854723276046</v>
      </c>
      <c r="I121" s="223">
        <f t="shared" si="6"/>
        <v>0</v>
      </c>
      <c r="J121" s="42">
        <f t="shared" si="7"/>
        <v>0</v>
      </c>
      <c r="K121" s="5"/>
      <c r="L121" s="10"/>
      <c r="M121" s="11"/>
      <c r="R121" s="11"/>
    </row>
    <row r="122" spans="1:18" x14ac:dyDescent="0.25">
      <c r="A122" s="38">
        <f>Données!A122</f>
        <v>5609</v>
      </c>
      <c r="B122" s="197" t="str">
        <f>Données!B122</f>
        <v>Rivaz</v>
      </c>
      <c r="C122" s="348">
        <f>VPI!R122</f>
        <v>14930.201612903227</v>
      </c>
      <c r="D122" s="524">
        <f>Données!AP122</f>
        <v>26.924556763635032</v>
      </c>
      <c r="E122" s="411">
        <f>VPI!Q122</f>
        <v>62</v>
      </c>
      <c r="F122" s="241">
        <f t="shared" si="4"/>
        <v>35.075443236364968</v>
      </c>
      <c r="G122" s="238">
        <f>Effort!I122+Aide!I122/Taux!C122+Effort!K122/Taux!C122</f>
        <v>26.801187264436212</v>
      </c>
      <c r="H122" s="83">
        <f t="shared" si="5"/>
        <v>61.876630500801184</v>
      </c>
      <c r="I122" s="223">
        <f t="shared" si="6"/>
        <v>0</v>
      </c>
      <c r="J122" s="42">
        <f t="shared" si="7"/>
        <v>0</v>
      </c>
      <c r="K122" s="5"/>
      <c r="L122" s="10"/>
      <c r="M122" s="11"/>
      <c r="R122" s="11"/>
    </row>
    <row r="123" spans="1:18" x14ac:dyDescent="0.25">
      <c r="A123" s="38">
        <f>Données!A123</f>
        <v>5610</v>
      </c>
      <c r="B123" s="197" t="str">
        <f>Données!B123</f>
        <v>St-Saphorin (Lavaux)</v>
      </c>
      <c r="C123" s="348">
        <f>VPI!R123</f>
        <v>21326.679629629627</v>
      </c>
      <c r="D123" s="524">
        <f>Données!AP123</f>
        <v>31.516074205789643</v>
      </c>
      <c r="E123" s="411">
        <f>VPI!Q123</f>
        <v>72</v>
      </c>
      <c r="F123" s="241">
        <f t="shared" si="4"/>
        <v>40.483925794210357</v>
      </c>
      <c r="G123" s="238">
        <f>Effort!I123+Aide!I123/Taux!C123+Effort!K123/Taux!C123</f>
        <v>29.675350686509709</v>
      </c>
      <c r="H123" s="83">
        <f t="shared" si="5"/>
        <v>70.159276480720067</v>
      </c>
      <c r="I123" s="223">
        <f t="shared" si="6"/>
        <v>0</v>
      </c>
      <c r="J123" s="42">
        <f t="shared" si="7"/>
        <v>0</v>
      </c>
      <c r="K123" s="5"/>
      <c r="L123" s="10"/>
      <c r="M123" s="11"/>
      <c r="R123" s="11"/>
    </row>
    <row r="124" spans="1:18" x14ac:dyDescent="0.25">
      <c r="A124" s="38">
        <f>Données!A124</f>
        <v>5611</v>
      </c>
      <c r="B124" s="197" t="str">
        <f>Données!B124</f>
        <v>Savigny</v>
      </c>
      <c r="C124" s="348">
        <f>VPI!R124</f>
        <v>139629.67036231884</v>
      </c>
      <c r="D124" s="524">
        <f>Données!AP124</f>
        <v>20.72244817701354</v>
      </c>
      <c r="E124" s="411">
        <f>VPI!Q124</f>
        <v>69</v>
      </c>
      <c r="F124" s="241">
        <f t="shared" si="4"/>
        <v>48.27755182298646</v>
      </c>
      <c r="G124" s="238">
        <f>Effort!I124+Aide!I124/Taux!C124+Effort!K124/Taux!C124</f>
        <v>19.645941046654343</v>
      </c>
      <c r="H124" s="83">
        <f t="shared" si="5"/>
        <v>67.923492869640796</v>
      </c>
      <c r="I124" s="223">
        <f t="shared" si="6"/>
        <v>0</v>
      </c>
      <c r="J124" s="42">
        <f t="shared" si="7"/>
        <v>0</v>
      </c>
      <c r="K124" s="5"/>
      <c r="L124" s="10"/>
      <c r="M124" s="11"/>
      <c r="R124" s="11"/>
    </row>
    <row r="125" spans="1:18" x14ac:dyDescent="0.25">
      <c r="A125" s="38">
        <f>Données!A125</f>
        <v>5613</v>
      </c>
      <c r="B125" s="197" t="str">
        <f>Données!B125</f>
        <v>Bourg-en-Lavaux</v>
      </c>
      <c r="C125" s="348">
        <f>VPI!R125</f>
        <v>367206.35685333336</v>
      </c>
      <c r="D125" s="524">
        <f>Données!AP125</f>
        <v>29.346387429960178</v>
      </c>
      <c r="E125" s="411">
        <f>VPI!Q125</f>
        <v>62.5</v>
      </c>
      <c r="F125" s="241">
        <f t="shared" si="4"/>
        <v>33.153612570039826</v>
      </c>
      <c r="G125" s="238">
        <f>Effort!I125+Aide!I125/Taux!C125+Effort!K125/Taux!C125</f>
        <v>29.580220489943905</v>
      </c>
      <c r="H125" s="83">
        <f t="shared" si="5"/>
        <v>62.733833059983731</v>
      </c>
      <c r="I125" s="223">
        <f t="shared" si="6"/>
        <v>0</v>
      </c>
      <c r="J125" s="42">
        <f t="shared" si="7"/>
        <v>0</v>
      </c>
      <c r="K125" s="5"/>
      <c r="L125" s="10"/>
      <c r="M125" s="11"/>
      <c r="R125" s="11"/>
    </row>
    <row r="126" spans="1:18" x14ac:dyDescent="0.25">
      <c r="A126" s="38">
        <f>Données!A126</f>
        <v>5621</v>
      </c>
      <c r="B126" s="197" t="str">
        <f>Données!B126</f>
        <v>Aclens</v>
      </c>
      <c r="C126" s="348">
        <f>VPI!R126</f>
        <v>39203.094076246336</v>
      </c>
      <c r="D126" s="524">
        <f>Données!AP126</f>
        <v>32.0722717696556</v>
      </c>
      <c r="E126" s="411">
        <f>VPI!Q126</f>
        <v>62</v>
      </c>
      <c r="F126" s="241">
        <f t="shared" si="4"/>
        <v>29.9277282303444</v>
      </c>
      <c r="G126" s="238">
        <f>Effort!I126+Aide!I126/Taux!C126+Effort!K126/Taux!C126</f>
        <v>33.967849091307819</v>
      </c>
      <c r="H126" s="83">
        <f t="shared" si="5"/>
        <v>63.895577321652219</v>
      </c>
      <c r="I126" s="223">
        <f t="shared" si="6"/>
        <v>0</v>
      </c>
      <c r="J126" s="42">
        <f t="shared" si="7"/>
        <v>0</v>
      </c>
      <c r="K126" s="5"/>
      <c r="L126" s="10"/>
      <c r="M126" s="11"/>
      <c r="R126" s="11"/>
    </row>
    <row r="127" spans="1:18" x14ac:dyDescent="0.25">
      <c r="A127" s="38">
        <f>Données!A127</f>
        <v>5622</v>
      </c>
      <c r="B127" s="197" t="str">
        <f>Données!B127</f>
        <v>Bremblens</v>
      </c>
      <c r="C127" s="348">
        <f>VPI!R127</f>
        <v>30852.761617647058</v>
      </c>
      <c r="D127" s="524">
        <f>Données!AP127</f>
        <v>27.738019278444892</v>
      </c>
      <c r="E127" s="411">
        <f>VPI!Q127</f>
        <v>68</v>
      </c>
      <c r="F127" s="241">
        <f t="shared" si="4"/>
        <v>40.261980721555105</v>
      </c>
      <c r="G127" s="238">
        <f>Effort!I127+Aide!I127/Taux!C127+Effort!K127/Taux!C127</f>
        <v>29.032907021046817</v>
      </c>
      <c r="H127" s="83">
        <f t="shared" si="5"/>
        <v>69.294887742601929</v>
      </c>
      <c r="I127" s="223">
        <f t="shared" si="6"/>
        <v>0</v>
      </c>
      <c r="J127" s="42">
        <f t="shared" si="7"/>
        <v>0</v>
      </c>
      <c r="K127" s="5"/>
      <c r="L127" s="10"/>
      <c r="M127" s="11"/>
      <c r="R127" s="11"/>
    </row>
    <row r="128" spans="1:18" x14ac:dyDescent="0.25">
      <c r="A128" s="38">
        <f>Données!A128</f>
        <v>5623</v>
      </c>
      <c r="B128" s="197" t="str">
        <f>Données!B128</f>
        <v>Buchillon</v>
      </c>
      <c r="C128" s="348">
        <f>VPI!R128</f>
        <v>88403.083461538452</v>
      </c>
      <c r="D128" s="524">
        <f>Données!AP128</f>
        <v>43.27615740979445</v>
      </c>
      <c r="E128" s="411">
        <f>VPI!Q128</f>
        <v>52</v>
      </c>
      <c r="F128" s="241">
        <f t="shared" si="4"/>
        <v>8.7238425902055496</v>
      </c>
      <c r="G128" s="238">
        <f>Effort!I128+Aide!I128/Taux!C128+Effort!K128/Taux!C128</f>
        <v>43.087288523462561</v>
      </c>
      <c r="H128" s="83">
        <f t="shared" si="5"/>
        <v>51.811131113668111</v>
      </c>
      <c r="I128" s="223">
        <f t="shared" si="6"/>
        <v>0</v>
      </c>
      <c r="J128" s="42">
        <f t="shared" si="7"/>
        <v>0</v>
      </c>
      <c r="K128" s="5"/>
      <c r="L128" s="10"/>
      <c r="M128" s="11"/>
      <c r="R128" s="11"/>
    </row>
    <row r="129" spans="1:18" x14ac:dyDescent="0.25">
      <c r="A129" s="38">
        <f>Données!A129</f>
        <v>5624</v>
      </c>
      <c r="B129" s="197" t="str">
        <f>Données!B129</f>
        <v>Bussigny</v>
      </c>
      <c r="C129" s="348">
        <f>VPI!R129</f>
        <v>522747.79375999991</v>
      </c>
      <c r="D129" s="524">
        <f>Données!AP129</f>
        <v>16.994594506724209</v>
      </c>
      <c r="E129" s="411">
        <f>VPI!Q129</f>
        <v>62.5</v>
      </c>
      <c r="F129" s="241">
        <f t="shared" si="4"/>
        <v>45.505405493275788</v>
      </c>
      <c r="G129" s="238">
        <f>Effort!I129+Aide!I129/Taux!C129+Effort!K129/Taux!C129</f>
        <v>20.625704091365968</v>
      </c>
      <c r="H129" s="83">
        <f t="shared" si="5"/>
        <v>66.131109584641763</v>
      </c>
      <c r="I129" s="223">
        <f t="shared" si="6"/>
        <v>0</v>
      </c>
      <c r="J129" s="42">
        <f t="shared" si="7"/>
        <v>0</v>
      </c>
      <c r="K129" s="5"/>
      <c r="L129" s="10"/>
      <c r="M129" s="11"/>
      <c r="R129" s="11"/>
    </row>
    <row r="130" spans="1:18" x14ac:dyDescent="0.25">
      <c r="A130" s="38">
        <f>Données!A130</f>
        <v>5627</v>
      </c>
      <c r="B130" s="197" t="str">
        <f>Données!B130</f>
        <v>Chavannes-près-Renens</v>
      </c>
      <c r="C130" s="348">
        <f>VPI!R130</f>
        <v>188690.75535483871</v>
      </c>
      <c r="D130" s="524">
        <f>Données!AP130</f>
        <v>-18.604475147736416</v>
      </c>
      <c r="E130" s="411">
        <f>VPI!Q130</f>
        <v>77.5</v>
      </c>
      <c r="F130" s="241">
        <f t="shared" si="4"/>
        <v>96.104475147736423</v>
      </c>
      <c r="G130" s="238">
        <f>Effort!I130+Aide!I130/Taux!C130+Effort!K130/Taux!C130</f>
        <v>-13.259536208510657</v>
      </c>
      <c r="H130" s="83">
        <f t="shared" si="5"/>
        <v>82.84493893922577</v>
      </c>
      <c r="I130" s="223">
        <f t="shared" si="6"/>
        <v>0</v>
      </c>
      <c r="J130" s="42">
        <f t="shared" si="7"/>
        <v>0</v>
      </c>
      <c r="K130" s="5"/>
      <c r="L130" s="10"/>
      <c r="M130" s="11"/>
      <c r="R130" s="11"/>
    </row>
    <row r="131" spans="1:18" x14ac:dyDescent="0.25">
      <c r="A131" s="38">
        <f>Données!A131</f>
        <v>5628</v>
      </c>
      <c r="B131" s="197" t="str">
        <f>Données!B131</f>
        <v>Chigny</v>
      </c>
      <c r="C131" s="348">
        <f>VPI!R131</f>
        <v>27627.379193548386</v>
      </c>
      <c r="D131" s="524">
        <f>Données!AP131</f>
        <v>32.416378277294953</v>
      </c>
      <c r="E131" s="411">
        <f>VPI!Q131</f>
        <v>62</v>
      </c>
      <c r="F131" s="241">
        <f t="shared" si="4"/>
        <v>29.583621722705047</v>
      </c>
      <c r="G131" s="238">
        <f>Effort!I131+Aide!I131/Taux!C131+Effort!K131/Taux!C131</f>
        <v>32.923468355568055</v>
      </c>
      <c r="H131" s="83">
        <f t="shared" si="5"/>
        <v>62.507090078273102</v>
      </c>
      <c r="I131" s="223">
        <f t="shared" si="6"/>
        <v>0</v>
      </c>
      <c r="J131" s="42">
        <f t="shared" si="7"/>
        <v>0</v>
      </c>
      <c r="K131" s="5"/>
      <c r="L131" s="10"/>
      <c r="M131" s="11"/>
      <c r="R131" s="11"/>
    </row>
    <row r="132" spans="1:18" x14ac:dyDescent="0.25">
      <c r="A132" s="38">
        <f>Données!A132</f>
        <v>5629</v>
      </c>
      <c r="B132" s="197" t="str">
        <f>Données!B132</f>
        <v>Clarmont</v>
      </c>
      <c r="C132" s="348">
        <f>VPI!R132</f>
        <v>9964.7430555555547</v>
      </c>
      <c r="D132" s="524">
        <f>Données!AP132</f>
        <v>27.636928599741729</v>
      </c>
      <c r="E132" s="411">
        <f>VPI!Q132</f>
        <v>72</v>
      </c>
      <c r="F132" s="241">
        <f t="shared" si="4"/>
        <v>44.363071400258271</v>
      </c>
      <c r="G132" s="238">
        <f>Effort!I132+Aide!I132/Taux!C132+Effort!K132/Taux!C132</f>
        <v>26.795189350385485</v>
      </c>
      <c r="H132" s="83">
        <f t="shared" si="5"/>
        <v>71.158260750643763</v>
      </c>
      <c r="I132" s="223">
        <f t="shared" si="6"/>
        <v>0</v>
      </c>
      <c r="J132" s="42">
        <f t="shared" si="7"/>
        <v>0</v>
      </c>
      <c r="K132" s="5"/>
      <c r="L132" s="10"/>
      <c r="M132" s="11"/>
      <c r="R132" s="11"/>
    </row>
    <row r="133" spans="1:18" x14ac:dyDescent="0.25">
      <c r="A133" s="38">
        <f>Données!A133</f>
        <v>5631</v>
      </c>
      <c r="B133" s="197" t="str">
        <f>Données!B133</f>
        <v>Denens</v>
      </c>
      <c r="C133" s="348">
        <f>VPI!R133</f>
        <v>41694.310588235297</v>
      </c>
      <c r="D133" s="524">
        <f>Données!AP133</f>
        <v>31.310099306135992</v>
      </c>
      <c r="E133" s="411">
        <f>VPI!Q133</f>
        <v>68</v>
      </c>
      <c r="F133" s="241">
        <f t="shared" si="4"/>
        <v>36.689900693864004</v>
      </c>
      <c r="G133" s="238">
        <f>Effort!I133+Aide!I133/Taux!C133+Effort!K133/Taux!C133</f>
        <v>30.938982938196098</v>
      </c>
      <c r="H133" s="83">
        <f t="shared" si="5"/>
        <v>67.628883632060109</v>
      </c>
      <c r="I133" s="223">
        <f t="shared" si="6"/>
        <v>0</v>
      </c>
      <c r="J133" s="42">
        <f t="shared" si="7"/>
        <v>0</v>
      </c>
      <c r="K133" s="5"/>
      <c r="L133" s="10"/>
      <c r="M133" s="11"/>
      <c r="R133" s="11"/>
    </row>
    <row r="134" spans="1:18" x14ac:dyDescent="0.25">
      <c r="A134" s="38">
        <f>Données!A134</f>
        <v>5632</v>
      </c>
      <c r="B134" s="197" t="str">
        <f>Données!B134</f>
        <v>Denges</v>
      </c>
      <c r="C134" s="348">
        <f>VPI!R134</f>
        <v>81642.531612903229</v>
      </c>
      <c r="D134" s="524">
        <f>Données!AP134</f>
        <v>25.336604270426928</v>
      </c>
      <c r="E134" s="411">
        <f>VPI!Q134</f>
        <v>62</v>
      </c>
      <c r="F134" s="241">
        <f t="shared" si="4"/>
        <v>36.663395729573068</v>
      </c>
      <c r="G134" s="238">
        <f>Effort!I134+Aide!I134/Taux!C134+Effort!K134/Taux!C134</f>
        <v>25.0023746488</v>
      </c>
      <c r="H134" s="83">
        <f t="shared" si="5"/>
        <v>61.665770378373068</v>
      </c>
      <c r="I134" s="223">
        <f t="shared" si="6"/>
        <v>0</v>
      </c>
      <c r="J134" s="42">
        <f t="shared" si="7"/>
        <v>0</v>
      </c>
      <c r="K134" s="5"/>
      <c r="L134" s="10"/>
      <c r="M134" s="11"/>
      <c r="R134" s="11"/>
    </row>
    <row r="135" spans="1:18" x14ac:dyDescent="0.25">
      <c r="A135" s="38">
        <f>Données!A135</f>
        <v>5633</v>
      </c>
      <c r="B135" s="197" t="str">
        <f>Données!B135</f>
        <v>Echandens</v>
      </c>
      <c r="C135" s="348">
        <f>VPI!R135</f>
        <v>149835.3479338843</v>
      </c>
      <c r="D135" s="524">
        <f>Données!AP135</f>
        <v>29.193563209628181</v>
      </c>
      <c r="E135" s="411">
        <f>VPI!Q135</f>
        <v>60.5</v>
      </c>
      <c r="F135" s="241">
        <f t="shared" ref="F135:F198" si="8">E135-D135</f>
        <v>31.306436790371819</v>
      </c>
      <c r="G135" s="238">
        <f>Effort!I135+Aide!I135/Taux!C135+Effort!K135/Taux!C135</f>
        <v>26.226300553395212</v>
      </c>
      <c r="H135" s="83">
        <f t="shared" ref="H135:H198" si="9">F135+G135</f>
        <v>57.532737343767032</v>
      </c>
      <c r="I135" s="223">
        <f t="shared" ref="I135:I198" si="10">IF(H135&gt;$I$5,H135-$I$5,0)</f>
        <v>0</v>
      </c>
      <c r="J135" s="42">
        <f t="shared" ref="J135:J198" si="11">-I135*C135</f>
        <v>0</v>
      </c>
      <c r="K135" s="5"/>
      <c r="L135" s="10"/>
      <c r="M135" s="11"/>
      <c r="R135" s="11"/>
    </row>
    <row r="136" spans="1:18" x14ac:dyDescent="0.25">
      <c r="A136" s="38">
        <f>Données!A136</f>
        <v>5634</v>
      </c>
      <c r="B136" s="197" t="str">
        <f>Données!B136</f>
        <v>Echichens</v>
      </c>
      <c r="C136" s="348">
        <f>VPI!R136</f>
        <v>183137.63424242428</v>
      </c>
      <c r="D136" s="524">
        <f>Données!AP136</f>
        <v>25.035936429124895</v>
      </c>
      <c r="E136" s="411">
        <f>VPI!Q136</f>
        <v>66</v>
      </c>
      <c r="F136" s="241">
        <f t="shared" si="8"/>
        <v>40.964063570875105</v>
      </c>
      <c r="G136" s="238">
        <f>Effort!I136+Aide!I136/Taux!C136+Effort!K136/Taux!C136</f>
        <v>27.581488107986644</v>
      </c>
      <c r="H136" s="83">
        <f t="shared" si="9"/>
        <v>68.545551678861756</v>
      </c>
      <c r="I136" s="223">
        <f t="shared" si="10"/>
        <v>0</v>
      </c>
      <c r="J136" s="42">
        <f t="shared" si="11"/>
        <v>0</v>
      </c>
      <c r="K136" s="5"/>
      <c r="L136" s="10"/>
      <c r="M136" s="11"/>
      <c r="R136" s="11"/>
    </row>
    <row r="137" spans="1:18" x14ac:dyDescent="0.25">
      <c r="A137" s="38">
        <f>Données!A137</f>
        <v>5635</v>
      </c>
      <c r="B137" s="197" t="str">
        <f>Données!B137</f>
        <v>Ecublens</v>
      </c>
      <c r="C137" s="348">
        <f>VPI!R137</f>
        <v>516165.47293333331</v>
      </c>
      <c r="D137" s="524">
        <f>Données!AP137</f>
        <v>25.802334834925311</v>
      </c>
      <c r="E137" s="411">
        <f>VPI!Q137</f>
        <v>62.5</v>
      </c>
      <c r="F137" s="241">
        <f t="shared" si="8"/>
        <v>36.697665165074689</v>
      </c>
      <c r="G137" s="238">
        <f>Effort!I137+Aide!I137/Taux!C137+Effort!K137/Taux!C137</f>
        <v>11.380894030733034</v>
      </c>
      <c r="H137" s="83">
        <f t="shared" si="9"/>
        <v>48.078559195807721</v>
      </c>
      <c r="I137" s="223">
        <f t="shared" si="10"/>
        <v>0</v>
      </c>
      <c r="J137" s="42">
        <f t="shared" si="11"/>
        <v>0</v>
      </c>
      <c r="K137" s="5"/>
      <c r="L137" s="10"/>
      <c r="M137" s="11"/>
      <c r="R137" s="11"/>
    </row>
    <row r="138" spans="1:18" x14ac:dyDescent="0.25">
      <c r="A138" s="38">
        <f>Données!A138</f>
        <v>5636</v>
      </c>
      <c r="B138" s="197" t="str">
        <f>Données!B138</f>
        <v>Etoy</v>
      </c>
      <c r="C138" s="348">
        <f>VPI!R138</f>
        <v>189458.35050000003</v>
      </c>
      <c r="D138" s="524">
        <f>Données!AP138</f>
        <v>30.11019375937699</v>
      </c>
      <c r="E138" s="411">
        <f>VPI!Q138</f>
        <v>60</v>
      </c>
      <c r="F138" s="241">
        <f t="shared" si="8"/>
        <v>29.88980624062301</v>
      </c>
      <c r="G138" s="238">
        <f>Effort!I138+Aide!I138/Taux!C138+Effort!K138/Taux!C138</f>
        <v>30.036133936184537</v>
      </c>
      <c r="H138" s="83">
        <f t="shared" si="9"/>
        <v>59.925940176807543</v>
      </c>
      <c r="I138" s="223">
        <f t="shared" si="10"/>
        <v>0</v>
      </c>
      <c r="J138" s="42">
        <f t="shared" si="11"/>
        <v>0</v>
      </c>
      <c r="K138" s="5"/>
      <c r="L138" s="10"/>
      <c r="M138" s="11"/>
      <c r="R138" s="11"/>
    </row>
    <row r="139" spans="1:18" x14ac:dyDescent="0.25">
      <c r="A139" s="38">
        <f>Données!A139</f>
        <v>5637</v>
      </c>
      <c r="B139" s="197" t="str">
        <f>Données!B139</f>
        <v>Lavigny</v>
      </c>
      <c r="C139" s="348">
        <f>VPI!R139</f>
        <v>36293.809863013703</v>
      </c>
      <c r="D139" s="524">
        <f>Données!AP139</f>
        <v>20.723978510820064</v>
      </c>
      <c r="E139" s="411">
        <f>VPI!Q139</f>
        <v>73</v>
      </c>
      <c r="F139" s="241">
        <f t="shared" si="8"/>
        <v>52.276021489179939</v>
      </c>
      <c r="G139" s="238">
        <f>Effort!I139+Aide!I139/Taux!C139+Effort!K139/Taux!C139</f>
        <v>18.713784907059857</v>
      </c>
      <c r="H139" s="83">
        <f t="shared" si="9"/>
        <v>70.9898063962398</v>
      </c>
      <c r="I139" s="223">
        <f t="shared" si="10"/>
        <v>0</v>
      </c>
      <c r="J139" s="42">
        <f t="shared" si="11"/>
        <v>0</v>
      </c>
      <c r="K139" s="5"/>
      <c r="L139" s="10"/>
      <c r="M139" s="11"/>
      <c r="R139" s="11"/>
    </row>
    <row r="140" spans="1:18" x14ac:dyDescent="0.25">
      <c r="A140" s="38">
        <f>Données!A140</f>
        <v>5638</v>
      </c>
      <c r="B140" s="197" t="str">
        <f>Données!B140</f>
        <v>Lonay</v>
      </c>
      <c r="C140" s="348">
        <f>VPI!R140</f>
        <v>153893.84090909091</v>
      </c>
      <c r="D140" s="524">
        <f>Données!AP140</f>
        <v>29.670661709047426</v>
      </c>
      <c r="E140" s="411">
        <f>VPI!Q140</f>
        <v>55</v>
      </c>
      <c r="F140" s="241">
        <f t="shared" si="8"/>
        <v>25.329338290952574</v>
      </c>
      <c r="G140" s="238">
        <f>Effort!I140+Aide!I140/Taux!C140+Effort!K140/Taux!C140</f>
        <v>27.811857913321074</v>
      </c>
      <c r="H140" s="83">
        <f t="shared" si="9"/>
        <v>53.141196204273648</v>
      </c>
      <c r="I140" s="223">
        <f t="shared" si="10"/>
        <v>0</v>
      </c>
      <c r="J140" s="42">
        <f t="shared" si="11"/>
        <v>0</v>
      </c>
      <c r="K140" s="5"/>
      <c r="L140" s="10"/>
      <c r="M140" s="11"/>
      <c r="R140" s="11"/>
    </row>
    <row r="141" spans="1:18" x14ac:dyDescent="0.25">
      <c r="A141" s="38">
        <f>Données!A141</f>
        <v>5639</v>
      </c>
      <c r="B141" s="197" t="str">
        <f>Données!B141</f>
        <v>Lully</v>
      </c>
      <c r="C141" s="348">
        <f>VPI!R141</f>
        <v>52242.173114754092</v>
      </c>
      <c r="D141" s="524">
        <f>Données!AP141</f>
        <v>32.666897351810789</v>
      </c>
      <c r="E141" s="411">
        <f>VPI!Q141</f>
        <v>61</v>
      </c>
      <c r="F141" s="241">
        <f t="shared" si="8"/>
        <v>28.333102648189211</v>
      </c>
      <c r="G141" s="238">
        <f>Effort!I141+Aide!I141/Taux!C141+Effort!K141/Taux!C141</f>
        <v>32.14501632642871</v>
      </c>
      <c r="H141" s="83">
        <f t="shared" si="9"/>
        <v>60.478118974617921</v>
      </c>
      <c r="I141" s="223">
        <f t="shared" si="10"/>
        <v>0</v>
      </c>
      <c r="J141" s="42">
        <f t="shared" si="11"/>
        <v>0</v>
      </c>
      <c r="K141" s="5"/>
      <c r="L141" s="10"/>
      <c r="M141" s="11"/>
      <c r="R141" s="11"/>
    </row>
    <row r="142" spans="1:18" x14ac:dyDescent="0.25">
      <c r="A142" s="38">
        <f>Données!A142</f>
        <v>5640</v>
      </c>
      <c r="B142" s="197" t="str">
        <f>Données!B142</f>
        <v>Lussy-sur-Morges</v>
      </c>
      <c r="C142" s="348">
        <f>VPI!R142</f>
        <v>57771.49271317829</v>
      </c>
      <c r="D142" s="524">
        <f>Données!AP142</f>
        <v>39.950806193764585</v>
      </c>
      <c r="E142" s="411">
        <f>VPI!Q142</f>
        <v>64.5</v>
      </c>
      <c r="F142" s="241">
        <f t="shared" si="8"/>
        <v>24.549193806235415</v>
      </c>
      <c r="G142" s="238">
        <f>Effort!I142+Aide!I142/Taux!C142+Effort!K142/Taux!C142</f>
        <v>36.46973341771389</v>
      </c>
      <c r="H142" s="83">
        <f t="shared" si="9"/>
        <v>61.018927223949305</v>
      </c>
      <c r="I142" s="223">
        <f t="shared" si="10"/>
        <v>0</v>
      </c>
      <c r="J142" s="42">
        <f t="shared" si="11"/>
        <v>0</v>
      </c>
      <c r="K142" s="5"/>
      <c r="L142" s="10"/>
      <c r="M142" s="11"/>
      <c r="R142" s="11"/>
    </row>
    <row r="143" spans="1:18" x14ac:dyDescent="0.25">
      <c r="A143" s="38">
        <f>Données!A143</f>
        <v>5642</v>
      </c>
      <c r="B143" s="197" t="str">
        <f>Données!B143</f>
        <v>Morges</v>
      </c>
      <c r="C143" s="348">
        <f>VPI!R143</f>
        <v>980547.23447761196</v>
      </c>
      <c r="D143" s="524">
        <f>Données!AP143</f>
        <v>21.694953838872117</v>
      </c>
      <c r="E143" s="411">
        <f>VPI!Q143</f>
        <v>67</v>
      </c>
      <c r="F143" s="241">
        <f t="shared" si="8"/>
        <v>45.305046161127883</v>
      </c>
      <c r="G143" s="238">
        <f>Effort!I143+Aide!I143/Taux!C143+Effort!K143/Taux!C143</f>
        <v>19.55625773045465</v>
      </c>
      <c r="H143" s="83">
        <f t="shared" si="9"/>
        <v>64.861303891582537</v>
      </c>
      <c r="I143" s="223">
        <f t="shared" si="10"/>
        <v>0</v>
      </c>
      <c r="J143" s="42">
        <f t="shared" si="11"/>
        <v>0</v>
      </c>
      <c r="K143" s="5"/>
      <c r="L143" s="10"/>
      <c r="M143" s="11"/>
      <c r="R143" s="11"/>
    </row>
    <row r="144" spans="1:18" x14ac:dyDescent="0.25">
      <c r="A144" s="38">
        <f>Données!A144</f>
        <v>5643</v>
      </c>
      <c r="B144" s="197" t="str">
        <f>Données!B144</f>
        <v>Préverenges</v>
      </c>
      <c r="C144" s="348">
        <f>VPI!R144</f>
        <v>252724.38943999997</v>
      </c>
      <c r="D144" s="524">
        <f>Données!AP144</f>
        <v>23.580062684023339</v>
      </c>
      <c r="E144" s="411">
        <f>VPI!Q144</f>
        <v>62.5</v>
      </c>
      <c r="F144" s="241">
        <f t="shared" si="8"/>
        <v>38.919937315976661</v>
      </c>
      <c r="G144" s="238">
        <f>Effort!I144+Aide!I144/Taux!C144+Effort!K144/Taux!C144</f>
        <v>22.865415818759718</v>
      </c>
      <c r="H144" s="83">
        <f t="shared" si="9"/>
        <v>61.785353134736383</v>
      </c>
      <c r="I144" s="223">
        <f t="shared" si="10"/>
        <v>0</v>
      </c>
      <c r="J144" s="42">
        <f t="shared" si="11"/>
        <v>0</v>
      </c>
      <c r="K144" s="5"/>
      <c r="L144" s="10"/>
      <c r="M144" s="11"/>
      <c r="R144" s="11"/>
    </row>
    <row r="145" spans="1:18" x14ac:dyDescent="0.25">
      <c r="A145" s="38">
        <f>Données!A145</f>
        <v>5645</v>
      </c>
      <c r="B145" s="197" t="str">
        <f>Données!B145</f>
        <v>Romanel-sur-Morges</v>
      </c>
      <c r="C145" s="348">
        <f>VPI!R145</f>
        <v>23768.997321428575</v>
      </c>
      <c r="D145" s="524">
        <f>Données!AP145</f>
        <v>30.364870537888006</v>
      </c>
      <c r="E145" s="411">
        <f>VPI!Q145</f>
        <v>56</v>
      </c>
      <c r="F145" s="241">
        <f t="shared" si="8"/>
        <v>25.635129462111994</v>
      </c>
      <c r="G145" s="238">
        <f>Effort!I145+Aide!I145/Taux!C145+Effort!K145/Taux!C145</f>
        <v>29.115796843023933</v>
      </c>
      <c r="H145" s="83">
        <f t="shared" si="9"/>
        <v>54.750926305135927</v>
      </c>
      <c r="I145" s="223">
        <f t="shared" si="10"/>
        <v>0</v>
      </c>
      <c r="J145" s="42">
        <f t="shared" si="11"/>
        <v>0</v>
      </c>
      <c r="K145" s="5"/>
      <c r="L145" s="10"/>
      <c r="M145" s="11"/>
      <c r="R145" s="11"/>
    </row>
    <row r="146" spans="1:18" x14ac:dyDescent="0.25">
      <c r="A146" s="38">
        <f>Données!A146</f>
        <v>5646</v>
      </c>
      <c r="B146" s="197" t="str">
        <f>Données!B146</f>
        <v>Saint-Prex</v>
      </c>
      <c r="C146" s="348">
        <f>VPI!R146</f>
        <v>515578.26330508466</v>
      </c>
      <c r="D146" s="524">
        <f>Données!AP146</f>
        <v>35.111281801415565</v>
      </c>
      <c r="E146" s="411">
        <f>VPI!Q146</f>
        <v>59</v>
      </c>
      <c r="F146" s="241">
        <f t="shared" si="8"/>
        <v>23.888718198584435</v>
      </c>
      <c r="G146" s="238">
        <f>Effort!I146+Aide!I146/Taux!C146+Effort!K146/Taux!C146</f>
        <v>34.437091210021393</v>
      </c>
      <c r="H146" s="83">
        <f t="shared" si="9"/>
        <v>58.325809408605828</v>
      </c>
      <c r="I146" s="223">
        <f t="shared" si="10"/>
        <v>0</v>
      </c>
      <c r="J146" s="42">
        <f t="shared" si="11"/>
        <v>0</v>
      </c>
      <c r="K146" s="5"/>
      <c r="L146" s="10"/>
      <c r="M146" s="11"/>
      <c r="R146" s="11"/>
    </row>
    <row r="147" spans="1:18" x14ac:dyDescent="0.25">
      <c r="A147" s="38">
        <f>Données!A147</f>
        <v>5648</v>
      </c>
      <c r="B147" s="197" t="str">
        <f>Données!B147</f>
        <v>Saint-Sulpice</v>
      </c>
      <c r="C147" s="348">
        <f>VPI!R147</f>
        <v>417040.44568181824</v>
      </c>
      <c r="D147" s="524">
        <f>Données!AP147</f>
        <v>32.678407814258158</v>
      </c>
      <c r="E147" s="411">
        <f>VPI!Q147</f>
        <v>55</v>
      </c>
      <c r="F147" s="241">
        <f t="shared" si="8"/>
        <v>22.321592185741842</v>
      </c>
      <c r="G147" s="238">
        <f>Effort!I147+Aide!I147/Taux!C147+Effort!K147/Taux!C147</f>
        <v>33.133092162947491</v>
      </c>
      <c r="H147" s="83">
        <f t="shared" si="9"/>
        <v>55.454684348689334</v>
      </c>
      <c r="I147" s="223">
        <f t="shared" si="10"/>
        <v>0</v>
      </c>
      <c r="J147" s="42">
        <f t="shared" si="11"/>
        <v>0</v>
      </c>
      <c r="K147" s="5"/>
      <c r="L147" s="10"/>
      <c r="M147" s="11"/>
      <c r="R147" s="11"/>
    </row>
    <row r="148" spans="1:18" x14ac:dyDescent="0.25">
      <c r="A148" s="38">
        <f>Données!A148</f>
        <v>5649</v>
      </c>
      <c r="B148" s="197" t="str">
        <f>Données!B148</f>
        <v>Tolochenaz</v>
      </c>
      <c r="C148" s="348">
        <f>VPI!R148</f>
        <v>173464.05234375002</v>
      </c>
      <c r="D148" s="524">
        <f>Données!AP148</f>
        <v>36.041463686557279</v>
      </c>
      <c r="E148" s="411">
        <f>VPI!Q148</f>
        <v>64</v>
      </c>
      <c r="F148" s="241">
        <f t="shared" si="8"/>
        <v>27.958536313442721</v>
      </c>
      <c r="G148" s="238">
        <f>Effort!I148+Aide!I148/Taux!C148+Effort!K148/Taux!C148</f>
        <v>37.982472585690843</v>
      </c>
      <c r="H148" s="83">
        <f t="shared" si="9"/>
        <v>65.941008899133564</v>
      </c>
      <c r="I148" s="223">
        <f t="shared" si="10"/>
        <v>0</v>
      </c>
      <c r="J148" s="42">
        <f t="shared" si="11"/>
        <v>0</v>
      </c>
      <c r="K148" s="5"/>
      <c r="L148" s="10"/>
      <c r="M148" s="11"/>
      <c r="R148" s="11"/>
    </row>
    <row r="149" spans="1:18" x14ac:dyDescent="0.25">
      <c r="A149" s="38">
        <f>Données!A149</f>
        <v>5650</v>
      </c>
      <c r="B149" s="197" t="str">
        <f>Données!B149</f>
        <v>Vaux-sur-Morges</v>
      </c>
      <c r="C149" s="348">
        <f>VPI!R149</f>
        <v>90407.863928571445</v>
      </c>
      <c r="D149" s="524">
        <f>Données!AP149</f>
        <v>57.959022712080113</v>
      </c>
      <c r="E149" s="411">
        <f>VPI!Q149</f>
        <v>56</v>
      </c>
      <c r="F149" s="241">
        <f t="shared" si="8"/>
        <v>-1.9590227120801131</v>
      </c>
      <c r="G149" s="238">
        <f>Effort!I149+Aide!I149/Taux!C149+Effort!K149/Taux!C149</f>
        <v>48</v>
      </c>
      <c r="H149" s="83">
        <f t="shared" si="9"/>
        <v>46.040977287919887</v>
      </c>
      <c r="I149" s="223">
        <f t="shared" si="10"/>
        <v>0</v>
      </c>
      <c r="J149" s="42">
        <f t="shared" si="11"/>
        <v>0</v>
      </c>
      <c r="K149" s="5"/>
      <c r="L149" s="10"/>
      <c r="M149" s="11"/>
      <c r="R149" s="11"/>
    </row>
    <row r="150" spans="1:18" x14ac:dyDescent="0.25">
      <c r="A150" s="38">
        <f>Données!A150</f>
        <v>5651</v>
      </c>
      <c r="B150" s="197" t="str">
        <f>Données!B150</f>
        <v>Villars-Sainte-Croix</v>
      </c>
      <c r="C150" s="348">
        <f>VPI!R150</f>
        <v>56008.147272727285</v>
      </c>
      <c r="D150" s="524">
        <f>Données!AP150</f>
        <v>31.374911077557531</v>
      </c>
      <c r="E150" s="411">
        <f>VPI!Q150</f>
        <v>60.5</v>
      </c>
      <c r="F150" s="241">
        <f t="shared" si="8"/>
        <v>29.125088922442469</v>
      </c>
      <c r="G150" s="238">
        <f>Effort!I150+Aide!I150/Taux!C150+Effort!K150/Taux!C150</f>
        <v>30.468072356735519</v>
      </c>
      <c r="H150" s="83">
        <f t="shared" si="9"/>
        <v>59.593161279177991</v>
      </c>
      <c r="I150" s="223">
        <f t="shared" si="10"/>
        <v>0</v>
      </c>
      <c r="J150" s="42">
        <f t="shared" si="11"/>
        <v>0</v>
      </c>
      <c r="K150" s="5"/>
      <c r="L150" s="10"/>
      <c r="M150" s="11"/>
      <c r="R150" s="11"/>
    </row>
    <row r="151" spans="1:18" x14ac:dyDescent="0.25">
      <c r="A151" s="38">
        <f>Données!A151</f>
        <v>5652</v>
      </c>
      <c r="B151" s="197" t="str">
        <f>Données!B151</f>
        <v>Villars-sous-Yens</v>
      </c>
      <c r="C151" s="348">
        <f>VPI!R151</f>
        <v>25957.212521929825</v>
      </c>
      <c r="D151" s="524">
        <f>Données!AP151</f>
        <v>23.927594865418332</v>
      </c>
      <c r="E151" s="411">
        <f>VPI!Q151</f>
        <v>76</v>
      </c>
      <c r="F151" s="241">
        <f t="shared" si="8"/>
        <v>52.072405134581672</v>
      </c>
      <c r="G151" s="238">
        <f>Effort!I151+Aide!I151/Taux!C151+Effort!K151/Taux!C151</f>
        <v>24.389025386870049</v>
      </c>
      <c r="H151" s="83">
        <f t="shared" si="9"/>
        <v>76.461430521451717</v>
      </c>
      <c r="I151" s="223">
        <f t="shared" si="10"/>
        <v>0</v>
      </c>
      <c r="J151" s="42">
        <f t="shared" si="11"/>
        <v>0</v>
      </c>
      <c r="K151" s="5"/>
      <c r="L151" s="10"/>
      <c r="M151" s="11"/>
      <c r="R151" s="11"/>
    </row>
    <row r="152" spans="1:18" x14ac:dyDescent="0.25">
      <c r="A152" s="38">
        <f>Données!A152</f>
        <v>5653</v>
      </c>
      <c r="B152" s="197" t="str">
        <f>Données!B152</f>
        <v>Vufflens-le-Château</v>
      </c>
      <c r="C152" s="348">
        <f>VPI!R152</f>
        <v>71315.778290598289</v>
      </c>
      <c r="D152" s="524">
        <f>Données!AP152</f>
        <v>35.031043499808696</v>
      </c>
      <c r="E152" s="411">
        <f>VPI!Q152</f>
        <v>58.5</v>
      </c>
      <c r="F152" s="241">
        <f t="shared" si="8"/>
        <v>23.468956500191304</v>
      </c>
      <c r="G152" s="238">
        <f>Effort!I152+Aide!I152/Taux!C152+Effort!K152/Taux!C152</f>
        <v>36.106141694015925</v>
      </c>
      <c r="H152" s="83">
        <f t="shared" si="9"/>
        <v>59.575098194207229</v>
      </c>
      <c r="I152" s="223">
        <f t="shared" si="10"/>
        <v>0</v>
      </c>
      <c r="J152" s="42">
        <f t="shared" si="11"/>
        <v>0</v>
      </c>
      <c r="K152" s="5"/>
      <c r="L152" s="10"/>
      <c r="M152" s="11"/>
      <c r="R152" s="11"/>
    </row>
    <row r="153" spans="1:18" x14ac:dyDescent="0.25">
      <c r="A153" s="38">
        <f>Données!A153</f>
        <v>5654</v>
      </c>
      <c r="B153" s="197" t="str">
        <f>Données!B153</f>
        <v>Vullierens</v>
      </c>
      <c r="C153" s="348">
        <f>VPI!R153</f>
        <v>20741.31131578947</v>
      </c>
      <c r="D153" s="524">
        <f>Données!AP153</f>
        <v>20.290611793518941</v>
      </c>
      <c r="E153" s="411">
        <f>VPI!Q153</f>
        <v>76</v>
      </c>
      <c r="F153" s="241">
        <f t="shared" si="8"/>
        <v>55.709388206481059</v>
      </c>
      <c r="G153" s="238">
        <f>Effort!I153+Aide!I153/Taux!C153+Effort!K153/Taux!C153</f>
        <v>20.084473440307569</v>
      </c>
      <c r="H153" s="83">
        <f t="shared" si="9"/>
        <v>75.793861646788628</v>
      </c>
      <c r="I153" s="223">
        <f t="shared" si="10"/>
        <v>0</v>
      </c>
      <c r="J153" s="42">
        <f t="shared" si="11"/>
        <v>0</v>
      </c>
      <c r="K153" s="5"/>
      <c r="L153" s="10"/>
      <c r="M153" s="11"/>
      <c r="R153" s="11"/>
    </row>
    <row r="154" spans="1:18" x14ac:dyDescent="0.25">
      <c r="A154" s="38">
        <f>Données!A154</f>
        <v>5655</v>
      </c>
      <c r="B154" s="197" t="str">
        <f>Données!B154</f>
        <v>Yens</v>
      </c>
      <c r="C154" s="348">
        <f>VPI!R154</f>
        <v>81488.710349650341</v>
      </c>
      <c r="D154" s="524">
        <f>Données!AP154</f>
        <v>26.958871780481694</v>
      </c>
      <c r="E154" s="411">
        <f>VPI!Q154</f>
        <v>71.5</v>
      </c>
      <c r="F154" s="241">
        <f t="shared" si="8"/>
        <v>44.541128219518306</v>
      </c>
      <c r="G154" s="238">
        <f>Effort!I154+Aide!I154/Taux!C154+Effort!K154/Taux!C154</f>
        <v>28.385127879226179</v>
      </c>
      <c r="H154" s="83">
        <f t="shared" si="9"/>
        <v>72.926256098744489</v>
      </c>
      <c r="I154" s="223">
        <f t="shared" si="10"/>
        <v>0</v>
      </c>
      <c r="J154" s="42">
        <f t="shared" si="11"/>
        <v>0</v>
      </c>
      <c r="K154" s="5"/>
      <c r="L154" s="10"/>
      <c r="M154" s="11"/>
      <c r="R154" s="11"/>
    </row>
    <row r="155" spans="1:18" x14ac:dyDescent="0.25">
      <c r="A155" s="38">
        <f>Données!A155</f>
        <v>5656</v>
      </c>
      <c r="B155" s="197" t="str">
        <f>Données!B155</f>
        <v>Hautemorges</v>
      </c>
      <c r="C155" s="348">
        <f>VPI!R155</f>
        <v>168934.99020689653</v>
      </c>
      <c r="D155" s="524">
        <f>Données!AP155</f>
        <v>23.21</v>
      </c>
      <c r="E155" s="411">
        <f>VPI!Q155</f>
        <v>72.5</v>
      </c>
      <c r="F155" s="241">
        <f t="shared" si="8"/>
        <v>49.29</v>
      </c>
      <c r="G155" s="238">
        <f>Effort!I155+Aide!I155/Taux!C155+Effort!K155/Taux!C155</f>
        <v>17.28467017336218</v>
      </c>
      <c r="H155" s="83">
        <f t="shared" si="9"/>
        <v>66.574670173362179</v>
      </c>
      <c r="I155" s="223">
        <f t="shared" si="10"/>
        <v>0</v>
      </c>
      <c r="J155" s="42">
        <f t="shared" si="11"/>
        <v>0</v>
      </c>
      <c r="K155" s="5"/>
      <c r="L155" s="10"/>
      <c r="M155" s="11"/>
      <c r="R155" s="11"/>
    </row>
    <row r="156" spans="1:18" x14ac:dyDescent="0.25">
      <c r="A156" s="38">
        <f>Données!A156</f>
        <v>5661</v>
      </c>
      <c r="B156" s="197" t="str">
        <f>Données!B156</f>
        <v>Boulens</v>
      </c>
      <c r="C156" s="348">
        <f>VPI!R156</f>
        <v>11008.776923076925</v>
      </c>
      <c r="D156" s="524">
        <f>Données!AP156</f>
        <v>14.49647014161059</v>
      </c>
      <c r="E156" s="411">
        <f>VPI!Q156</f>
        <v>71.5</v>
      </c>
      <c r="F156" s="241">
        <f t="shared" si="8"/>
        <v>57.003529858389413</v>
      </c>
      <c r="G156" s="238">
        <f>Effort!I156+Aide!I156/Taux!C156+Effort!K156/Taux!C156</f>
        <v>12.364876425303802</v>
      </c>
      <c r="H156" s="83">
        <f t="shared" si="9"/>
        <v>69.368406283693218</v>
      </c>
      <c r="I156" s="223">
        <f t="shared" si="10"/>
        <v>0</v>
      </c>
      <c r="J156" s="42">
        <f t="shared" si="11"/>
        <v>0</v>
      </c>
      <c r="K156" s="5"/>
      <c r="L156" s="10"/>
      <c r="M156" s="11"/>
      <c r="R156" s="11"/>
    </row>
    <row r="157" spans="1:18" x14ac:dyDescent="0.25">
      <c r="A157" s="38">
        <f>Données!A157</f>
        <v>5663</v>
      </c>
      <c r="B157" s="197" t="str">
        <f>Données!B157</f>
        <v>Bussy-sur-Moudon</v>
      </c>
      <c r="C157" s="348">
        <f>VPI!R157</f>
        <v>6460.7661146496821</v>
      </c>
      <c r="D157" s="524">
        <f>Données!AP157</f>
        <v>-3.5263371875997129</v>
      </c>
      <c r="E157" s="411">
        <f>VPI!Q157</f>
        <v>78.5</v>
      </c>
      <c r="F157" s="241">
        <f t="shared" si="8"/>
        <v>82.026337187599708</v>
      </c>
      <c r="G157" s="238">
        <f>Effort!I157+Aide!I157/Taux!C157+Effort!K157/Taux!C157</f>
        <v>5.1450995804859723</v>
      </c>
      <c r="H157" s="83">
        <f t="shared" si="9"/>
        <v>87.171436768085684</v>
      </c>
      <c r="I157" s="223">
        <f t="shared" si="10"/>
        <v>0</v>
      </c>
      <c r="J157" s="42">
        <f t="shared" si="11"/>
        <v>0</v>
      </c>
      <c r="K157" s="5"/>
      <c r="L157" s="10"/>
      <c r="M157" s="11"/>
      <c r="R157" s="11"/>
    </row>
    <row r="158" spans="1:18" x14ac:dyDescent="0.25">
      <c r="A158" s="38">
        <f>Données!A158</f>
        <v>5665</v>
      </c>
      <c r="B158" s="197" t="str">
        <f>Données!B158</f>
        <v>Chavannes-sur-Moudon</v>
      </c>
      <c r="C158" s="348">
        <f>VPI!R158</f>
        <v>5786.5608571428584</v>
      </c>
      <c r="D158" s="524">
        <f>Données!AP158</f>
        <v>2.0712709481829124</v>
      </c>
      <c r="E158" s="411">
        <f>VPI!Q158</f>
        <v>70</v>
      </c>
      <c r="F158" s="241">
        <f t="shared" si="8"/>
        <v>67.928729051817086</v>
      </c>
      <c r="G158" s="238">
        <f>Effort!I158+Aide!I158/Taux!C158+Effort!K158/Taux!C158</f>
        <v>9.8391059300610308</v>
      </c>
      <c r="H158" s="83">
        <f t="shared" si="9"/>
        <v>77.76783498187811</v>
      </c>
      <c r="I158" s="223">
        <f t="shared" si="10"/>
        <v>0</v>
      </c>
      <c r="J158" s="42">
        <f t="shared" si="11"/>
        <v>0</v>
      </c>
      <c r="K158" s="5"/>
      <c r="L158" s="10"/>
      <c r="M158" s="11"/>
      <c r="R158" s="11"/>
    </row>
    <row r="159" spans="1:18" x14ac:dyDescent="0.25">
      <c r="A159" s="38">
        <f>Données!A159</f>
        <v>5669</v>
      </c>
      <c r="B159" s="197" t="str">
        <f>Données!B159</f>
        <v>Curtilles</v>
      </c>
      <c r="C159" s="348">
        <f>VPI!R159</f>
        <v>8428.0279452054765</v>
      </c>
      <c r="D159" s="524">
        <f>Données!AP159</f>
        <v>15.535929509168787</v>
      </c>
      <c r="E159" s="411">
        <f>VPI!Q159</f>
        <v>73</v>
      </c>
      <c r="F159" s="241">
        <f t="shared" si="8"/>
        <v>57.464070490831212</v>
      </c>
      <c r="G159" s="238">
        <f>Effort!I159+Aide!I159/Taux!C159+Effort!K159/Taux!C159</f>
        <v>11.663032721425013</v>
      </c>
      <c r="H159" s="83">
        <f t="shared" si="9"/>
        <v>69.12710321225623</v>
      </c>
      <c r="I159" s="223">
        <f t="shared" si="10"/>
        <v>0</v>
      </c>
      <c r="J159" s="42">
        <f t="shared" si="11"/>
        <v>0</v>
      </c>
      <c r="K159" s="5"/>
      <c r="L159" s="10"/>
      <c r="M159" s="11"/>
      <c r="R159" s="11"/>
    </row>
    <row r="160" spans="1:18" x14ac:dyDescent="0.25">
      <c r="A160" s="38">
        <f>Données!A160</f>
        <v>5671</v>
      </c>
      <c r="B160" s="197" t="str">
        <f>Données!B160</f>
        <v>Dompierre</v>
      </c>
      <c r="C160" s="348">
        <f>VPI!R160</f>
        <v>6751.3758974358971</v>
      </c>
      <c r="D160" s="524">
        <f>Données!AP160</f>
        <v>5.6550053553193553</v>
      </c>
      <c r="E160" s="411">
        <f>VPI!Q160</f>
        <v>78</v>
      </c>
      <c r="F160" s="241">
        <f t="shared" si="8"/>
        <v>72.344994644680639</v>
      </c>
      <c r="G160" s="238">
        <f>Effort!I160+Aide!I160/Taux!C160+Effort!K160/Taux!C160</f>
        <v>7.1640728067328183</v>
      </c>
      <c r="H160" s="83">
        <f t="shared" si="9"/>
        <v>79.509067451413458</v>
      </c>
      <c r="I160" s="223">
        <f t="shared" si="10"/>
        <v>0</v>
      </c>
      <c r="J160" s="42">
        <f t="shared" si="11"/>
        <v>0</v>
      </c>
      <c r="K160" s="5"/>
      <c r="L160" s="10"/>
      <c r="M160" s="11"/>
      <c r="R160" s="11"/>
    </row>
    <row r="161" spans="1:18" x14ac:dyDescent="0.25">
      <c r="A161" s="38">
        <f>Données!A161</f>
        <v>5673</v>
      </c>
      <c r="B161" s="197" t="str">
        <f>Données!B161</f>
        <v>Hermenches</v>
      </c>
      <c r="C161" s="348">
        <f>VPI!R161</f>
        <v>9675.0074829931946</v>
      </c>
      <c r="D161" s="524">
        <f>Données!AP161</f>
        <v>10.028649394387617</v>
      </c>
      <c r="E161" s="411">
        <f>VPI!Q161</f>
        <v>73.5</v>
      </c>
      <c r="F161" s="241">
        <f t="shared" si="8"/>
        <v>63.471350605612386</v>
      </c>
      <c r="G161" s="238">
        <f>Effort!I161+Aide!I161/Taux!C161+Effort!K161/Taux!C161</f>
        <v>7.0283440471831469</v>
      </c>
      <c r="H161" s="83">
        <f t="shared" si="9"/>
        <v>70.49969465279554</v>
      </c>
      <c r="I161" s="223">
        <f t="shared" si="10"/>
        <v>0</v>
      </c>
      <c r="J161" s="42">
        <f t="shared" si="11"/>
        <v>0</v>
      </c>
      <c r="K161" s="5"/>
      <c r="L161" s="10"/>
      <c r="M161" s="11"/>
      <c r="R161" s="11"/>
    </row>
    <row r="162" spans="1:18" x14ac:dyDescent="0.25">
      <c r="A162" s="38">
        <f>Données!A162</f>
        <v>5674</v>
      </c>
      <c r="B162" s="197" t="str">
        <f>Données!B162</f>
        <v>Lovatens</v>
      </c>
      <c r="C162" s="348">
        <f>VPI!R162</f>
        <v>3538.9463999999998</v>
      </c>
      <c r="D162" s="524">
        <f>Données!AP162</f>
        <v>11.417593387189671</v>
      </c>
      <c r="E162" s="411">
        <f>VPI!Q162</f>
        <v>75</v>
      </c>
      <c r="F162" s="241">
        <f t="shared" si="8"/>
        <v>63.582406612810331</v>
      </c>
      <c r="G162" s="238">
        <f>Effort!I162+Aide!I162/Taux!C162+Effort!K162/Taux!C162</f>
        <v>4.1184026146816262</v>
      </c>
      <c r="H162" s="83">
        <f t="shared" si="9"/>
        <v>67.700809227491959</v>
      </c>
      <c r="I162" s="223">
        <f t="shared" si="10"/>
        <v>0</v>
      </c>
      <c r="J162" s="42">
        <f t="shared" si="11"/>
        <v>0</v>
      </c>
      <c r="K162" s="5"/>
      <c r="L162" s="10"/>
      <c r="M162" s="11"/>
      <c r="R162" s="11"/>
    </row>
    <row r="163" spans="1:18" x14ac:dyDescent="0.25">
      <c r="A163" s="38">
        <f>Données!A163</f>
        <v>5675</v>
      </c>
      <c r="B163" s="197" t="str">
        <f>Données!B163</f>
        <v>Lucens</v>
      </c>
      <c r="C163" s="348">
        <f>VPI!R163</f>
        <v>92803.818404185746</v>
      </c>
      <c r="D163" s="524">
        <f>Données!AP163</f>
        <v>-1.9078726133116397</v>
      </c>
      <c r="E163" s="411">
        <f>VPI!Q163</f>
        <v>69.5</v>
      </c>
      <c r="F163" s="241">
        <f t="shared" si="8"/>
        <v>71.407872613311639</v>
      </c>
      <c r="G163" s="238">
        <f>Effort!I163+Aide!I163/Taux!C163+Effort!K163/Taux!C163</f>
        <v>-11.59228770575967</v>
      </c>
      <c r="H163" s="83">
        <f t="shared" si="9"/>
        <v>59.815584907551965</v>
      </c>
      <c r="I163" s="223">
        <f t="shared" si="10"/>
        <v>0</v>
      </c>
      <c r="J163" s="42">
        <f t="shared" si="11"/>
        <v>0</v>
      </c>
      <c r="K163" s="5"/>
      <c r="L163" s="10"/>
      <c r="M163" s="11"/>
      <c r="R163" s="11"/>
    </row>
    <row r="164" spans="1:18" x14ac:dyDescent="0.25">
      <c r="A164" s="38">
        <f>Données!A164</f>
        <v>5678</v>
      </c>
      <c r="B164" s="197" t="str">
        <f>Données!B164</f>
        <v>Moudon</v>
      </c>
      <c r="C164" s="348">
        <f>VPI!R164</f>
        <v>130675.7416551724</v>
      </c>
      <c r="D164" s="524">
        <f>Données!AP164</f>
        <v>-17.91780532672507</v>
      </c>
      <c r="E164" s="411">
        <f>VPI!Q164</f>
        <v>72.5</v>
      </c>
      <c r="F164" s="241">
        <f t="shared" si="8"/>
        <v>90.417805326725073</v>
      </c>
      <c r="G164" s="238">
        <f>Effort!I164+Aide!I164/Taux!C164+Effort!K164/Taux!C164</f>
        <v>-12.376210938285993</v>
      </c>
      <c r="H164" s="83">
        <f t="shared" si="9"/>
        <v>78.04159438843908</v>
      </c>
      <c r="I164" s="223">
        <f t="shared" si="10"/>
        <v>0</v>
      </c>
      <c r="J164" s="42">
        <f t="shared" si="11"/>
        <v>0</v>
      </c>
      <c r="K164" s="5"/>
      <c r="L164" s="10"/>
      <c r="M164" s="11"/>
      <c r="R164" s="11"/>
    </row>
    <row r="165" spans="1:18" x14ac:dyDescent="0.25">
      <c r="A165" s="38">
        <f>Données!A165</f>
        <v>5680</v>
      </c>
      <c r="B165" s="197" t="str">
        <f>Données!B165</f>
        <v>Ogens</v>
      </c>
      <c r="C165" s="348">
        <f>VPI!R165</f>
        <v>10088.612863247865</v>
      </c>
      <c r="D165" s="524">
        <f>Données!AP165</f>
        <v>6.0441160707446988</v>
      </c>
      <c r="E165" s="411">
        <f>VPI!Q165</f>
        <v>78</v>
      </c>
      <c r="F165" s="241">
        <f t="shared" si="8"/>
        <v>71.955883929255307</v>
      </c>
      <c r="G165" s="238">
        <f>Effort!I165+Aide!I165/Taux!C165+Effort!K165/Taux!C165</f>
        <v>13.199331777184367</v>
      </c>
      <c r="H165" s="83">
        <f t="shared" si="9"/>
        <v>85.155215706439677</v>
      </c>
      <c r="I165" s="223">
        <f t="shared" si="10"/>
        <v>0</v>
      </c>
      <c r="J165" s="42">
        <f t="shared" si="11"/>
        <v>0</v>
      </c>
      <c r="K165" s="5"/>
      <c r="L165" s="10"/>
      <c r="M165" s="11"/>
      <c r="R165" s="11"/>
    </row>
    <row r="166" spans="1:18" x14ac:dyDescent="0.25">
      <c r="A166" s="38">
        <f>Données!A166</f>
        <v>5683</v>
      </c>
      <c r="B166" s="197" t="str">
        <f>Données!B166</f>
        <v>Prévonloup</v>
      </c>
      <c r="C166" s="348">
        <f>VPI!R166</f>
        <v>5181.5891034482765</v>
      </c>
      <c r="D166" s="524">
        <f>Données!AP166</f>
        <v>6.3178602989642156</v>
      </c>
      <c r="E166" s="411">
        <f>VPI!Q166</f>
        <v>72.5</v>
      </c>
      <c r="F166" s="241">
        <f t="shared" si="8"/>
        <v>66.18213970103578</v>
      </c>
      <c r="G166" s="238">
        <f>Effort!I166+Aide!I166/Taux!C166+Effort!K166/Taux!C166</f>
        <v>3.1781461012769157</v>
      </c>
      <c r="H166" s="83">
        <f t="shared" si="9"/>
        <v>69.360285802312688</v>
      </c>
      <c r="I166" s="223">
        <f t="shared" si="10"/>
        <v>0</v>
      </c>
      <c r="J166" s="42">
        <f t="shared" si="11"/>
        <v>0</v>
      </c>
      <c r="K166" s="5"/>
      <c r="L166" s="10"/>
      <c r="M166" s="11"/>
      <c r="R166" s="11"/>
    </row>
    <row r="167" spans="1:18" x14ac:dyDescent="0.25">
      <c r="A167" s="38">
        <f>Données!A167</f>
        <v>5684</v>
      </c>
      <c r="B167" s="197" t="str">
        <f>Données!B167</f>
        <v>Rossenges</v>
      </c>
      <c r="C167" s="348">
        <f>VPI!R167</f>
        <v>7033.3142000000007</v>
      </c>
      <c r="D167" s="524">
        <f>Données!AP167</f>
        <v>18.676643175524021</v>
      </c>
      <c r="E167" s="411">
        <f>VPI!Q167</f>
        <v>75</v>
      </c>
      <c r="F167" s="241">
        <f t="shared" si="8"/>
        <v>56.323356824475979</v>
      </c>
      <c r="G167" s="238">
        <f>Effort!I167+Aide!I167/Taux!C167+Effort!K167/Taux!C167</f>
        <v>36.571269573524518</v>
      </c>
      <c r="H167" s="83">
        <f t="shared" si="9"/>
        <v>92.894626398000497</v>
      </c>
      <c r="I167" s="223">
        <f t="shared" si="10"/>
        <v>0</v>
      </c>
      <c r="J167" s="42">
        <f t="shared" si="11"/>
        <v>0</v>
      </c>
      <c r="K167" s="5"/>
      <c r="L167" s="10"/>
      <c r="M167" s="11"/>
      <c r="R167" s="11"/>
    </row>
    <row r="168" spans="1:18" x14ac:dyDescent="0.25">
      <c r="A168" s="38">
        <f>Données!A168</f>
        <v>5688</v>
      </c>
      <c r="B168" s="197" t="str">
        <f>Données!B168</f>
        <v>Syens</v>
      </c>
      <c r="C168" s="348">
        <f>VPI!R168</f>
        <v>5277.0104615384616</v>
      </c>
      <c r="D168" s="524">
        <f>Données!AP168</f>
        <v>23.102382640777282</v>
      </c>
      <c r="E168" s="411">
        <f>VPI!Q168</f>
        <v>65</v>
      </c>
      <c r="F168" s="241">
        <f t="shared" si="8"/>
        <v>41.897617359222721</v>
      </c>
      <c r="G168" s="238">
        <f>Effort!I168+Aide!I168/Taux!C168+Effort!K168/Taux!C168</f>
        <v>18.310625114425491</v>
      </c>
      <c r="H168" s="83">
        <f t="shared" si="9"/>
        <v>60.208242473648212</v>
      </c>
      <c r="I168" s="223">
        <f t="shared" si="10"/>
        <v>0</v>
      </c>
      <c r="J168" s="42">
        <f t="shared" si="11"/>
        <v>0</v>
      </c>
      <c r="K168" s="5"/>
      <c r="L168" s="10"/>
      <c r="M168" s="11"/>
      <c r="R168" s="11"/>
    </row>
    <row r="169" spans="1:18" x14ac:dyDescent="0.25">
      <c r="A169" s="38">
        <f>Données!A169</f>
        <v>5690</v>
      </c>
      <c r="B169" s="197" t="str">
        <f>Données!B169</f>
        <v>Villars-le-Comte</v>
      </c>
      <c r="C169" s="348">
        <f>VPI!R169</f>
        <v>4331.3836666666666</v>
      </c>
      <c r="D169" s="524">
        <f>Données!AP169</f>
        <v>9.811980845597013</v>
      </c>
      <c r="E169" s="411">
        <f>VPI!Q169</f>
        <v>70</v>
      </c>
      <c r="F169" s="241">
        <f t="shared" si="8"/>
        <v>60.188019154402987</v>
      </c>
      <c r="G169" s="238">
        <f>Effort!I169+Aide!I169/Taux!C169+Effort!K169/Taux!C169</f>
        <v>16.103853381107534</v>
      </c>
      <c r="H169" s="83">
        <f t="shared" si="9"/>
        <v>76.291872535510521</v>
      </c>
      <c r="I169" s="223">
        <f t="shared" si="10"/>
        <v>0</v>
      </c>
      <c r="J169" s="42">
        <f t="shared" si="11"/>
        <v>0</v>
      </c>
      <c r="K169" s="5"/>
      <c r="L169" s="10"/>
      <c r="M169" s="11"/>
      <c r="R169" s="11"/>
    </row>
    <row r="170" spans="1:18" x14ac:dyDescent="0.25">
      <c r="A170" s="38">
        <f>Données!A170</f>
        <v>5692</v>
      </c>
      <c r="B170" s="197" t="str">
        <f>Données!B170</f>
        <v>Vucherens</v>
      </c>
      <c r="C170" s="348">
        <f>VPI!R170</f>
        <v>18948.300519480523</v>
      </c>
      <c r="D170" s="524">
        <f>Données!AP170</f>
        <v>12.410454905275152</v>
      </c>
      <c r="E170" s="411">
        <f>VPI!Q170</f>
        <v>77</v>
      </c>
      <c r="F170" s="241">
        <f t="shared" si="8"/>
        <v>64.589545094724855</v>
      </c>
      <c r="G170" s="238">
        <f>Effort!I170+Aide!I170/Taux!C170+Effort!K170/Taux!C170</f>
        <v>11.557776522038298</v>
      </c>
      <c r="H170" s="83">
        <f t="shared" si="9"/>
        <v>76.147321616763151</v>
      </c>
      <c r="I170" s="223">
        <f t="shared" si="10"/>
        <v>0</v>
      </c>
      <c r="J170" s="42">
        <f t="shared" si="11"/>
        <v>0</v>
      </c>
      <c r="K170" s="5"/>
      <c r="L170" s="10"/>
      <c r="M170" s="11"/>
      <c r="R170" s="11"/>
    </row>
    <row r="171" spans="1:18" x14ac:dyDescent="0.25">
      <c r="A171" s="38">
        <f>Données!A171</f>
        <v>5693</v>
      </c>
      <c r="B171" s="197" t="str">
        <f>Données!B171</f>
        <v>Montanaire</v>
      </c>
      <c r="C171" s="348">
        <f>VPI!R171</f>
        <v>80078.044999999984</v>
      </c>
      <c r="D171" s="524">
        <f>Données!AP171</f>
        <v>5.9845115236161428</v>
      </c>
      <c r="E171" s="411">
        <f>VPI!Q171</f>
        <v>70</v>
      </c>
      <c r="F171" s="241">
        <f t="shared" si="8"/>
        <v>64.015488476383851</v>
      </c>
      <c r="G171" s="238">
        <f>Effort!I171+Aide!I171/Taux!C171+Effort!K171/Taux!C171</f>
        <v>7.2095744666042059</v>
      </c>
      <c r="H171" s="83">
        <f t="shared" si="9"/>
        <v>71.22506294298806</v>
      </c>
      <c r="I171" s="223">
        <f t="shared" si="10"/>
        <v>0</v>
      </c>
      <c r="J171" s="42">
        <f t="shared" si="11"/>
        <v>0</v>
      </c>
      <c r="K171" s="5"/>
      <c r="L171" s="10"/>
      <c r="M171" s="11"/>
      <c r="R171" s="11"/>
    </row>
    <row r="172" spans="1:18" x14ac:dyDescent="0.25">
      <c r="A172" s="38">
        <f>Données!A172</f>
        <v>5701</v>
      </c>
      <c r="B172" s="197" t="str">
        <f>Données!B172</f>
        <v>Arnex-sur-Nyon</v>
      </c>
      <c r="C172" s="348">
        <f>VPI!R172</f>
        <v>12996.826285714285</v>
      </c>
      <c r="D172" s="524">
        <f>Données!AP172</f>
        <v>32.997916489324467</v>
      </c>
      <c r="E172" s="411">
        <f>VPI!Q172</f>
        <v>70</v>
      </c>
      <c r="F172" s="241">
        <f t="shared" si="8"/>
        <v>37.002083510675533</v>
      </c>
      <c r="G172" s="238">
        <f>Effort!I172+Aide!I172/Taux!C172+Effort!K172/Taux!C172</f>
        <v>29.950225146919557</v>
      </c>
      <c r="H172" s="83">
        <f t="shared" si="9"/>
        <v>66.952308657595097</v>
      </c>
      <c r="I172" s="223">
        <f t="shared" si="10"/>
        <v>0</v>
      </c>
      <c r="J172" s="42">
        <f t="shared" si="11"/>
        <v>0</v>
      </c>
      <c r="K172" s="5"/>
      <c r="L172" s="10"/>
      <c r="M172" s="11"/>
      <c r="R172" s="11"/>
    </row>
    <row r="173" spans="1:18" x14ac:dyDescent="0.25">
      <c r="A173" s="38">
        <f>Données!A173</f>
        <v>5702</v>
      </c>
      <c r="B173" s="197" t="str">
        <f>Données!B173</f>
        <v>Arzier-Le Muids</v>
      </c>
      <c r="C173" s="348">
        <f>VPI!R173</f>
        <v>187984.45531250001</v>
      </c>
      <c r="D173" s="524">
        <f>Données!AP173</f>
        <v>28.74679314608375</v>
      </c>
      <c r="E173" s="411">
        <f>VPI!Q173</f>
        <v>64</v>
      </c>
      <c r="F173" s="241">
        <f t="shared" si="8"/>
        <v>35.253206853916254</v>
      </c>
      <c r="G173" s="238">
        <f>Effort!I173+Aide!I173/Taux!C173+Effort!K173/Taux!C173</f>
        <v>30.017715833494108</v>
      </c>
      <c r="H173" s="83">
        <f t="shared" si="9"/>
        <v>65.270922687410362</v>
      </c>
      <c r="I173" s="223">
        <f t="shared" si="10"/>
        <v>0</v>
      </c>
      <c r="J173" s="42">
        <f t="shared" si="11"/>
        <v>0</v>
      </c>
      <c r="K173" s="5"/>
      <c r="L173" s="10"/>
      <c r="M173" s="11"/>
      <c r="R173" s="11"/>
    </row>
    <row r="174" spans="1:18" x14ac:dyDescent="0.25">
      <c r="A174" s="38">
        <f>Données!A174</f>
        <v>5703</v>
      </c>
      <c r="B174" s="197" t="str">
        <f>Données!B174</f>
        <v>Bassins</v>
      </c>
      <c r="C174" s="348">
        <f>VPI!R174</f>
        <v>65441.246975369453</v>
      </c>
      <c r="D174" s="524">
        <f>Données!AP174</f>
        <v>24.81736067408449</v>
      </c>
      <c r="E174" s="411">
        <f>VPI!Q174</f>
        <v>72.5</v>
      </c>
      <c r="F174" s="241">
        <f t="shared" si="8"/>
        <v>47.68263932591551</v>
      </c>
      <c r="G174" s="238">
        <f>Effort!I174+Aide!I174/Taux!C174+Effort!K174/Taux!C174</f>
        <v>24.269697282699035</v>
      </c>
      <c r="H174" s="83">
        <f t="shared" si="9"/>
        <v>71.952336608614544</v>
      </c>
      <c r="I174" s="223">
        <f t="shared" si="10"/>
        <v>0</v>
      </c>
      <c r="J174" s="42">
        <f t="shared" si="11"/>
        <v>0</v>
      </c>
      <c r="K174" s="5"/>
      <c r="L174" s="10"/>
      <c r="M174" s="11"/>
      <c r="R174" s="11"/>
    </row>
    <row r="175" spans="1:18" x14ac:dyDescent="0.25">
      <c r="A175" s="38">
        <f>Données!A175</f>
        <v>5704</v>
      </c>
      <c r="B175" s="197" t="str">
        <f>Données!B175</f>
        <v>Begnins</v>
      </c>
      <c r="C175" s="348">
        <f>VPI!R175</f>
        <v>129730.03685333332</v>
      </c>
      <c r="D175" s="524">
        <f>Données!AP175</f>
        <v>40.422784337461025</v>
      </c>
      <c r="E175" s="411">
        <f>VPI!Q175</f>
        <v>62.5</v>
      </c>
      <c r="F175" s="241">
        <f t="shared" si="8"/>
        <v>22.077215662538975</v>
      </c>
      <c r="G175" s="238">
        <f>Effort!I175+Aide!I175/Taux!C175+Effort!K175/Taux!C175</f>
        <v>31.516107932104319</v>
      </c>
      <c r="H175" s="83">
        <f t="shared" si="9"/>
        <v>53.593323594643294</v>
      </c>
      <c r="I175" s="223">
        <f t="shared" si="10"/>
        <v>0</v>
      </c>
      <c r="J175" s="42">
        <f t="shared" si="11"/>
        <v>0</v>
      </c>
      <c r="K175" s="5"/>
      <c r="L175" s="10"/>
      <c r="M175" s="11"/>
      <c r="R175" s="11"/>
    </row>
    <row r="176" spans="1:18" x14ac:dyDescent="0.25">
      <c r="A176" s="38">
        <f>Données!A176</f>
        <v>5705</v>
      </c>
      <c r="B176" s="197" t="str">
        <f>Données!B176</f>
        <v>Bogis-Bossey</v>
      </c>
      <c r="C176" s="348">
        <f>VPI!R176</f>
        <v>51044.070201342278</v>
      </c>
      <c r="D176" s="524">
        <f>Données!AP176</f>
        <v>31.351349142717599</v>
      </c>
      <c r="E176" s="411">
        <f>VPI!Q176</f>
        <v>74.5</v>
      </c>
      <c r="F176" s="241">
        <f t="shared" si="8"/>
        <v>43.148650857282405</v>
      </c>
      <c r="G176" s="238">
        <f>Effort!I176+Aide!I176/Taux!C176+Effort!K176/Taux!C176</f>
        <v>30.371547646019984</v>
      </c>
      <c r="H176" s="83">
        <f t="shared" si="9"/>
        <v>73.520198503302396</v>
      </c>
      <c r="I176" s="223">
        <f t="shared" si="10"/>
        <v>0</v>
      </c>
      <c r="J176" s="42">
        <f t="shared" si="11"/>
        <v>0</v>
      </c>
      <c r="K176" s="5"/>
      <c r="L176" s="10"/>
      <c r="M176" s="11"/>
      <c r="R176" s="11"/>
    </row>
    <row r="177" spans="1:18" x14ac:dyDescent="0.25">
      <c r="A177" s="38">
        <f>Données!A177</f>
        <v>5706</v>
      </c>
      <c r="B177" s="197" t="str">
        <f>Données!B177</f>
        <v>Borex</v>
      </c>
      <c r="C177" s="348">
        <f>VPI!R177</f>
        <v>156857.9796491228</v>
      </c>
      <c r="D177" s="524">
        <f>Données!AP177</f>
        <v>30.949683807793424</v>
      </c>
      <c r="E177" s="411">
        <f>VPI!Q177</f>
        <v>57</v>
      </c>
      <c r="F177" s="241">
        <f t="shared" si="8"/>
        <v>26.050316192206576</v>
      </c>
      <c r="G177" s="238">
        <f>Effort!I177+Aide!I177/Taux!C177+Effort!K177/Taux!C177</f>
        <v>44.892843691997257</v>
      </c>
      <c r="H177" s="83">
        <f t="shared" si="9"/>
        <v>70.943159884203837</v>
      </c>
      <c r="I177" s="223">
        <f t="shared" si="10"/>
        <v>0</v>
      </c>
      <c r="J177" s="42">
        <f t="shared" si="11"/>
        <v>0</v>
      </c>
      <c r="K177" s="5"/>
      <c r="L177" s="10"/>
      <c r="M177" s="11"/>
      <c r="R177" s="11"/>
    </row>
    <row r="178" spans="1:18" x14ac:dyDescent="0.25">
      <c r="A178" s="38">
        <f>Données!A178</f>
        <v>5707</v>
      </c>
      <c r="B178" s="197" t="str">
        <f>Données!B178</f>
        <v>Chavannes-de-Bogis</v>
      </c>
      <c r="C178" s="348">
        <f>VPI!R178</f>
        <v>86804.197126436775</v>
      </c>
      <c r="D178" s="524">
        <f>Données!AP178</f>
        <v>31.953930542812945</v>
      </c>
      <c r="E178" s="411">
        <f>VPI!Q178</f>
        <v>58</v>
      </c>
      <c r="F178" s="241">
        <f t="shared" si="8"/>
        <v>26.046069457187055</v>
      </c>
      <c r="G178" s="238">
        <f>Effort!I178+Aide!I178/Taux!C178+Effort!K178/Taux!C178</f>
        <v>31.853148300779122</v>
      </c>
      <c r="H178" s="83">
        <f t="shared" si="9"/>
        <v>57.899217757966177</v>
      </c>
      <c r="I178" s="223">
        <f t="shared" si="10"/>
        <v>0</v>
      </c>
      <c r="J178" s="42">
        <f t="shared" si="11"/>
        <v>0</v>
      </c>
      <c r="K178" s="5"/>
      <c r="L178" s="10"/>
      <c r="M178" s="11"/>
      <c r="R178" s="11"/>
    </row>
    <row r="179" spans="1:18" x14ac:dyDescent="0.25">
      <c r="A179" s="38">
        <f>Données!A179</f>
        <v>5708</v>
      </c>
      <c r="B179" s="197" t="str">
        <f>Données!B179</f>
        <v>Chavannes-des-Bois</v>
      </c>
      <c r="C179" s="348">
        <f>VPI!R179</f>
        <v>68806.761617647047</v>
      </c>
      <c r="D179" s="524">
        <f>Données!AP179</f>
        <v>33.56930142890549</v>
      </c>
      <c r="E179" s="411">
        <f>VPI!Q179</f>
        <v>68</v>
      </c>
      <c r="F179" s="241">
        <f t="shared" si="8"/>
        <v>34.43069857109451</v>
      </c>
      <c r="G179" s="238">
        <f>Effort!I179+Aide!I179/Taux!C179+Effort!K179/Taux!C179</f>
        <v>33.650004523132381</v>
      </c>
      <c r="H179" s="83">
        <f t="shared" si="9"/>
        <v>68.080703094226891</v>
      </c>
      <c r="I179" s="223">
        <f t="shared" si="10"/>
        <v>0</v>
      </c>
      <c r="J179" s="42">
        <f t="shared" si="11"/>
        <v>0</v>
      </c>
      <c r="K179" s="5"/>
      <c r="L179" s="10"/>
      <c r="M179" s="11"/>
      <c r="R179" s="11"/>
    </row>
    <row r="180" spans="1:18" x14ac:dyDescent="0.25">
      <c r="A180" s="38">
        <f>Données!A180</f>
        <v>5709</v>
      </c>
      <c r="B180" s="197" t="str">
        <f>Données!B180</f>
        <v>Chéserex</v>
      </c>
      <c r="C180" s="348">
        <f>VPI!R180</f>
        <v>90983.63491228073</v>
      </c>
      <c r="D180" s="524">
        <f>Données!AP180</f>
        <v>32.880538137603345</v>
      </c>
      <c r="E180" s="411">
        <f>VPI!Q180</f>
        <v>57</v>
      </c>
      <c r="F180" s="241">
        <f t="shared" si="8"/>
        <v>24.119461862396655</v>
      </c>
      <c r="G180" s="238">
        <f>Effort!I180+Aide!I180/Taux!C180+Effort!K180/Taux!C180</f>
        <v>33.397666176226238</v>
      </c>
      <c r="H180" s="83">
        <f t="shared" si="9"/>
        <v>57.517128038622893</v>
      </c>
      <c r="I180" s="223">
        <f t="shared" si="10"/>
        <v>0</v>
      </c>
      <c r="J180" s="42">
        <f t="shared" si="11"/>
        <v>0</v>
      </c>
      <c r="K180" s="5"/>
      <c r="L180" s="10"/>
      <c r="M180" s="11"/>
      <c r="R180" s="11"/>
    </row>
    <row r="181" spans="1:18" x14ac:dyDescent="0.25">
      <c r="A181" s="38">
        <f>Données!A181</f>
        <v>5710</v>
      </c>
      <c r="B181" s="197" t="str">
        <f>Données!B181</f>
        <v>Coinsins</v>
      </c>
      <c r="C181" s="348">
        <f>VPI!R181</f>
        <v>33549.646470588232</v>
      </c>
      <c r="D181" s="524">
        <f>Données!AP181</f>
        <v>36.218506905666679</v>
      </c>
      <c r="E181" s="411">
        <f>VPI!Q181</f>
        <v>51</v>
      </c>
      <c r="F181" s="241">
        <f t="shared" si="8"/>
        <v>14.781493094333321</v>
      </c>
      <c r="G181" s="238">
        <f>Effort!I181+Aide!I181/Taux!C181+Effort!K181/Taux!C181</f>
        <v>32.478621632137646</v>
      </c>
      <c r="H181" s="83">
        <f t="shared" si="9"/>
        <v>47.260114726470967</v>
      </c>
      <c r="I181" s="223">
        <f t="shared" si="10"/>
        <v>0</v>
      </c>
      <c r="J181" s="42">
        <f t="shared" si="11"/>
        <v>0</v>
      </c>
      <c r="K181" s="5"/>
      <c r="L181" s="10"/>
      <c r="M181" s="11"/>
      <c r="R181" s="11"/>
    </row>
    <row r="182" spans="1:18" x14ac:dyDescent="0.25">
      <c r="A182" s="38">
        <f>Données!A182</f>
        <v>5711</v>
      </c>
      <c r="B182" s="197" t="str">
        <f>Données!B182</f>
        <v>Commugny</v>
      </c>
      <c r="C182" s="348">
        <f>VPI!R182</f>
        <v>305461.09360323887</v>
      </c>
      <c r="D182" s="524">
        <f>Données!AP182</f>
        <v>36.9412331537659</v>
      </c>
      <c r="E182" s="411">
        <f>VPI!Q182</f>
        <v>57</v>
      </c>
      <c r="F182" s="241">
        <f t="shared" si="8"/>
        <v>20.0587668462341</v>
      </c>
      <c r="G182" s="238">
        <f>Effort!I182+Aide!I182/Taux!C182+Effort!K182/Taux!C182</f>
        <v>38.478866640750148</v>
      </c>
      <c r="H182" s="83">
        <f t="shared" si="9"/>
        <v>58.537633486984248</v>
      </c>
      <c r="I182" s="223">
        <f t="shared" si="10"/>
        <v>0</v>
      </c>
      <c r="J182" s="42">
        <f t="shared" si="11"/>
        <v>0</v>
      </c>
      <c r="K182" s="5"/>
      <c r="L182" s="10"/>
      <c r="M182" s="11"/>
      <c r="R182" s="11"/>
    </row>
    <row r="183" spans="1:18" x14ac:dyDescent="0.25">
      <c r="A183" s="38">
        <f>Données!A183</f>
        <v>5712</v>
      </c>
      <c r="B183" s="197" t="str">
        <f>Données!B183</f>
        <v>Coppet</v>
      </c>
      <c r="C183" s="348">
        <f>VPI!R183</f>
        <v>422782.58779874217</v>
      </c>
      <c r="D183" s="524">
        <f>Données!AP183</f>
        <v>38.037232224813991</v>
      </c>
      <c r="E183" s="411">
        <f>VPI!Q183</f>
        <v>53</v>
      </c>
      <c r="F183" s="241">
        <f t="shared" si="8"/>
        <v>14.962767775186009</v>
      </c>
      <c r="G183" s="238">
        <f>Effort!I183+Aide!I183/Taux!C183+Effort!K183/Taux!C183</f>
        <v>42.162715243177061</v>
      </c>
      <c r="H183" s="83">
        <f t="shared" si="9"/>
        <v>57.12548301836307</v>
      </c>
      <c r="I183" s="223">
        <f t="shared" si="10"/>
        <v>0</v>
      </c>
      <c r="J183" s="42">
        <f t="shared" si="11"/>
        <v>0</v>
      </c>
      <c r="K183" s="5"/>
      <c r="L183" s="10"/>
      <c r="M183" s="11"/>
      <c r="R183" s="11"/>
    </row>
    <row r="184" spans="1:18" x14ac:dyDescent="0.25">
      <c r="A184" s="38">
        <f>Données!A184</f>
        <v>5713</v>
      </c>
      <c r="B184" s="197" t="str">
        <f>Données!B184</f>
        <v>Crans</v>
      </c>
      <c r="C184" s="348">
        <f>VPI!R184</f>
        <v>284269.17355932208</v>
      </c>
      <c r="D184" s="524">
        <f>Données!AP184</f>
        <v>42.611100485799973</v>
      </c>
      <c r="E184" s="411">
        <f>VPI!Q184</f>
        <v>59</v>
      </c>
      <c r="F184" s="241">
        <f t="shared" si="8"/>
        <v>16.388899514200027</v>
      </c>
      <c r="G184" s="238">
        <f>Effort!I184+Aide!I184/Taux!C184+Effort!K184/Taux!C184</f>
        <v>42.276421329787929</v>
      </c>
      <c r="H184" s="83">
        <f t="shared" si="9"/>
        <v>58.665320843987956</v>
      </c>
      <c r="I184" s="223">
        <f t="shared" si="10"/>
        <v>0</v>
      </c>
      <c r="J184" s="42">
        <f t="shared" si="11"/>
        <v>0</v>
      </c>
      <c r="K184" s="5"/>
      <c r="L184" s="10"/>
      <c r="M184" s="11"/>
      <c r="R184" s="11"/>
    </row>
    <row r="185" spans="1:18" x14ac:dyDescent="0.25">
      <c r="A185" s="38">
        <f>Données!A185</f>
        <v>5714</v>
      </c>
      <c r="B185" s="197" t="str">
        <f>Données!B185</f>
        <v>Crassier</v>
      </c>
      <c r="C185" s="348">
        <f>VPI!R185</f>
        <v>62524.655789473691</v>
      </c>
      <c r="D185" s="524">
        <f>Données!AP185</f>
        <v>28.155699452486139</v>
      </c>
      <c r="E185" s="411">
        <f>VPI!Q185</f>
        <v>66.5</v>
      </c>
      <c r="F185" s="241">
        <f t="shared" si="8"/>
        <v>38.344300547513861</v>
      </c>
      <c r="G185" s="238">
        <f>Effort!I185+Aide!I185/Taux!C185+Effort!K185/Taux!C185</f>
        <v>28.02499804207168</v>
      </c>
      <c r="H185" s="83">
        <f t="shared" si="9"/>
        <v>66.36929858958554</v>
      </c>
      <c r="I185" s="223">
        <f t="shared" si="10"/>
        <v>0</v>
      </c>
      <c r="J185" s="42">
        <f t="shared" si="11"/>
        <v>0</v>
      </c>
      <c r="K185" s="5"/>
      <c r="L185" s="10"/>
      <c r="M185" s="11"/>
      <c r="R185" s="11"/>
    </row>
    <row r="186" spans="1:18" x14ac:dyDescent="0.25">
      <c r="A186" s="38">
        <f>Données!A186</f>
        <v>5715</v>
      </c>
      <c r="B186" s="197" t="str">
        <f>Données!B186</f>
        <v>Duillier</v>
      </c>
      <c r="C186" s="348">
        <f>VPI!R186</f>
        <v>60550.113787878792</v>
      </c>
      <c r="D186" s="524">
        <f>Données!AP186</f>
        <v>31.517191779927614</v>
      </c>
      <c r="E186" s="411">
        <f>VPI!Q186</f>
        <v>66</v>
      </c>
      <c r="F186" s="241">
        <f t="shared" si="8"/>
        <v>34.482808220072386</v>
      </c>
      <c r="G186" s="238">
        <f>Effort!I186+Aide!I186/Taux!C186+Effort!K186/Taux!C186</f>
        <v>29.447843214611094</v>
      </c>
      <c r="H186" s="83">
        <f t="shared" si="9"/>
        <v>63.930651434683483</v>
      </c>
      <c r="I186" s="223">
        <f t="shared" si="10"/>
        <v>0</v>
      </c>
      <c r="J186" s="42">
        <f t="shared" si="11"/>
        <v>0</v>
      </c>
      <c r="K186" s="5"/>
      <c r="L186" s="10"/>
      <c r="M186" s="11"/>
      <c r="R186" s="11"/>
    </row>
    <row r="187" spans="1:18" x14ac:dyDescent="0.25">
      <c r="A187" s="38">
        <f>Données!A187</f>
        <v>5716</v>
      </c>
      <c r="B187" s="197" t="str">
        <f>Données!B187</f>
        <v>Eysins</v>
      </c>
      <c r="C187" s="348">
        <f>VPI!R187</f>
        <v>232571.69630252098</v>
      </c>
      <c r="D187" s="524">
        <f>Données!AP187</f>
        <v>42.300609849685735</v>
      </c>
      <c r="E187" s="411">
        <f>VPI!Q187</f>
        <v>59.5</v>
      </c>
      <c r="F187" s="241">
        <f t="shared" si="8"/>
        <v>17.199390150314265</v>
      </c>
      <c r="G187" s="238">
        <f>Effort!I187+Aide!I187/Taux!C187+Effort!K187/Taux!C187</f>
        <v>44.187913292330904</v>
      </c>
      <c r="H187" s="83">
        <f t="shared" si="9"/>
        <v>61.38730344264517</v>
      </c>
      <c r="I187" s="223">
        <f t="shared" si="10"/>
        <v>0</v>
      </c>
      <c r="J187" s="42">
        <f t="shared" si="11"/>
        <v>0</v>
      </c>
      <c r="K187" s="5"/>
      <c r="L187" s="10"/>
      <c r="M187" s="11"/>
      <c r="R187" s="11"/>
    </row>
    <row r="188" spans="1:18" x14ac:dyDescent="0.25">
      <c r="A188" s="38">
        <f>Données!A188</f>
        <v>5717</v>
      </c>
      <c r="B188" s="197" t="str">
        <f>Données!B188</f>
        <v>Founex</v>
      </c>
      <c r="C188" s="348">
        <f>VPI!R188</f>
        <v>361582.97087719297</v>
      </c>
      <c r="D188" s="524">
        <f>Données!AP188</f>
        <v>38.117729228444745</v>
      </c>
      <c r="E188" s="411">
        <f>VPI!Q188</f>
        <v>57</v>
      </c>
      <c r="F188" s="241">
        <f t="shared" si="8"/>
        <v>18.882270771555255</v>
      </c>
      <c r="G188" s="238">
        <f>Effort!I188+Aide!I188/Taux!C188+Effort!K188/Taux!C188</f>
        <v>36.691239849102843</v>
      </c>
      <c r="H188" s="83">
        <f t="shared" si="9"/>
        <v>55.573510620658098</v>
      </c>
      <c r="I188" s="223">
        <f t="shared" si="10"/>
        <v>0</v>
      </c>
      <c r="J188" s="42">
        <f t="shared" si="11"/>
        <v>0</v>
      </c>
      <c r="K188" s="5"/>
      <c r="L188" s="10"/>
      <c r="M188" s="11"/>
      <c r="R188" s="11"/>
    </row>
    <row r="189" spans="1:18" x14ac:dyDescent="0.25">
      <c r="A189" s="38">
        <f>Données!A189</f>
        <v>5718</v>
      </c>
      <c r="B189" s="197" t="str">
        <f>Données!B189</f>
        <v>Genolier</v>
      </c>
      <c r="C189" s="348">
        <f>VPI!R189</f>
        <v>212699.2265454545</v>
      </c>
      <c r="D189" s="524">
        <f>Données!AP189</f>
        <v>37.191282319079278</v>
      </c>
      <c r="E189" s="411">
        <f>VPI!Q189</f>
        <v>55</v>
      </c>
      <c r="F189" s="241">
        <f t="shared" si="8"/>
        <v>17.808717680920722</v>
      </c>
      <c r="G189" s="238">
        <f>Effort!I189+Aide!I189/Taux!C189+Effort!K189/Taux!C189</f>
        <v>38.993626016202526</v>
      </c>
      <c r="H189" s="83">
        <f t="shared" si="9"/>
        <v>56.802343697123248</v>
      </c>
      <c r="I189" s="223">
        <f t="shared" si="10"/>
        <v>0</v>
      </c>
      <c r="J189" s="42">
        <f t="shared" si="11"/>
        <v>0</v>
      </c>
      <c r="K189" s="5"/>
      <c r="L189" s="10"/>
      <c r="M189" s="11"/>
      <c r="R189" s="11"/>
    </row>
    <row r="190" spans="1:18" x14ac:dyDescent="0.25">
      <c r="A190" s="38">
        <f>Données!A190</f>
        <v>5719</v>
      </c>
      <c r="B190" s="197" t="str">
        <f>Données!B190</f>
        <v>Gingins</v>
      </c>
      <c r="C190" s="348">
        <f>VPI!R190</f>
        <v>119943.29911111109</v>
      </c>
      <c r="D190" s="524">
        <f>Données!AP190</f>
        <v>43.150176058436685</v>
      </c>
      <c r="E190" s="411">
        <f>VPI!Q190</f>
        <v>60</v>
      </c>
      <c r="F190" s="241">
        <f t="shared" si="8"/>
        <v>16.849823941563315</v>
      </c>
      <c r="G190" s="238">
        <f>Effort!I190+Aide!I190/Taux!C190+Effort!K190/Taux!C190</f>
        <v>38.488556463307347</v>
      </c>
      <c r="H190" s="83">
        <f t="shared" si="9"/>
        <v>55.338380404870662</v>
      </c>
      <c r="I190" s="223">
        <f t="shared" si="10"/>
        <v>0</v>
      </c>
      <c r="J190" s="42">
        <f t="shared" si="11"/>
        <v>0</v>
      </c>
      <c r="K190" s="5"/>
      <c r="L190" s="10"/>
      <c r="M190" s="11"/>
      <c r="R190" s="11"/>
    </row>
    <row r="191" spans="1:18" x14ac:dyDescent="0.25">
      <c r="A191" s="38">
        <f>Données!A191</f>
        <v>5720</v>
      </c>
      <c r="B191" s="197" t="str">
        <f>Données!B191</f>
        <v>Givrins</v>
      </c>
      <c r="C191" s="348">
        <f>VPI!R191</f>
        <v>84868.432139303477</v>
      </c>
      <c r="D191" s="524">
        <f>Données!AP191</f>
        <v>35.35867391486471</v>
      </c>
      <c r="E191" s="411">
        <f>VPI!Q191</f>
        <v>67</v>
      </c>
      <c r="F191" s="241">
        <f t="shared" si="8"/>
        <v>31.64132608513529</v>
      </c>
      <c r="G191" s="238">
        <f>Effort!I191+Aide!I191/Taux!C191+Effort!K191/Taux!C191</f>
        <v>37.583828020317227</v>
      </c>
      <c r="H191" s="83">
        <f t="shared" si="9"/>
        <v>69.225154105452518</v>
      </c>
      <c r="I191" s="223">
        <f t="shared" si="10"/>
        <v>0</v>
      </c>
      <c r="J191" s="42">
        <f t="shared" si="11"/>
        <v>0</v>
      </c>
      <c r="K191" s="5"/>
      <c r="L191" s="10"/>
      <c r="M191" s="11"/>
      <c r="R191" s="11"/>
    </row>
    <row r="192" spans="1:18" x14ac:dyDescent="0.25">
      <c r="A192" s="38">
        <f>Données!A192</f>
        <v>5721</v>
      </c>
      <c r="B192" s="197" t="str">
        <f>Données!B192</f>
        <v>Gland</v>
      </c>
      <c r="C192" s="348">
        <f>VPI!R192</f>
        <v>688985.30491803284</v>
      </c>
      <c r="D192" s="524">
        <f>Données!AP192</f>
        <v>21.032440887060329</v>
      </c>
      <c r="E192" s="411">
        <f>VPI!Q192</f>
        <v>61</v>
      </c>
      <c r="F192" s="241">
        <f t="shared" si="8"/>
        <v>39.967559112939668</v>
      </c>
      <c r="G192" s="238">
        <f>Effort!I192+Aide!I192/Taux!C192+Effort!K192/Taux!C192</f>
        <v>18.612775388200035</v>
      </c>
      <c r="H192" s="83">
        <f t="shared" si="9"/>
        <v>58.580334501139703</v>
      </c>
      <c r="I192" s="223">
        <f t="shared" si="10"/>
        <v>0</v>
      </c>
      <c r="J192" s="42">
        <f t="shared" si="11"/>
        <v>0</v>
      </c>
      <c r="K192" s="5"/>
      <c r="L192" s="10"/>
      <c r="M192" s="11"/>
      <c r="R192" s="11"/>
    </row>
    <row r="193" spans="1:18" x14ac:dyDescent="0.25">
      <c r="A193" s="38">
        <f>Données!A193</f>
        <v>5722</v>
      </c>
      <c r="B193" s="197" t="str">
        <f>Données!B193</f>
        <v>Grens</v>
      </c>
      <c r="C193" s="348">
        <f>VPI!R193</f>
        <v>20912.723225806454</v>
      </c>
      <c r="D193" s="524">
        <f>Données!AP193</f>
        <v>30.22780518248096</v>
      </c>
      <c r="E193" s="411">
        <f>VPI!Q193</f>
        <v>62</v>
      </c>
      <c r="F193" s="241">
        <f t="shared" si="8"/>
        <v>31.77219481751904</v>
      </c>
      <c r="G193" s="238">
        <f>Effort!I193+Aide!I193/Taux!C193+Effort!K193/Taux!C193</f>
        <v>29.299088323900961</v>
      </c>
      <c r="H193" s="83">
        <f t="shared" si="9"/>
        <v>61.071283141419997</v>
      </c>
      <c r="I193" s="223">
        <f t="shared" si="10"/>
        <v>0</v>
      </c>
      <c r="J193" s="42">
        <f t="shared" si="11"/>
        <v>0</v>
      </c>
      <c r="K193" s="5"/>
      <c r="L193" s="10"/>
      <c r="M193" s="11"/>
      <c r="R193" s="11"/>
    </row>
    <row r="194" spans="1:18" x14ac:dyDescent="0.25">
      <c r="A194" s="38">
        <f>Données!A194</f>
        <v>5723</v>
      </c>
      <c r="B194" s="197" t="str">
        <f>Données!B194</f>
        <v>Mies</v>
      </c>
      <c r="C194" s="348">
        <f>VPI!R194</f>
        <v>253771.19326923077</v>
      </c>
      <c r="D194" s="524">
        <f>Données!AP194</f>
        <v>39.602707688370103</v>
      </c>
      <c r="E194" s="411">
        <f>VPI!Q194</f>
        <v>52</v>
      </c>
      <c r="F194" s="241">
        <f t="shared" si="8"/>
        <v>12.397292311629897</v>
      </c>
      <c r="G194" s="238">
        <f>Effort!I194+Aide!I194/Taux!C194+Effort!K194/Taux!C194</f>
        <v>39.79836380799366</v>
      </c>
      <c r="H194" s="83">
        <f t="shared" si="9"/>
        <v>52.195656119623557</v>
      </c>
      <c r="I194" s="223">
        <f t="shared" si="10"/>
        <v>0</v>
      </c>
      <c r="J194" s="42">
        <f t="shared" si="11"/>
        <v>0</v>
      </c>
      <c r="K194" s="5"/>
      <c r="L194" s="10"/>
      <c r="M194" s="11"/>
      <c r="R194" s="11"/>
    </row>
    <row r="195" spans="1:18" x14ac:dyDescent="0.25">
      <c r="A195" s="38">
        <f>Données!A195</f>
        <v>5724</v>
      </c>
      <c r="B195" s="197" t="str">
        <f>Données!B195</f>
        <v>Nyon</v>
      </c>
      <c r="C195" s="348">
        <f>VPI!R195</f>
        <v>1520148.6004918031</v>
      </c>
      <c r="D195" s="524">
        <f>Données!AP195</f>
        <v>23.076374267772266</v>
      </c>
      <c r="E195" s="411">
        <f>VPI!Q195</f>
        <v>61</v>
      </c>
      <c r="F195" s="241">
        <f t="shared" si="8"/>
        <v>37.923625732227734</v>
      </c>
      <c r="G195" s="238">
        <f>Effort!I195+Aide!I195/Taux!C195+Effort!K195/Taux!C195</f>
        <v>23.201302694936039</v>
      </c>
      <c r="H195" s="83">
        <f t="shared" si="9"/>
        <v>61.124928427163773</v>
      </c>
      <c r="I195" s="223">
        <f t="shared" si="10"/>
        <v>0</v>
      </c>
      <c r="J195" s="42">
        <f t="shared" si="11"/>
        <v>0</v>
      </c>
      <c r="K195" s="5"/>
      <c r="L195" s="10"/>
      <c r="M195" s="11"/>
      <c r="R195" s="11"/>
    </row>
    <row r="196" spans="1:18" x14ac:dyDescent="0.25">
      <c r="A196" s="38">
        <f>Données!A196</f>
        <v>5725</v>
      </c>
      <c r="B196" s="197" t="str">
        <f>Données!B196</f>
        <v>Prangins</v>
      </c>
      <c r="C196" s="348">
        <f>VPI!R196</f>
        <v>388958.996077922</v>
      </c>
      <c r="D196" s="524">
        <f>Données!AP196</f>
        <v>34.740421829830062</v>
      </c>
      <c r="E196" s="411">
        <f>VPI!Q196</f>
        <v>55</v>
      </c>
      <c r="F196" s="241">
        <f t="shared" si="8"/>
        <v>20.259578170169938</v>
      </c>
      <c r="G196" s="238">
        <f>Effort!I196+Aide!I196/Taux!C196+Effort!K196/Taux!C196</f>
        <v>35.193922966612476</v>
      </c>
      <c r="H196" s="83">
        <f t="shared" si="9"/>
        <v>55.453501136782414</v>
      </c>
      <c r="I196" s="223">
        <f t="shared" si="10"/>
        <v>0</v>
      </c>
      <c r="J196" s="42">
        <f t="shared" si="11"/>
        <v>0</v>
      </c>
      <c r="K196" s="5"/>
      <c r="L196" s="10"/>
      <c r="M196" s="11"/>
      <c r="R196" s="11"/>
    </row>
    <row r="197" spans="1:18" x14ac:dyDescent="0.25">
      <c r="A197" s="38">
        <f>Données!A197</f>
        <v>5726</v>
      </c>
      <c r="B197" s="197" t="str">
        <f>Données!B197</f>
        <v>La Rippe</v>
      </c>
      <c r="C197" s="348">
        <f>VPI!R197</f>
        <v>69785.913125000021</v>
      </c>
      <c r="D197" s="524">
        <f>Données!AP197</f>
        <v>31.051857605946381</v>
      </c>
      <c r="E197" s="411">
        <f>VPI!Q197</f>
        <v>64</v>
      </c>
      <c r="F197" s="241">
        <f t="shared" si="8"/>
        <v>32.948142394053619</v>
      </c>
      <c r="G197" s="238">
        <f>Effort!I197+Aide!I197/Taux!C197+Effort!K197/Taux!C197</f>
        <v>30.151368224036705</v>
      </c>
      <c r="H197" s="83">
        <f t="shared" si="9"/>
        <v>63.099510618090321</v>
      </c>
      <c r="I197" s="223">
        <f t="shared" si="10"/>
        <v>0</v>
      </c>
      <c r="J197" s="42">
        <f t="shared" si="11"/>
        <v>0</v>
      </c>
      <c r="K197" s="5"/>
      <c r="L197" s="10"/>
      <c r="M197" s="11"/>
      <c r="R197" s="11"/>
    </row>
    <row r="198" spans="1:18" x14ac:dyDescent="0.25">
      <c r="A198" s="38">
        <f>Données!A198</f>
        <v>5727</v>
      </c>
      <c r="B198" s="197" t="str">
        <f>Données!B198</f>
        <v>Saint-Cergue</v>
      </c>
      <c r="C198" s="348">
        <f>VPI!R198</f>
        <v>107048.1634848485</v>
      </c>
      <c r="D198" s="524">
        <f>Données!AP198</f>
        <v>19.455512067654794</v>
      </c>
      <c r="E198" s="411">
        <f>VPI!Q198</f>
        <v>66</v>
      </c>
      <c r="F198" s="241">
        <f t="shared" si="8"/>
        <v>46.544487932345206</v>
      </c>
      <c r="G198" s="238">
        <f>Effort!I198+Aide!I198/Taux!C198+Effort!K198/Taux!C198</f>
        <v>19.061714591966187</v>
      </c>
      <c r="H198" s="83">
        <f t="shared" si="9"/>
        <v>65.606202524311385</v>
      </c>
      <c r="I198" s="223">
        <f t="shared" si="10"/>
        <v>0</v>
      </c>
      <c r="J198" s="42">
        <f t="shared" si="11"/>
        <v>0</v>
      </c>
      <c r="K198" s="5"/>
      <c r="L198" s="10"/>
      <c r="M198" s="11"/>
      <c r="R198" s="11"/>
    </row>
    <row r="199" spans="1:18" x14ac:dyDescent="0.25">
      <c r="A199" s="38">
        <f>Données!A199</f>
        <v>5728</v>
      </c>
      <c r="B199" s="197" t="str">
        <f>Données!B199</f>
        <v>Signy-Avenex</v>
      </c>
      <c r="C199" s="348">
        <f>VPI!R199</f>
        <v>66000.760172413793</v>
      </c>
      <c r="D199" s="524">
        <f>Données!AP199</f>
        <v>39.121042377372483</v>
      </c>
      <c r="E199" s="411">
        <f>VPI!Q199</f>
        <v>58</v>
      </c>
      <c r="F199" s="241">
        <f t="shared" ref="F199:F262" si="12">E199-D199</f>
        <v>18.878957622627517</v>
      </c>
      <c r="G199" s="238">
        <f>Effort!I199+Aide!I199/Taux!C199+Effort!K199/Taux!C199</f>
        <v>42.088393782681436</v>
      </c>
      <c r="H199" s="83">
        <f t="shared" ref="H199:H262" si="13">F199+G199</f>
        <v>60.967351405308953</v>
      </c>
      <c r="I199" s="223">
        <f t="shared" ref="I199:I262" si="14">IF(H199&gt;$I$5,H199-$I$5,0)</f>
        <v>0</v>
      </c>
      <c r="J199" s="42">
        <f t="shared" ref="J199:J262" si="15">-I199*C199</f>
        <v>0</v>
      </c>
      <c r="K199" s="5"/>
      <c r="L199" s="10"/>
      <c r="M199" s="11"/>
      <c r="R199" s="11"/>
    </row>
    <row r="200" spans="1:18" x14ac:dyDescent="0.25">
      <c r="A200" s="38">
        <f>Données!A200</f>
        <v>5729</v>
      </c>
      <c r="B200" s="197" t="str">
        <f>Données!B200</f>
        <v>Tannay</v>
      </c>
      <c r="C200" s="348">
        <f>VPI!R200</f>
        <v>189085.86771349865</v>
      </c>
      <c r="D200" s="524">
        <f>Données!AP200</f>
        <v>38.994866513266651</v>
      </c>
      <c r="E200" s="411">
        <f>VPI!Q200</f>
        <v>60.5</v>
      </c>
      <c r="F200" s="241">
        <f t="shared" si="12"/>
        <v>21.505133486733349</v>
      </c>
      <c r="G200" s="238">
        <f>Effort!I200+Aide!I200/Taux!C200+Effort!K200/Taux!C200</f>
        <v>41.137448918289586</v>
      </c>
      <c r="H200" s="83">
        <f t="shared" si="13"/>
        <v>62.642582405022935</v>
      </c>
      <c r="I200" s="223">
        <f t="shared" si="14"/>
        <v>0</v>
      </c>
      <c r="J200" s="42">
        <f t="shared" si="15"/>
        <v>0</v>
      </c>
      <c r="K200" s="5"/>
      <c r="L200" s="10"/>
      <c r="M200" s="11"/>
      <c r="R200" s="11"/>
    </row>
    <row r="201" spans="1:18" x14ac:dyDescent="0.25">
      <c r="A201" s="38">
        <f>Données!A201</f>
        <v>5730</v>
      </c>
      <c r="B201" s="197" t="str">
        <f>Données!B201</f>
        <v>Trélex</v>
      </c>
      <c r="C201" s="348">
        <f>VPI!R201</f>
        <v>121414.34176176177</v>
      </c>
      <c r="D201" s="524">
        <f>Données!AP201</f>
        <v>36.306995366624541</v>
      </c>
      <c r="E201" s="411">
        <f>VPI!Q201</f>
        <v>55.5</v>
      </c>
      <c r="F201" s="241">
        <f t="shared" si="12"/>
        <v>19.193004633375459</v>
      </c>
      <c r="G201" s="238">
        <f>Effort!I201+Aide!I201/Taux!C201+Effort!K201/Taux!C201</f>
        <v>35.844894512013582</v>
      </c>
      <c r="H201" s="83">
        <f t="shared" si="13"/>
        <v>55.037899145389041</v>
      </c>
      <c r="I201" s="223">
        <f t="shared" si="14"/>
        <v>0</v>
      </c>
      <c r="J201" s="42">
        <f t="shared" si="15"/>
        <v>0</v>
      </c>
      <c r="K201" s="5"/>
      <c r="L201" s="10"/>
      <c r="M201" s="11"/>
      <c r="R201" s="11"/>
    </row>
    <row r="202" spans="1:18" x14ac:dyDescent="0.25">
      <c r="A202" s="38">
        <f>Données!A202</f>
        <v>5731</v>
      </c>
      <c r="B202" s="197" t="str">
        <f>Données!B202</f>
        <v>Le Vaud</v>
      </c>
      <c r="C202" s="348">
        <f>VPI!R202</f>
        <v>69610.558648648643</v>
      </c>
      <c r="D202" s="524">
        <f>Données!AP202</f>
        <v>27.643849329530372</v>
      </c>
      <c r="E202" s="411">
        <f>VPI!Q202</f>
        <v>74</v>
      </c>
      <c r="F202" s="241">
        <f t="shared" si="12"/>
        <v>46.356150670469631</v>
      </c>
      <c r="G202" s="238">
        <f>Effort!I202+Aide!I202/Taux!C202+Effort!K202/Taux!C202</f>
        <v>27.183838503271375</v>
      </c>
      <c r="H202" s="83">
        <f t="shared" si="13"/>
        <v>73.539989173741006</v>
      </c>
      <c r="I202" s="223">
        <f t="shared" si="14"/>
        <v>0</v>
      </c>
      <c r="J202" s="42">
        <f t="shared" si="15"/>
        <v>0</v>
      </c>
      <c r="K202" s="5"/>
      <c r="L202" s="10"/>
      <c r="M202" s="11"/>
      <c r="R202" s="11"/>
    </row>
    <row r="203" spans="1:18" x14ac:dyDescent="0.25">
      <c r="A203" s="38">
        <f>Données!A203</f>
        <v>5732</v>
      </c>
      <c r="B203" s="197" t="str">
        <f>Données!B203</f>
        <v>Vich</v>
      </c>
      <c r="C203" s="348">
        <f>VPI!R203</f>
        <v>79861.73920634923</v>
      </c>
      <c r="D203" s="524">
        <f>Données!AP203</f>
        <v>34.819557375944861</v>
      </c>
      <c r="E203" s="411">
        <f>VPI!Q203</f>
        <v>63</v>
      </c>
      <c r="F203" s="241">
        <f t="shared" si="12"/>
        <v>28.180442624055139</v>
      </c>
      <c r="G203" s="238">
        <f>Effort!I203+Aide!I203/Taux!C203+Effort!K203/Taux!C203</f>
        <v>33.231790350442189</v>
      </c>
      <c r="H203" s="83">
        <f t="shared" si="13"/>
        <v>61.412232974497329</v>
      </c>
      <c r="I203" s="223">
        <f t="shared" si="14"/>
        <v>0</v>
      </c>
      <c r="J203" s="42">
        <f t="shared" si="15"/>
        <v>0</v>
      </c>
      <c r="K203" s="5"/>
      <c r="L203" s="10"/>
      <c r="M203" s="11"/>
      <c r="R203" s="11"/>
    </row>
    <row r="204" spans="1:18" x14ac:dyDescent="0.25">
      <c r="A204" s="38">
        <f>Données!A204</f>
        <v>5741</v>
      </c>
      <c r="B204" s="197" t="str">
        <f>Données!B204</f>
        <v>L'Abergement</v>
      </c>
      <c r="C204" s="348">
        <f>VPI!R204</f>
        <v>10833.904395833331</v>
      </c>
      <c r="D204" s="524">
        <f>Données!AP204</f>
        <v>17.693972680900419</v>
      </c>
      <c r="E204" s="411">
        <f>VPI!Q204</f>
        <v>80</v>
      </c>
      <c r="F204" s="241">
        <f t="shared" si="12"/>
        <v>62.306027319099584</v>
      </c>
      <c r="G204" s="238">
        <f>Effort!I204+Aide!I204/Taux!C204+Effort!K204/Taux!C204</f>
        <v>23.602103339728544</v>
      </c>
      <c r="H204" s="83">
        <f t="shared" si="13"/>
        <v>85.908130658828128</v>
      </c>
      <c r="I204" s="223">
        <f t="shared" si="14"/>
        <v>0</v>
      </c>
      <c r="J204" s="42">
        <f t="shared" si="15"/>
        <v>0</v>
      </c>
      <c r="K204" s="5"/>
      <c r="L204" s="10"/>
      <c r="M204" s="11"/>
      <c r="R204" s="11"/>
    </row>
    <row r="205" spans="1:18" x14ac:dyDescent="0.25">
      <c r="A205" s="38">
        <f>Données!A205</f>
        <v>5742</v>
      </c>
      <c r="B205" s="197" t="str">
        <f>Données!B205</f>
        <v>Agiez</v>
      </c>
      <c r="C205" s="348">
        <f>VPI!R205</f>
        <v>9049.0364473684222</v>
      </c>
      <c r="D205" s="524">
        <f>Données!AP205</f>
        <v>8.1147105995731152</v>
      </c>
      <c r="E205" s="411">
        <f>VPI!Q205</f>
        <v>76</v>
      </c>
      <c r="F205" s="241">
        <f t="shared" si="12"/>
        <v>67.885289400426885</v>
      </c>
      <c r="G205" s="238">
        <f>Effort!I205+Aide!I205/Taux!C205+Effort!K205/Taux!C205</f>
        <v>1.4246249650274549</v>
      </c>
      <c r="H205" s="83">
        <f t="shared" si="13"/>
        <v>69.309914365454347</v>
      </c>
      <c r="I205" s="223">
        <f t="shared" si="14"/>
        <v>0</v>
      </c>
      <c r="J205" s="42">
        <f t="shared" si="15"/>
        <v>0</v>
      </c>
      <c r="K205" s="5"/>
      <c r="L205" s="10"/>
      <c r="M205" s="11"/>
      <c r="R205" s="11"/>
    </row>
    <row r="206" spans="1:18" x14ac:dyDescent="0.25">
      <c r="A206" s="38">
        <f>Données!A206</f>
        <v>5743</v>
      </c>
      <c r="B206" s="197" t="str">
        <f>Données!B206</f>
        <v>Arnex-sur-Orbe</v>
      </c>
      <c r="C206" s="348">
        <f>VPI!R206</f>
        <v>19423.544507042254</v>
      </c>
      <c r="D206" s="524">
        <f>Données!AP206</f>
        <v>11.551154018614382</v>
      </c>
      <c r="E206" s="411">
        <f>VPI!Q206</f>
        <v>71</v>
      </c>
      <c r="F206" s="241">
        <f t="shared" si="12"/>
        <v>59.448845981385617</v>
      </c>
      <c r="G206" s="238">
        <f>Effort!I206+Aide!I206/Taux!C206+Effort!K206/Taux!C206</f>
        <v>11.635753112286306</v>
      </c>
      <c r="H206" s="83">
        <f t="shared" si="13"/>
        <v>71.084599093671926</v>
      </c>
      <c r="I206" s="223">
        <f t="shared" si="14"/>
        <v>0</v>
      </c>
      <c r="J206" s="42">
        <f t="shared" si="15"/>
        <v>0</v>
      </c>
      <c r="K206" s="5"/>
      <c r="L206" s="10"/>
      <c r="M206" s="11"/>
      <c r="R206" s="11"/>
    </row>
    <row r="207" spans="1:18" x14ac:dyDescent="0.25">
      <c r="A207" s="38">
        <f>Données!A207</f>
        <v>5744</v>
      </c>
      <c r="B207" s="197" t="str">
        <f>Données!B207</f>
        <v>Ballaigues</v>
      </c>
      <c r="C207" s="348">
        <f>VPI!R207</f>
        <v>54105.101538461538</v>
      </c>
      <c r="D207" s="524">
        <f>Données!AP207</f>
        <v>24.515662321226372</v>
      </c>
      <c r="E207" s="411">
        <f>VPI!Q207</f>
        <v>65</v>
      </c>
      <c r="F207" s="241">
        <f t="shared" si="12"/>
        <v>40.484337678773628</v>
      </c>
      <c r="G207" s="238">
        <f>Effort!I207+Aide!I207/Taux!C207+Effort!K207/Taux!C207</f>
        <v>26.926050368743361</v>
      </c>
      <c r="H207" s="83">
        <f t="shared" si="13"/>
        <v>67.410388047516989</v>
      </c>
      <c r="I207" s="223">
        <f t="shared" si="14"/>
        <v>0</v>
      </c>
      <c r="J207" s="42">
        <f t="shared" si="15"/>
        <v>0</v>
      </c>
      <c r="K207" s="5"/>
      <c r="L207" s="10"/>
      <c r="M207" s="11"/>
      <c r="R207" s="11"/>
    </row>
    <row r="208" spans="1:18" x14ac:dyDescent="0.25">
      <c r="A208" s="38">
        <f>Données!A208</f>
        <v>5745</v>
      </c>
      <c r="B208" s="197" t="str">
        <f>Données!B208</f>
        <v>Baulmes</v>
      </c>
      <c r="C208" s="348">
        <f>VPI!R208</f>
        <v>27705.104967320265</v>
      </c>
      <c r="D208" s="524">
        <f>Données!AP208</f>
        <v>3.5676346023429093</v>
      </c>
      <c r="E208" s="411">
        <f>VPI!Q208</f>
        <v>76.5</v>
      </c>
      <c r="F208" s="241">
        <f t="shared" si="12"/>
        <v>72.932365397657094</v>
      </c>
      <c r="G208" s="238">
        <f>Effort!I208+Aide!I208/Taux!C208+Effort!K208/Taux!C208</f>
        <v>1.572620437991965</v>
      </c>
      <c r="H208" s="83">
        <f t="shared" si="13"/>
        <v>74.504985835649052</v>
      </c>
      <c r="I208" s="223">
        <f t="shared" si="14"/>
        <v>0</v>
      </c>
      <c r="J208" s="42">
        <f t="shared" si="15"/>
        <v>0</v>
      </c>
      <c r="K208" s="5"/>
      <c r="L208" s="10"/>
      <c r="M208" s="11"/>
      <c r="R208" s="11"/>
    </row>
    <row r="209" spans="1:18" x14ac:dyDescent="0.25">
      <c r="A209" s="38">
        <f>Données!A209</f>
        <v>5746</v>
      </c>
      <c r="B209" s="197" t="str">
        <f>Données!B209</f>
        <v>Bavois</v>
      </c>
      <c r="C209" s="348">
        <f>VPI!R209</f>
        <v>29513.59275462963</v>
      </c>
      <c r="D209" s="524">
        <f>Données!AP209</f>
        <v>10.933888880133827</v>
      </c>
      <c r="E209" s="411">
        <f>VPI!Q209</f>
        <v>72</v>
      </c>
      <c r="F209" s="241">
        <f t="shared" si="12"/>
        <v>61.066111119866171</v>
      </c>
      <c r="G209" s="238">
        <f>Effort!I209+Aide!I209/Taux!C209+Effort!K209/Taux!C209</f>
        <v>12.780304038212481</v>
      </c>
      <c r="H209" s="83">
        <f t="shared" si="13"/>
        <v>73.846415158078656</v>
      </c>
      <c r="I209" s="223">
        <f t="shared" si="14"/>
        <v>0</v>
      </c>
      <c r="J209" s="42">
        <f t="shared" si="15"/>
        <v>0</v>
      </c>
      <c r="K209" s="5"/>
      <c r="L209" s="10"/>
      <c r="M209" s="11"/>
      <c r="R209" s="11"/>
    </row>
    <row r="210" spans="1:18" x14ac:dyDescent="0.25">
      <c r="A210" s="38">
        <f>Données!A210</f>
        <v>5747</v>
      </c>
      <c r="B210" s="197" t="str">
        <f>Données!B210</f>
        <v>Bofflens</v>
      </c>
      <c r="C210" s="348">
        <f>VPI!R210</f>
        <v>5778.0378260869547</v>
      </c>
      <c r="D210" s="524">
        <f>Données!AP210</f>
        <v>12.807572334153326</v>
      </c>
      <c r="E210" s="411">
        <f>VPI!Q210</f>
        <v>69</v>
      </c>
      <c r="F210" s="241">
        <f t="shared" si="12"/>
        <v>56.192427665846672</v>
      </c>
      <c r="G210" s="238">
        <f>Effort!I210+Aide!I210/Taux!C210+Effort!K210/Taux!C210</f>
        <v>12.785075819464275</v>
      </c>
      <c r="H210" s="83">
        <f t="shared" si="13"/>
        <v>68.977503485310947</v>
      </c>
      <c r="I210" s="223">
        <f t="shared" si="14"/>
        <v>0</v>
      </c>
      <c r="J210" s="42">
        <f t="shared" si="15"/>
        <v>0</v>
      </c>
      <c r="K210" s="5"/>
      <c r="L210" s="10"/>
      <c r="M210" s="11"/>
      <c r="R210" s="11"/>
    </row>
    <row r="211" spans="1:18" x14ac:dyDescent="0.25">
      <c r="A211" s="38">
        <f>Données!A211</f>
        <v>5748</v>
      </c>
      <c r="B211" s="197" t="str">
        <f>Données!B211</f>
        <v>Bretonnières</v>
      </c>
      <c r="C211" s="348">
        <f>VPI!R211</f>
        <v>6762.4759338061467</v>
      </c>
      <c r="D211" s="524">
        <f>Données!AP211</f>
        <v>7.247871459037559</v>
      </c>
      <c r="E211" s="411">
        <f>VPI!Q211</f>
        <v>70.5</v>
      </c>
      <c r="F211" s="241">
        <f t="shared" si="12"/>
        <v>63.252128540962438</v>
      </c>
      <c r="G211" s="238">
        <f>Effort!I211+Aide!I211/Taux!C211+Effort!K211/Taux!C211</f>
        <v>8.11733875937907</v>
      </c>
      <c r="H211" s="83">
        <f t="shared" si="13"/>
        <v>71.369467300341512</v>
      </c>
      <c r="I211" s="223">
        <f t="shared" si="14"/>
        <v>0</v>
      </c>
      <c r="J211" s="42">
        <f t="shared" si="15"/>
        <v>0</v>
      </c>
      <c r="K211" s="5"/>
      <c r="L211" s="10"/>
      <c r="M211" s="11"/>
      <c r="R211" s="11"/>
    </row>
    <row r="212" spans="1:18" x14ac:dyDescent="0.25">
      <c r="A212" s="38">
        <f>Données!A212</f>
        <v>5749</v>
      </c>
      <c r="B212" s="197" t="str">
        <f>Données!B212</f>
        <v>Chavornay</v>
      </c>
      <c r="C212" s="348">
        <f>VPI!R212</f>
        <v>144692.07858156026</v>
      </c>
      <c r="D212" s="524">
        <f>Données!AP212</f>
        <v>3.7805989453686939</v>
      </c>
      <c r="E212" s="411">
        <f>VPI!Q212</f>
        <v>70.5</v>
      </c>
      <c r="F212" s="241">
        <f t="shared" si="12"/>
        <v>66.719401054631305</v>
      </c>
      <c r="G212" s="238">
        <f>Effort!I212+Aide!I212/Taux!C212+Effort!K212/Taux!C212</f>
        <v>-8.7271482162343261E-2</v>
      </c>
      <c r="H212" s="83">
        <f t="shared" si="13"/>
        <v>66.632129572468955</v>
      </c>
      <c r="I212" s="223">
        <f t="shared" si="14"/>
        <v>0</v>
      </c>
      <c r="J212" s="42">
        <f t="shared" si="15"/>
        <v>0</v>
      </c>
      <c r="K212" s="5"/>
      <c r="L212" s="10"/>
      <c r="M212" s="11"/>
      <c r="R212" s="11"/>
    </row>
    <row r="213" spans="1:18" x14ac:dyDescent="0.25">
      <c r="A213" s="38">
        <f>Données!A213</f>
        <v>5750</v>
      </c>
      <c r="B213" s="197" t="str">
        <f>Données!B213</f>
        <v>Les Clées</v>
      </c>
      <c r="C213" s="348">
        <f>VPI!R213</f>
        <v>5460.4465833333343</v>
      </c>
      <c r="D213" s="524">
        <f>Données!AP213</f>
        <v>4.9959155003464781</v>
      </c>
      <c r="E213" s="411">
        <f>VPI!Q213</f>
        <v>80</v>
      </c>
      <c r="F213" s="241">
        <f t="shared" si="12"/>
        <v>75.004084499653516</v>
      </c>
      <c r="G213" s="238">
        <f>Effort!I213+Aide!I213/Taux!C213+Effort!K213/Taux!C213</f>
        <v>9.5821700700736994</v>
      </c>
      <c r="H213" s="83">
        <f t="shared" si="13"/>
        <v>84.586254569727217</v>
      </c>
      <c r="I213" s="223">
        <f t="shared" si="14"/>
        <v>0</v>
      </c>
      <c r="J213" s="42">
        <f t="shared" si="15"/>
        <v>0</v>
      </c>
      <c r="K213" s="5"/>
      <c r="L213" s="10"/>
      <c r="M213" s="11"/>
      <c r="R213" s="11"/>
    </row>
    <row r="214" spans="1:18" x14ac:dyDescent="0.25">
      <c r="A214" s="38">
        <f>Données!A214</f>
        <v>5752</v>
      </c>
      <c r="B214" s="197" t="str">
        <f>Données!B214</f>
        <v>Croy</v>
      </c>
      <c r="C214" s="348">
        <f>VPI!R214</f>
        <v>10204.254034749034</v>
      </c>
      <c r="D214" s="524">
        <f>Données!AP214</f>
        <v>5.0132910192430282</v>
      </c>
      <c r="E214" s="411">
        <f>VPI!Q214</f>
        <v>74</v>
      </c>
      <c r="F214" s="241">
        <f t="shared" si="12"/>
        <v>68.986708980756973</v>
      </c>
      <c r="G214" s="238">
        <f>Effort!I214+Aide!I214/Taux!C214+Effort!K214/Taux!C214</f>
        <v>7.6404004224864615</v>
      </c>
      <c r="H214" s="83">
        <f t="shared" si="13"/>
        <v>76.627109403243438</v>
      </c>
      <c r="I214" s="223">
        <f t="shared" si="14"/>
        <v>0</v>
      </c>
      <c r="J214" s="42">
        <f t="shared" si="15"/>
        <v>0</v>
      </c>
      <c r="K214" s="5"/>
      <c r="L214" s="10"/>
      <c r="M214" s="11"/>
      <c r="R214" s="11"/>
    </row>
    <row r="215" spans="1:18" x14ac:dyDescent="0.25">
      <c r="A215" s="38">
        <f>Données!A215</f>
        <v>5754</v>
      </c>
      <c r="B215" s="197" t="str">
        <f>Données!B215</f>
        <v>Juriens</v>
      </c>
      <c r="C215" s="348">
        <f>VPI!R215</f>
        <v>8633.2483544303759</v>
      </c>
      <c r="D215" s="524">
        <f>Données!AP215</f>
        <v>4.7339596785839424</v>
      </c>
      <c r="E215" s="411">
        <f>VPI!Q215</f>
        <v>79</v>
      </c>
      <c r="F215" s="241">
        <f t="shared" si="12"/>
        <v>74.266040321416057</v>
      </c>
      <c r="G215" s="238">
        <f>Effort!I215+Aide!I215/Taux!C215+Effort!K215/Taux!C215</f>
        <v>1.7377210860892838</v>
      </c>
      <c r="H215" s="83">
        <f t="shared" si="13"/>
        <v>76.003761407505337</v>
      </c>
      <c r="I215" s="223">
        <f t="shared" si="14"/>
        <v>0</v>
      </c>
      <c r="J215" s="42">
        <f t="shared" si="15"/>
        <v>0</v>
      </c>
      <c r="K215" s="5"/>
      <c r="L215" s="10"/>
      <c r="M215" s="11"/>
      <c r="R215" s="11"/>
    </row>
    <row r="216" spans="1:18" x14ac:dyDescent="0.25">
      <c r="A216" s="38">
        <f>Données!A216</f>
        <v>5755</v>
      </c>
      <c r="B216" s="197" t="str">
        <f>Données!B216</f>
        <v>Lignerolle</v>
      </c>
      <c r="C216" s="348">
        <f>VPI!R216</f>
        <v>10920.942602365787</v>
      </c>
      <c r="D216" s="524">
        <f>Données!AP216</f>
        <v>5.3905977718009375</v>
      </c>
      <c r="E216" s="411">
        <f>VPI!Q216</f>
        <v>78.5</v>
      </c>
      <c r="F216" s="241">
        <f t="shared" si="12"/>
        <v>73.109402228199059</v>
      </c>
      <c r="G216" s="238">
        <f>Effort!I216+Aide!I216/Taux!C216+Effort!K216/Taux!C216</f>
        <v>1.2500489154645038</v>
      </c>
      <c r="H216" s="83">
        <f t="shared" si="13"/>
        <v>74.359451143663563</v>
      </c>
      <c r="I216" s="223">
        <f t="shared" si="14"/>
        <v>0</v>
      </c>
      <c r="J216" s="42">
        <f t="shared" si="15"/>
        <v>0</v>
      </c>
      <c r="K216" s="5"/>
      <c r="L216" s="10"/>
      <c r="M216" s="11"/>
      <c r="R216" s="11"/>
    </row>
    <row r="217" spans="1:18" x14ac:dyDescent="0.25">
      <c r="A217" s="38">
        <f>Données!A217</f>
        <v>5756</v>
      </c>
      <c r="B217" s="197" t="str">
        <f>Données!B217</f>
        <v>Montcherand</v>
      </c>
      <c r="C217" s="348">
        <f>VPI!R217</f>
        <v>17503.400416666664</v>
      </c>
      <c r="D217" s="524">
        <f>Données!AP217</f>
        <v>19.674151220552261</v>
      </c>
      <c r="E217" s="411">
        <f>VPI!Q217</f>
        <v>72</v>
      </c>
      <c r="F217" s="241">
        <f t="shared" si="12"/>
        <v>52.325848779447739</v>
      </c>
      <c r="G217" s="238">
        <f>Effort!I217+Aide!I217/Taux!C217+Effort!K217/Taux!C217</f>
        <v>19.477723123311929</v>
      </c>
      <c r="H217" s="83">
        <f t="shared" si="13"/>
        <v>71.803571902759671</v>
      </c>
      <c r="I217" s="223">
        <f t="shared" si="14"/>
        <v>0</v>
      </c>
      <c r="J217" s="42">
        <f t="shared" si="15"/>
        <v>0</v>
      </c>
      <c r="K217" s="5"/>
      <c r="L217" s="10"/>
      <c r="M217" s="11"/>
      <c r="R217" s="11"/>
    </row>
    <row r="218" spans="1:18" x14ac:dyDescent="0.25">
      <c r="A218" s="38">
        <f>Données!A218</f>
        <v>5757</v>
      </c>
      <c r="B218" s="197" t="str">
        <f>Données!B218</f>
        <v>Orbe</v>
      </c>
      <c r="C218" s="348">
        <f>VPI!R218</f>
        <v>217762.06927152316</v>
      </c>
      <c r="D218" s="524">
        <f>Données!AP218</f>
        <v>-0.50118151635812336</v>
      </c>
      <c r="E218" s="411">
        <f>VPI!Q218</f>
        <v>75.5</v>
      </c>
      <c r="F218" s="241">
        <f t="shared" si="12"/>
        <v>76.00118151635813</v>
      </c>
      <c r="G218" s="238">
        <f>Effort!I218+Aide!I218/Taux!C218+Effort!K218/Taux!C218</f>
        <v>-1.0972932438827101</v>
      </c>
      <c r="H218" s="83">
        <f t="shared" si="13"/>
        <v>74.903888272475427</v>
      </c>
      <c r="I218" s="223">
        <f t="shared" si="14"/>
        <v>0</v>
      </c>
      <c r="J218" s="42">
        <f t="shared" si="15"/>
        <v>0</v>
      </c>
      <c r="K218" s="5"/>
      <c r="L218" s="10"/>
      <c r="M218" s="11"/>
      <c r="R218" s="11"/>
    </row>
    <row r="219" spans="1:18" x14ac:dyDescent="0.25">
      <c r="A219" s="38">
        <f>Données!A219</f>
        <v>5758</v>
      </c>
      <c r="B219" s="197" t="str">
        <f>Données!B219</f>
        <v>La Praz</v>
      </c>
      <c r="C219" s="348">
        <f>VPI!R219</f>
        <v>4500.7334939759048</v>
      </c>
      <c r="D219" s="524">
        <f>Données!AP219</f>
        <v>2.8283404123470066</v>
      </c>
      <c r="E219" s="411">
        <f>VPI!Q219</f>
        <v>83</v>
      </c>
      <c r="F219" s="241">
        <f t="shared" si="12"/>
        <v>80.171659587652996</v>
      </c>
      <c r="G219" s="238">
        <f>Effort!I219+Aide!I219/Taux!C219+Effort!K219/Taux!C219</f>
        <v>-1.0877350795408773</v>
      </c>
      <c r="H219" s="83">
        <f t="shared" si="13"/>
        <v>79.083924508112119</v>
      </c>
      <c r="I219" s="223">
        <f t="shared" si="14"/>
        <v>0</v>
      </c>
      <c r="J219" s="42">
        <f t="shared" si="15"/>
        <v>0</v>
      </c>
      <c r="K219" s="5"/>
      <c r="L219" s="10"/>
      <c r="M219" s="11"/>
      <c r="R219" s="11"/>
    </row>
    <row r="220" spans="1:18" x14ac:dyDescent="0.25">
      <c r="A220" s="38">
        <f>Données!A220</f>
        <v>5759</v>
      </c>
      <c r="B220" s="197" t="str">
        <f>Données!B220</f>
        <v>Premier</v>
      </c>
      <c r="C220" s="348">
        <f>VPI!R220</f>
        <v>5667.0675471698114</v>
      </c>
      <c r="D220" s="524">
        <f>Données!AP220</f>
        <v>3.1585665605747488</v>
      </c>
      <c r="E220" s="411">
        <f>VPI!Q220</f>
        <v>79.5</v>
      </c>
      <c r="F220" s="241">
        <f t="shared" si="12"/>
        <v>76.341433439425245</v>
      </c>
      <c r="G220" s="238">
        <f>Effort!I220+Aide!I220/Taux!C220+Effort!K220/Taux!C220</f>
        <v>-0.21473074767946798</v>
      </c>
      <c r="H220" s="83">
        <f t="shared" si="13"/>
        <v>76.126702691745777</v>
      </c>
      <c r="I220" s="223">
        <f t="shared" si="14"/>
        <v>0</v>
      </c>
      <c r="J220" s="42">
        <f t="shared" si="15"/>
        <v>0</v>
      </c>
      <c r="K220" s="5"/>
      <c r="L220" s="10"/>
      <c r="M220" s="11"/>
      <c r="R220" s="11"/>
    </row>
    <row r="221" spans="1:18" x14ac:dyDescent="0.25">
      <c r="A221" s="38">
        <f>Données!A221</f>
        <v>5760</v>
      </c>
      <c r="B221" s="197" t="str">
        <f>Données!B221</f>
        <v>Rances</v>
      </c>
      <c r="C221" s="348">
        <f>VPI!R221</f>
        <v>16308.735686274507</v>
      </c>
      <c r="D221" s="524">
        <f>Données!AP221</f>
        <v>9.8276888365100525</v>
      </c>
      <c r="E221" s="411">
        <f>VPI!Q221</f>
        <v>76.5</v>
      </c>
      <c r="F221" s="241">
        <f t="shared" si="12"/>
        <v>66.672311163489951</v>
      </c>
      <c r="G221" s="238">
        <f>Effort!I221+Aide!I221/Taux!C221+Effort!K221/Taux!C221</f>
        <v>13.850413958614595</v>
      </c>
      <c r="H221" s="83">
        <f t="shared" si="13"/>
        <v>80.522725122104546</v>
      </c>
      <c r="I221" s="223">
        <f t="shared" si="14"/>
        <v>0</v>
      </c>
      <c r="J221" s="42">
        <f t="shared" si="15"/>
        <v>0</v>
      </c>
      <c r="K221" s="5"/>
      <c r="L221" s="10"/>
      <c r="M221" s="11"/>
      <c r="R221" s="11"/>
    </row>
    <row r="222" spans="1:18" x14ac:dyDescent="0.25">
      <c r="A222" s="38">
        <f>Données!A222</f>
        <v>5761</v>
      </c>
      <c r="B222" s="197" t="str">
        <f>Données!B222</f>
        <v>Romainmôtier-Envy</v>
      </c>
      <c r="C222" s="348">
        <f>VPI!R222</f>
        <v>14407.779147025813</v>
      </c>
      <c r="D222" s="524">
        <f>Données!AP222</f>
        <v>-2.3685105470659078</v>
      </c>
      <c r="E222" s="411">
        <f>VPI!Q222</f>
        <v>81</v>
      </c>
      <c r="F222" s="241">
        <f t="shared" si="12"/>
        <v>83.36851054706591</v>
      </c>
      <c r="G222" s="238">
        <f>Effort!I222+Aide!I222/Taux!C222+Effort!K222/Taux!C222</f>
        <v>2.0113029351474232</v>
      </c>
      <c r="H222" s="83">
        <f t="shared" si="13"/>
        <v>85.379813482213336</v>
      </c>
      <c r="I222" s="223">
        <f t="shared" si="14"/>
        <v>0</v>
      </c>
      <c r="J222" s="42">
        <f t="shared" si="15"/>
        <v>0</v>
      </c>
      <c r="K222" s="5"/>
      <c r="L222" s="10"/>
      <c r="M222" s="11"/>
      <c r="R222" s="11"/>
    </row>
    <row r="223" spans="1:18" x14ac:dyDescent="0.25">
      <c r="A223" s="38">
        <f>Données!A223</f>
        <v>5762</v>
      </c>
      <c r="B223" s="197" t="str">
        <f>Données!B223</f>
        <v>Sergey</v>
      </c>
      <c r="C223" s="348">
        <f>VPI!R223</f>
        <v>3741.4505128205124</v>
      </c>
      <c r="D223" s="524">
        <f>Données!AP223</f>
        <v>7.5149836181393352</v>
      </c>
      <c r="E223" s="411">
        <f>VPI!Q223</f>
        <v>78</v>
      </c>
      <c r="F223" s="241">
        <f t="shared" si="12"/>
        <v>70.48501638186066</v>
      </c>
      <c r="G223" s="238">
        <f>Effort!I223+Aide!I223/Taux!C223+Effort!K223/Taux!C223</f>
        <v>6.2683063541562163</v>
      </c>
      <c r="H223" s="83">
        <f t="shared" si="13"/>
        <v>76.753322736016884</v>
      </c>
      <c r="I223" s="223">
        <f t="shared" si="14"/>
        <v>0</v>
      </c>
      <c r="J223" s="42">
        <f t="shared" si="15"/>
        <v>0</v>
      </c>
      <c r="K223" s="5"/>
      <c r="L223" s="10"/>
      <c r="M223" s="11"/>
      <c r="R223" s="11"/>
    </row>
    <row r="224" spans="1:18" x14ac:dyDescent="0.25">
      <c r="A224" s="38">
        <f>Données!A224</f>
        <v>5763</v>
      </c>
      <c r="B224" s="197" t="str">
        <f>Données!B224</f>
        <v>Valeyres-sous-Rances</v>
      </c>
      <c r="C224" s="348">
        <f>VPI!R224</f>
        <v>22295.640563380282</v>
      </c>
      <c r="D224" s="524">
        <f>Données!AP224</f>
        <v>21.729278245401929</v>
      </c>
      <c r="E224" s="411">
        <f>VPI!Q224</f>
        <v>71</v>
      </c>
      <c r="F224" s="241">
        <f t="shared" si="12"/>
        <v>49.270721754598071</v>
      </c>
      <c r="G224" s="238">
        <f>Effort!I224+Aide!I224/Taux!C224+Effort!K224/Taux!C224</f>
        <v>20.969402405397737</v>
      </c>
      <c r="H224" s="83">
        <f t="shared" si="13"/>
        <v>70.240124159995815</v>
      </c>
      <c r="I224" s="223">
        <f t="shared" si="14"/>
        <v>0</v>
      </c>
      <c r="J224" s="42">
        <f t="shared" si="15"/>
        <v>0</v>
      </c>
      <c r="K224" s="5"/>
      <c r="L224" s="10"/>
      <c r="M224" s="11"/>
      <c r="R224" s="11"/>
    </row>
    <row r="225" spans="1:18" x14ac:dyDescent="0.25">
      <c r="A225" s="38">
        <f>Données!A225</f>
        <v>5764</v>
      </c>
      <c r="B225" s="197" t="str">
        <f>Données!B225</f>
        <v>Vallorbe</v>
      </c>
      <c r="C225" s="348">
        <f>VPI!R225</f>
        <v>83717.114965034954</v>
      </c>
      <c r="D225" s="524">
        <f>Données!AP225</f>
        <v>-10.408585820193373</v>
      </c>
      <c r="E225" s="411">
        <f>VPI!Q225</f>
        <v>71.5</v>
      </c>
      <c r="F225" s="241">
        <f t="shared" si="12"/>
        <v>81.908585820193366</v>
      </c>
      <c r="G225" s="238">
        <f>Effort!I225+Aide!I225/Taux!C225+Effort!K225/Taux!C225</f>
        <v>-12.159865841946019</v>
      </c>
      <c r="H225" s="83">
        <f t="shared" si="13"/>
        <v>69.748719978247351</v>
      </c>
      <c r="I225" s="223">
        <f t="shared" si="14"/>
        <v>0</v>
      </c>
      <c r="J225" s="42">
        <f t="shared" si="15"/>
        <v>0</v>
      </c>
      <c r="K225" s="5"/>
      <c r="L225" s="10"/>
      <c r="M225" s="11"/>
      <c r="R225" s="11"/>
    </row>
    <row r="226" spans="1:18" x14ac:dyDescent="0.25">
      <c r="A226" s="38">
        <f>Données!A226</f>
        <v>5765</v>
      </c>
      <c r="B226" s="197" t="str">
        <f>Données!B226</f>
        <v>Vaulion</v>
      </c>
      <c r="C226" s="348">
        <f>VPI!R226</f>
        <v>9628.0504938271606</v>
      </c>
      <c r="D226" s="524">
        <f>Données!AP226</f>
        <v>-9.6043755098594907</v>
      </c>
      <c r="E226" s="411">
        <f>VPI!Q226</f>
        <v>81</v>
      </c>
      <c r="F226" s="241">
        <f t="shared" si="12"/>
        <v>90.604375509859494</v>
      </c>
      <c r="G226" s="238">
        <f>Effort!I226+Aide!I226/Taux!C226+Effort!K226/Taux!C226</f>
        <v>-9.6088236149084398</v>
      </c>
      <c r="H226" s="83">
        <f t="shared" si="13"/>
        <v>80.995551894951049</v>
      </c>
      <c r="I226" s="223">
        <f t="shared" si="14"/>
        <v>0</v>
      </c>
      <c r="J226" s="42">
        <f t="shared" si="15"/>
        <v>0</v>
      </c>
      <c r="K226" s="5"/>
      <c r="L226" s="10"/>
      <c r="M226" s="11"/>
      <c r="R226" s="11"/>
    </row>
    <row r="227" spans="1:18" x14ac:dyDescent="0.25">
      <c r="A227" s="38">
        <f>Données!A227</f>
        <v>5766</v>
      </c>
      <c r="B227" s="197" t="str">
        <f>Données!B227</f>
        <v>Vuiteboeuf</v>
      </c>
      <c r="C227" s="348">
        <f>VPI!R227</f>
        <v>15422.760361904762</v>
      </c>
      <c r="D227" s="524">
        <f>Données!AP227</f>
        <v>7.2711864730717792</v>
      </c>
      <c r="E227" s="411">
        <f>VPI!Q227</f>
        <v>75</v>
      </c>
      <c r="F227" s="241">
        <f t="shared" si="12"/>
        <v>67.728813526928221</v>
      </c>
      <c r="G227" s="238">
        <f>Effort!I227+Aide!I227/Taux!C227+Effort!K227/Taux!C227</f>
        <v>6.5821835636754198</v>
      </c>
      <c r="H227" s="83">
        <f t="shared" si="13"/>
        <v>74.310997090603635</v>
      </c>
      <c r="I227" s="223">
        <f t="shared" si="14"/>
        <v>0</v>
      </c>
      <c r="J227" s="42">
        <f t="shared" si="15"/>
        <v>0</v>
      </c>
      <c r="K227" s="5"/>
      <c r="L227" s="10"/>
      <c r="M227" s="11"/>
      <c r="R227" s="11"/>
    </row>
    <row r="228" spans="1:18" x14ac:dyDescent="0.25">
      <c r="A228" s="38">
        <f>Données!A228</f>
        <v>5785</v>
      </c>
      <c r="B228" s="197" t="str">
        <f>Données!B228</f>
        <v>Corcelles-le-Jorat</v>
      </c>
      <c r="C228" s="348">
        <f>VPI!R228</f>
        <v>15461.968933333332</v>
      </c>
      <c r="D228" s="524">
        <f>Données!AP228</f>
        <v>11.916290729056737</v>
      </c>
      <c r="E228" s="411">
        <f>VPI!Q228</f>
        <v>75</v>
      </c>
      <c r="F228" s="241">
        <f t="shared" si="12"/>
        <v>63.08370927094326</v>
      </c>
      <c r="G228" s="238">
        <f>Effort!I228+Aide!I228/Taux!C228+Effort!K228/Taux!C228</f>
        <v>15.208877123880949</v>
      </c>
      <c r="H228" s="83">
        <f t="shared" si="13"/>
        <v>78.292586394824212</v>
      </c>
      <c r="I228" s="223">
        <f t="shared" si="14"/>
        <v>0</v>
      </c>
      <c r="J228" s="42">
        <f t="shared" si="15"/>
        <v>0</v>
      </c>
      <c r="K228" s="5"/>
      <c r="L228" s="10"/>
      <c r="M228" s="11"/>
      <c r="R228" s="11"/>
    </row>
    <row r="229" spans="1:18" x14ac:dyDescent="0.25">
      <c r="A229" s="38">
        <f>Données!A229</f>
        <v>5790</v>
      </c>
      <c r="B229" s="197" t="str">
        <f>Données!B229</f>
        <v>Maracon</v>
      </c>
      <c r="C229" s="348">
        <f>VPI!R229</f>
        <v>16326.697583892621</v>
      </c>
      <c r="D229" s="524">
        <f>Données!AP229</f>
        <v>9.8484141944074928</v>
      </c>
      <c r="E229" s="411">
        <f>VPI!Q229</f>
        <v>74.5</v>
      </c>
      <c r="F229" s="241">
        <f t="shared" si="12"/>
        <v>64.651585805592504</v>
      </c>
      <c r="G229" s="238">
        <f>Effort!I229+Aide!I229/Taux!C229+Effort!K229/Taux!C229</f>
        <v>12.935410258094358</v>
      </c>
      <c r="H229" s="83">
        <f t="shared" si="13"/>
        <v>77.586996063686854</v>
      </c>
      <c r="I229" s="223">
        <f t="shared" si="14"/>
        <v>0</v>
      </c>
      <c r="J229" s="42">
        <f t="shared" si="15"/>
        <v>0</v>
      </c>
      <c r="K229" s="5"/>
      <c r="L229" s="10"/>
      <c r="M229" s="11"/>
      <c r="R229" s="11"/>
    </row>
    <row r="230" spans="1:18" x14ac:dyDescent="0.25">
      <c r="A230" s="38">
        <f>Données!A230</f>
        <v>5792</v>
      </c>
      <c r="B230" s="197" t="str">
        <f>Données!B230</f>
        <v>Montpreveyres</v>
      </c>
      <c r="C230" s="348">
        <f>VPI!R230</f>
        <v>19363.161854304632</v>
      </c>
      <c r="D230" s="524">
        <f>Données!AP230</f>
        <v>13.317909050337219</v>
      </c>
      <c r="E230" s="411">
        <f>VPI!Q230</f>
        <v>75.5</v>
      </c>
      <c r="F230" s="241">
        <f t="shared" si="12"/>
        <v>62.182090949662779</v>
      </c>
      <c r="G230" s="238">
        <f>Effort!I230+Aide!I230/Taux!C230+Effort!K230/Taux!C230</f>
        <v>11.496136206571737</v>
      </c>
      <c r="H230" s="83">
        <f t="shared" si="13"/>
        <v>73.678227156234513</v>
      </c>
      <c r="I230" s="223">
        <f t="shared" si="14"/>
        <v>0</v>
      </c>
      <c r="J230" s="42">
        <f t="shared" si="15"/>
        <v>0</v>
      </c>
      <c r="K230" s="5"/>
      <c r="L230" s="10"/>
      <c r="M230" s="11"/>
      <c r="R230" s="11"/>
    </row>
    <row r="231" spans="1:18" x14ac:dyDescent="0.25">
      <c r="A231" s="38">
        <f>Données!A231</f>
        <v>5798</v>
      </c>
      <c r="B231" s="197" t="str">
        <f>Données!B231</f>
        <v>Ropraz</v>
      </c>
      <c r="C231" s="348">
        <f>VPI!R231</f>
        <v>16208.351096774193</v>
      </c>
      <c r="D231" s="524">
        <f>Données!AP231</f>
        <v>15.488637686586149</v>
      </c>
      <c r="E231" s="411">
        <f>VPI!Q231</f>
        <v>77.5</v>
      </c>
      <c r="F231" s="241">
        <f t="shared" si="12"/>
        <v>62.011362313413855</v>
      </c>
      <c r="G231" s="238">
        <f>Effort!I231+Aide!I231/Taux!C231+Effort!K231/Taux!C231</f>
        <v>12.697551138753806</v>
      </c>
      <c r="H231" s="83">
        <f t="shared" si="13"/>
        <v>74.708913452167664</v>
      </c>
      <c r="I231" s="223">
        <f t="shared" si="14"/>
        <v>0</v>
      </c>
      <c r="J231" s="42">
        <f t="shared" si="15"/>
        <v>0</v>
      </c>
      <c r="K231" s="5"/>
      <c r="L231" s="10"/>
      <c r="M231" s="11"/>
      <c r="R231" s="11"/>
    </row>
    <row r="232" spans="1:18" x14ac:dyDescent="0.25">
      <c r="A232" s="38">
        <f>Données!A232</f>
        <v>5799</v>
      </c>
      <c r="B232" s="197" t="str">
        <f>Données!B232</f>
        <v>Servion</v>
      </c>
      <c r="C232" s="348">
        <f>VPI!R232</f>
        <v>73170.718115942043</v>
      </c>
      <c r="D232" s="524">
        <f>Données!AP232</f>
        <v>15.715541187125192</v>
      </c>
      <c r="E232" s="411">
        <f>VPI!Q232</f>
        <v>69</v>
      </c>
      <c r="F232" s="241">
        <f t="shared" si="12"/>
        <v>53.28445881287481</v>
      </c>
      <c r="G232" s="238">
        <f>Effort!I232+Aide!I232/Taux!C232+Effort!K232/Taux!C232</f>
        <v>15.569038935956012</v>
      </c>
      <c r="H232" s="83">
        <f t="shared" si="13"/>
        <v>68.853497748830819</v>
      </c>
      <c r="I232" s="223">
        <f t="shared" si="14"/>
        <v>0</v>
      </c>
      <c r="J232" s="42">
        <f t="shared" si="15"/>
        <v>0</v>
      </c>
      <c r="K232" s="5"/>
      <c r="L232" s="10"/>
      <c r="M232" s="11"/>
      <c r="R232" s="11"/>
    </row>
    <row r="233" spans="1:18" x14ac:dyDescent="0.25">
      <c r="A233" s="38">
        <f>Données!A233</f>
        <v>5803</v>
      </c>
      <c r="B233" s="197" t="str">
        <f>Données!B233</f>
        <v>Vulliens</v>
      </c>
      <c r="C233" s="348">
        <f>VPI!R233</f>
        <v>16577.57405405405</v>
      </c>
      <c r="D233" s="524">
        <f>Données!AP233</f>
        <v>10.405914266366604</v>
      </c>
      <c r="E233" s="411">
        <f>VPI!Q233</f>
        <v>74</v>
      </c>
      <c r="F233" s="241">
        <f t="shared" si="12"/>
        <v>63.594085733633392</v>
      </c>
      <c r="G233" s="238">
        <f>Effort!I233+Aide!I233/Taux!C233+Effort!K233/Taux!C233</f>
        <v>7.4044170893390948</v>
      </c>
      <c r="H233" s="83">
        <f t="shared" si="13"/>
        <v>70.998502822972483</v>
      </c>
      <c r="I233" s="223">
        <f t="shared" si="14"/>
        <v>0</v>
      </c>
      <c r="J233" s="42">
        <f t="shared" si="15"/>
        <v>0</v>
      </c>
      <c r="K233" s="5"/>
      <c r="L233" s="10"/>
      <c r="M233" s="11"/>
      <c r="R233" s="11"/>
    </row>
    <row r="234" spans="1:18" x14ac:dyDescent="0.25">
      <c r="A234" s="38">
        <f>Données!A234</f>
        <v>5804</v>
      </c>
      <c r="B234" s="197" t="str">
        <f>Données!B234</f>
        <v>Jorat-Menthue</v>
      </c>
      <c r="C234" s="348">
        <f>VPI!R234</f>
        <v>45125.345957446807</v>
      </c>
      <c r="D234" s="524">
        <f>Données!AP234</f>
        <v>10.681123475194399</v>
      </c>
      <c r="E234" s="411">
        <f>VPI!Q234</f>
        <v>70.5</v>
      </c>
      <c r="F234" s="241">
        <f t="shared" si="12"/>
        <v>59.818876524805603</v>
      </c>
      <c r="G234" s="238">
        <f>Effort!I234+Aide!I234/Taux!C234+Effort!K234/Taux!C234</f>
        <v>9.9651931478703322</v>
      </c>
      <c r="H234" s="83">
        <f t="shared" si="13"/>
        <v>69.78406967267594</v>
      </c>
      <c r="I234" s="223">
        <f t="shared" si="14"/>
        <v>0</v>
      </c>
      <c r="J234" s="42">
        <f t="shared" si="15"/>
        <v>0</v>
      </c>
      <c r="K234" s="5"/>
      <c r="L234" s="10"/>
      <c r="M234" s="11"/>
      <c r="R234" s="11"/>
    </row>
    <row r="235" spans="1:18" x14ac:dyDescent="0.25">
      <c r="A235" s="38">
        <f>Données!A235</f>
        <v>5805</v>
      </c>
      <c r="B235" s="197" t="str">
        <f>Données!B235</f>
        <v>Oron</v>
      </c>
      <c r="C235" s="348">
        <f>VPI!R235</f>
        <v>174509.83123847167</v>
      </c>
      <c r="D235" s="524">
        <f>Données!AP235</f>
        <v>4.76</v>
      </c>
      <c r="E235" s="411">
        <f>VPI!Q235</f>
        <v>69</v>
      </c>
      <c r="F235" s="241">
        <f t="shared" si="12"/>
        <v>64.239999999999995</v>
      </c>
      <c r="G235" s="238">
        <f>Effort!I235+Aide!I235/Taux!C235+Effort!K235/Taux!C235</f>
        <v>2.7979064086491476</v>
      </c>
      <c r="H235" s="83">
        <f t="shared" si="13"/>
        <v>67.03790640864915</v>
      </c>
      <c r="I235" s="223">
        <f t="shared" si="14"/>
        <v>0</v>
      </c>
      <c r="J235" s="42">
        <f t="shared" si="15"/>
        <v>0</v>
      </c>
      <c r="K235" s="5"/>
      <c r="L235" s="10"/>
      <c r="M235" s="11"/>
      <c r="R235" s="11"/>
    </row>
    <row r="236" spans="1:18" x14ac:dyDescent="0.25">
      <c r="A236" s="38">
        <f>Données!A236</f>
        <v>5806</v>
      </c>
      <c r="B236" s="197" t="str">
        <f>Données!B236</f>
        <v>Jorat-Mézières</v>
      </c>
      <c r="C236" s="348">
        <f>VPI!R236</f>
        <v>102977.86342465752</v>
      </c>
      <c r="D236" s="524">
        <f>Données!AP236</f>
        <v>12.37818528868133</v>
      </c>
      <c r="E236" s="411">
        <f>VPI!Q236</f>
        <v>73</v>
      </c>
      <c r="F236" s="241">
        <f t="shared" si="12"/>
        <v>60.62181471131867</v>
      </c>
      <c r="G236" s="238">
        <f>Effort!I236+Aide!I236/Taux!C236+Effort!K236/Taux!C236</f>
        <v>12.174829181376833</v>
      </c>
      <c r="H236" s="83">
        <f t="shared" si="13"/>
        <v>72.796643892695499</v>
      </c>
      <c r="I236" s="223">
        <f t="shared" si="14"/>
        <v>0</v>
      </c>
      <c r="J236" s="42">
        <f t="shared" si="15"/>
        <v>0</v>
      </c>
      <c r="K236" s="5"/>
      <c r="L236" s="10"/>
      <c r="M236" s="11"/>
      <c r="R236" s="11"/>
    </row>
    <row r="237" spans="1:18" x14ac:dyDescent="0.25">
      <c r="A237" s="38">
        <f>Données!A237</f>
        <v>5812</v>
      </c>
      <c r="B237" s="197" t="str">
        <f>Données!B237</f>
        <v>Champtauroz</v>
      </c>
      <c r="C237" s="348">
        <f>VPI!R237</f>
        <v>3602.9164935064928</v>
      </c>
      <c r="D237" s="524">
        <f>Données!AP237</f>
        <v>-9.5838895694061215</v>
      </c>
      <c r="E237" s="411">
        <f>VPI!Q237</f>
        <v>77</v>
      </c>
      <c r="F237" s="241">
        <f t="shared" si="12"/>
        <v>86.583889569406125</v>
      </c>
      <c r="G237" s="238">
        <f>Effort!I237+Aide!I237/Taux!C237+Effort!K237/Taux!C237</f>
        <v>-5.3435858470006465</v>
      </c>
      <c r="H237" s="83">
        <f t="shared" si="13"/>
        <v>81.240303722405486</v>
      </c>
      <c r="I237" s="223">
        <f t="shared" si="14"/>
        <v>0</v>
      </c>
      <c r="J237" s="42">
        <f t="shared" si="15"/>
        <v>0</v>
      </c>
      <c r="K237" s="5"/>
      <c r="L237" s="10"/>
      <c r="M237" s="11"/>
      <c r="R237" s="11"/>
    </row>
    <row r="238" spans="1:18" x14ac:dyDescent="0.25">
      <c r="A238" s="38">
        <f>Données!A238</f>
        <v>5813</v>
      </c>
      <c r="B238" s="197" t="str">
        <f>Données!B238</f>
        <v>Chevroux</v>
      </c>
      <c r="C238" s="348">
        <f>VPI!R238</f>
        <v>17498.80282238443</v>
      </c>
      <c r="D238" s="524">
        <f>Données!AP238</f>
        <v>15.423649306347688</v>
      </c>
      <c r="E238" s="411">
        <f>VPI!Q238</f>
        <v>68.5</v>
      </c>
      <c r="F238" s="241">
        <f t="shared" si="12"/>
        <v>53.076350693652316</v>
      </c>
      <c r="G238" s="238">
        <f>Effort!I238+Aide!I238/Taux!C238+Effort!K238/Taux!C238</f>
        <v>18.661007419319624</v>
      </c>
      <c r="H238" s="83">
        <f t="shared" si="13"/>
        <v>71.737358112971947</v>
      </c>
      <c r="I238" s="223">
        <f t="shared" si="14"/>
        <v>0</v>
      </c>
      <c r="J238" s="42">
        <f t="shared" si="15"/>
        <v>0</v>
      </c>
      <c r="K238" s="5"/>
      <c r="L238" s="10"/>
      <c r="M238" s="11"/>
      <c r="R238" s="11"/>
    </row>
    <row r="239" spans="1:18" x14ac:dyDescent="0.25">
      <c r="A239" s="38">
        <f>Données!A239</f>
        <v>5816</v>
      </c>
      <c r="B239" s="197" t="str">
        <f>Données!B239</f>
        <v>Corcelles-près-Payerne</v>
      </c>
      <c r="C239" s="348">
        <f>VPI!R239</f>
        <v>65701.749572471308</v>
      </c>
      <c r="D239" s="524">
        <f>Données!AP239</f>
        <v>0.93090117389282034</v>
      </c>
      <c r="E239" s="411">
        <f>VPI!Q239</f>
        <v>68.5</v>
      </c>
      <c r="F239" s="241">
        <f t="shared" si="12"/>
        <v>67.569098826107179</v>
      </c>
      <c r="G239" s="238">
        <f>Effort!I239+Aide!I239/Taux!C239+Effort!K239/Taux!C239</f>
        <v>-1.9721474595215298</v>
      </c>
      <c r="H239" s="83">
        <f t="shared" si="13"/>
        <v>65.596951366585643</v>
      </c>
      <c r="I239" s="223">
        <f t="shared" si="14"/>
        <v>0</v>
      </c>
      <c r="J239" s="42">
        <f t="shared" si="15"/>
        <v>0</v>
      </c>
      <c r="K239" s="5"/>
      <c r="L239" s="10"/>
      <c r="M239" s="11"/>
      <c r="R239" s="11"/>
    </row>
    <row r="240" spans="1:18" x14ac:dyDescent="0.25">
      <c r="A240" s="38">
        <f>Données!A240</f>
        <v>5817</v>
      </c>
      <c r="B240" s="197" t="str">
        <f>Données!B240</f>
        <v>Grandcour</v>
      </c>
      <c r="C240" s="348">
        <f>VPI!R240</f>
        <v>25916.897414965984</v>
      </c>
      <c r="D240" s="524">
        <f>Données!AP240</f>
        <v>5.5769047828215514</v>
      </c>
      <c r="E240" s="411">
        <f>VPI!Q240</f>
        <v>73.5</v>
      </c>
      <c r="F240" s="241">
        <f t="shared" si="12"/>
        <v>67.923095217178442</v>
      </c>
      <c r="G240" s="238">
        <f>Effort!I240+Aide!I240/Taux!C240+Effort!K240/Taux!C240</f>
        <v>7.0579807387141464</v>
      </c>
      <c r="H240" s="83">
        <f t="shared" si="13"/>
        <v>74.981075955892592</v>
      </c>
      <c r="I240" s="223">
        <f t="shared" si="14"/>
        <v>0</v>
      </c>
      <c r="J240" s="42">
        <f t="shared" si="15"/>
        <v>0</v>
      </c>
      <c r="K240" s="5"/>
      <c r="L240" s="10"/>
      <c r="M240" s="11"/>
      <c r="R240" s="11"/>
    </row>
    <row r="241" spans="1:18" x14ac:dyDescent="0.25">
      <c r="A241" s="38">
        <f>Données!A241</f>
        <v>5819</v>
      </c>
      <c r="B241" s="197" t="str">
        <f>Données!B241</f>
        <v>Henniez</v>
      </c>
      <c r="C241" s="348">
        <f>VPI!R241</f>
        <v>10275.75579710145</v>
      </c>
      <c r="D241" s="524">
        <f>Données!AP241</f>
        <v>7.6061940100530867</v>
      </c>
      <c r="E241" s="411">
        <f>VPI!Q241</f>
        <v>69</v>
      </c>
      <c r="F241" s="241">
        <f t="shared" si="12"/>
        <v>61.393805989946912</v>
      </c>
      <c r="G241" s="238">
        <f>Effort!I241+Aide!I241/Taux!C241+Effort!K241/Taux!C241</f>
        <v>7.5490428789140456</v>
      </c>
      <c r="H241" s="83">
        <f t="shared" si="13"/>
        <v>68.942848868860963</v>
      </c>
      <c r="I241" s="223">
        <f t="shared" si="14"/>
        <v>0</v>
      </c>
      <c r="J241" s="42">
        <f t="shared" si="15"/>
        <v>0</v>
      </c>
      <c r="K241" s="5"/>
      <c r="L241" s="10"/>
      <c r="M241" s="11"/>
      <c r="R241" s="11"/>
    </row>
    <row r="242" spans="1:18" x14ac:dyDescent="0.25">
      <c r="A242" s="38">
        <f>Données!A242</f>
        <v>5821</v>
      </c>
      <c r="B242" s="197" t="str">
        <f>Données!B242</f>
        <v>Missy</v>
      </c>
      <c r="C242" s="348">
        <f>VPI!R242</f>
        <v>8375.965000000002</v>
      </c>
      <c r="D242" s="524">
        <f>Données!AP242</f>
        <v>0.29917918232189084</v>
      </c>
      <c r="E242" s="411">
        <f>VPI!Q242</f>
        <v>72</v>
      </c>
      <c r="F242" s="241">
        <f t="shared" si="12"/>
        <v>71.700820817678107</v>
      </c>
      <c r="G242" s="238">
        <f>Effort!I242+Aide!I242/Taux!C242+Effort!K242/Taux!C242</f>
        <v>-0.75934741770587877</v>
      </c>
      <c r="H242" s="83">
        <f t="shared" si="13"/>
        <v>70.941473399972224</v>
      </c>
      <c r="I242" s="223">
        <f t="shared" si="14"/>
        <v>0</v>
      </c>
      <c r="J242" s="42">
        <f t="shared" si="15"/>
        <v>0</v>
      </c>
      <c r="K242" s="5"/>
      <c r="L242" s="10"/>
      <c r="M242" s="11"/>
      <c r="R242" s="11"/>
    </row>
    <row r="243" spans="1:18" x14ac:dyDescent="0.25">
      <c r="A243" s="38">
        <f>Données!A243</f>
        <v>5822</v>
      </c>
      <c r="B243" s="197" t="str">
        <f>Données!B243</f>
        <v>Payerne</v>
      </c>
      <c r="C243" s="348">
        <f>VPI!R243</f>
        <v>226909.24698630138</v>
      </c>
      <c r="D243" s="524">
        <f>Données!AP243</f>
        <v>-13.904021071596492</v>
      </c>
      <c r="E243" s="411">
        <f>VPI!Q243</f>
        <v>73</v>
      </c>
      <c r="F243" s="241">
        <f t="shared" si="12"/>
        <v>86.904021071596489</v>
      </c>
      <c r="G243" s="238">
        <f>Effort!I243+Aide!I243/Taux!C243+Effort!K243/Taux!C243</f>
        <v>-12.507212128123374</v>
      </c>
      <c r="H243" s="83">
        <f t="shared" si="13"/>
        <v>74.396808943473118</v>
      </c>
      <c r="I243" s="223">
        <f t="shared" si="14"/>
        <v>0</v>
      </c>
      <c r="J243" s="42">
        <f t="shared" si="15"/>
        <v>0</v>
      </c>
      <c r="K243" s="5"/>
      <c r="L243" s="10"/>
      <c r="M243" s="11"/>
      <c r="R243" s="11"/>
    </row>
    <row r="244" spans="1:18" x14ac:dyDescent="0.25">
      <c r="A244" s="38">
        <f>Données!A244</f>
        <v>5827</v>
      </c>
      <c r="B244" s="197" t="str">
        <f>Données!B244</f>
        <v>Trey</v>
      </c>
      <c r="C244" s="348">
        <f>VPI!R244</f>
        <v>7715.2558974358981</v>
      </c>
      <c r="D244" s="524">
        <f>Données!AP244</f>
        <v>1.2643892162738712</v>
      </c>
      <c r="E244" s="411">
        <f>VPI!Q244</f>
        <v>78</v>
      </c>
      <c r="F244" s="241">
        <f t="shared" si="12"/>
        <v>76.735610783726131</v>
      </c>
      <c r="G244" s="238">
        <f>Effort!I244+Aide!I244/Taux!C244+Effort!K244/Taux!C244</f>
        <v>4.0143717788069537</v>
      </c>
      <c r="H244" s="83">
        <f t="shared" si="13"/>
        <v>80.749982562533091</v>
      </c>
      <c r="I244" s="223">
        <f t="shared" si="14"/>
        <v>0</v>
      </c>
      <c r="J244" s="42">
        <f t="shared" si="15"/>
        <v>0</v>
      </c>
      <c r="K244" s="5"/>
      <c r="L244" s="10"/>
      <c r="M244" s="11"/>
      <c r="R244" s="11"/>
    </row>
    <row r="245" spans="1:18" x14ac:dyDescent="0.25">
      <c r="A245" s="38">
        <f>Données!A245</f>
        <v>5828</v>
      </c>
      <c r="B245" s="197" t="str">
        <f>Données!B245</f>
        <v>Treytorrens (Payerne)</v>
      </c>
      <c r="C245" s="348">
        <f>VPI!R245</f>
        <v>2864.8065848670758</v>
      </c>
      <c r="D245" s="524">
        <f>Données!AP245</f>
        <v>3.3943479223529729</v>
      </c>
      <c r="E245" s="411">
        <f>VPI!Q245</f>
        <v>81.5</v>
      </c>
      <c r="F245" s="241">
        <f t="shared" si="12"/>
        <v>78.105652077647022</v>
      </c>
      <c r="G245" s="238">
        <f>Effort!I245+Aide!I245/Taux!C245+Effort!K245/Taux!C245</f>
        <v>5.5404511292807399</v>
      </c>
      <c r="H245" s="83">
        <f t="shared" si="13"/>
        <v>83.646103206927762</v>
      </c>
      <c r="I245" s="223">
        <f t="shared" si="14"/>
        <v>0</v>
      </c>
      <c r="J245" s="42">
        <f t="shared" si="15"/>
        <v>0</v>
      </c>
      <c r="K245" s="5"/>
      <c r="L245" s="10"/>
      <c r="M245" s="11"/>
      <c r="R245" s="11"/>
    </row>
    <row r="246" spans="1:18" x14ac:dyDescent="0.25">
      <c r="A246" s="38">
        <f>Données!A246</f>
        <v>5830</v>
      </c>
      <c r="B246" s="197" t="str">
        <f>Données!B246</f>
        <v>Villarzel</v>
      </c>
      <c r="C246" s="348">
        <f>VPI!R246</f>
        <v>12474.180666666667</v>
      </c>
      <c r="D246" s="524">
        <f>Données!AP246</f>
        <v>4.4915492368597123</v>
      </c>
      <c r="E246" s="411">
        <f>VPI!Q246</f>
        <v>75</v>
      </c>
      <c r="F246" s="241">
        <f t="shared" si="12"/>
        <v>70.508450763140289</v>
      </c>
      <c r="G246" s="238">
        <f>Effort!I246+Aide!I246/Taux!C246+Effort!K246/Taux!C246</f>
        <v>5.7833526598508556</v>
      </c>
      <c r="H246" s="83">
        <f t="shared" si="13"/>
        <v>76.291803422991137</v>
      </c>
      <c r="I246" s="223">
        <f t="shared" si="14"/>
        <v>0</v>
      </c>
      <c r="J246" s="42">
        <f t="shared" si="15"/>
        <v>0</v>
      </c>
      <c r="K246" s="5"/>
      <c r="L246" s="10"/>
      <c r="M246" s="11"/>
      <c r="R246" s="11"/>
    </row>
    <row r="247" spans="1:18" x14ac:dyDescent="0.25">
      <c r="A247" s="38">
        <f>Données!A247</f>
        <v>5831</v>
      </c>
      <c r="B247" s="197" t="str">
        <f>Données!B247</f>
        <v>Valbroye</v>
      </c>
      <c r="C247" s="348">
        <f>VPI!R247</f>
        <v>87477.16732860521</v>
      </c>
      <c r="D247" s="524">
        <f>Données!AP247</f>
        <v>-1.2835806652725137</v>
      </c>
      <c r="E247" s="411">
        <f>VPI!Q247</f>
        <v>70.5</v>
      </c>
      <c r="F247" s="241">
        <f t="shared" si="12"/>
        <v>71.78358066527251</v>
      </c>
      <c r="G247" s="238">
        <f>Effort!I247+Aide!I247/Taux!C247+Effort!K247/Taux!C247</f>
        <v>1.8671508563501149</v>
      </c>
      <c r="H247" s="83">
        <f t="shared" si="13"/>
        <v>73.650731521622617</v>
      </c>
      <c r="I247" s="223">
        <f t="shared" si="14"/>
        <v>0</v>
      </c>
      <c r="J247" s="42">
        <f t="shared" si="15"/>
        <v>0</v>
      </c>
      <c r="K247" s="5"/>
      <c r="L247" s="10"/>
      <c r="M247" s="11"/>
      <c r="R247" s="11"/>
    </row>
    <row r="248" spans="1:18" x14ac:dyDescent="0.25">
      <c r="A248" s="38">
        <f>Données!A248</f>
        <v>5841</v>
      </c>
      <c r="B248" s="197" t="str">
        <f>Données!B248</f>
        <v>Château-d'Oex</v>
      </c>
      <c r="C248" s="348">
        <f>VPI!R248</f>
        <v>123828.98781186093</v>
      </c>
      <c r="D248" s="524">
        <f>Données!AP248</f>
        <v>6.385520132027378</v>
      </c>
      <c r="E248" s="411">
        <f>VPI!Q248</f>
        <v>81.5</v>
      </c>
      <c r="F248" s="241">
        <f t="shared" si="12"/>
        <v>75.114479867972619</v>
      </c>
      <c r="G248" s="238">
        <f>Effort!I248+Aide!I248/Taux!C248+Effort!K248/Taux!C248</f>
        <v>11.090014891539441</v>
      </c>
      <c r="H248" s="83">
        <f t="shared" si="13"/>
        <v>86.204494759512059</v>
      </c>
      <c r="I248" s="223">
        <f t="shared" si="14"/>
        <v>0</v>
      </c>
      <c r="J248" s="42">
        <f t="shared" si="15"/>
        <v>0</v>
      </c>
      <c r="K248" s="5"/>
      <c r="L248" s="10"/>
      <c r="M248" s="11"/>
      <c r="R248" s="11"/>
    </row>
    <row r="249" spans="1:18" x14ac:dyDescent="0.25">
      <c r="A249" s="38">
        <f>Données!A249</f>
        <v>5842</v>
      </c>
      <c r="B249" s="197" t="str">
        <f>Données!B249</f>
        <v>Rossinière</v>
      </c>
      <c r="C249" s="348">
        <f>VPI!R249</f>
        <v>16474.219053497945</v>
      </c>
      <c r="D249" s="524">
        <f>Données!AP249</f>
        <v>7.2903301724338467</v>
      </c>
      <c r="E249" s="411">
        <f>VPI!Q249</f>
        <v>81</v>
      </c>
      <c r="F249" s="241">
        <f t="shared" si="12"/>
        <v>73.709669827566159</v>
      </c>
      <c r="G249" s="238">
        <f>Effort!I249+Aide!I249/Taux!C249+Effort!K249/Taux!C249</f>
        <v>11.721663075789483</v>
      </c>
      <c r="H249" s="83">
        <f t="shared" si="13"/>
        <v>85.431332903355639</v>
      </c>
      <c r="I249" s="223">
        <f t="shared" si="14"/>
        <v>0</v>
      </c>
      <c r="J249" s="42">
        <f t="shared" si="15"/>
        <v>0</v>
      </c>
      <c r="K249" s="5"/>
      <c r="L249" s="10"/>
      <c r="M249" s="11"/>
      <c r="R249" s="11"/>
    </row>
    <row r="250" spans="1:18" x14ac:dyDescent="0.25">
      <c r="A250" s="38">
        <f>Données!A250</f>
        <v>5843</v>
      </c>
      <c r="B250" s="197" t="str">
        <f>Données!B250</f>
        <v>Rougemont</v>
      </c>
      <c r="C250" s="348">
        <f>VPI!R250</f>
        <v>89736.824345991568</v>
      </c>
      <c r="D250" s="524">
        <f>Données!AP250</f>
        <v>45.442833562218411</v>
      </c>
      <c r="E250" s="411">
        <f>VPI!Q250</f>
        <v>79</v>
      </c>
      <c r="F250" s="241">
        <f t="shared" si="12"/>
        <v>33.557166437781589</v>
      </c>
      <c r="G250" s="238">
        <f>Effort!I250+Aide!I250/Taux!C250+Effort!K250/Taux!C250</f>
        <v>45.447475587775372</v>
      </c>
      <c r="H250" s="83">
        <f t="shared" si="13"/>
        <v>79.004642025556961</v>
      </c>
      <c r="I250" s="223">
        <f t="shared" si="14"/>
        <v>0</v>
      </c>
      <c r="J250" s="42">
        <f t="shared" si="15"/>
        <v>0</v>
      </c>
      <c r="K250" s="5"/>
      <c r="L250" s="10"/>
      <c r="M250" s="11"/>
      <c r="R250" s="11"/>
    </row>
    <row r="251" spans="1:18" x14ac:dyDescent="0.25">
      <c r="A251" s="38">
        <f>Données!A251</f>
        <v>5851</v>
      </c>
      <c r="B251" s="197" t="str">
        <f>Données!B251</f>
        <v>Allaman</v>
      </c>
      <c r="C251" s="348">
        <f>VPI!R251</f>
        <v>24432.115794871796</v>
      </c>
      <c r="D251" s="524">
        <f>Données!AP251</f>
        <v>30.657222249186244</v>
      </c>
      <c r="E251" s="411">
        <f>VPI!Q251</f>
        <v>65</v>
      </c>
      <c r="F251" s="241">
        <f t="shared" si="12"/>
        <v>34.342777750813752</v>
      </c>
      <c r="G251" s="238">
        <f>Effort!I251+Aide!I251/Taux!C251+Effort!K251/Taux!C251</f>
        <v>30.817254607760447</v>
      </c>
      <c r="H251" s="83">
        <f t="shared" si="13"/>
        <v>65.160032358574199</v>
      </c>
      <c r="I251" s="223">
        <f t="shared" si="14"/>
        <v>0</v>
      </c>
      <c r="J251" s="42">
        <f t="shared" si="15"/>
        <v>0</v>
      </c>
      <c r="K251" s="5"/>
      <c r="L251" s="10"/>
      <c r="M251" s="11"/>
      <c r="R251" s="11"/>
    </row>
    <row r="252" spans="1:18" x14ac:dyDescent="0.25">
      <c r="A252" s="38">
        <f>Données!A252</f>
        <v>5852</v>
      </c>
      <c r="B252" s="197" t="str">
        <f>Données!B252</f>
        <v>Bursinel</v>
      </c>
      <c r="C252" s="348">
        <f>VPI!R252</f>
        <v>35649.594677419358</v>
      </c>
      <c r="D252" s="524">
        <f>Données!AP252</f>
        <v>33.321693419210249</v>
      </c>
      <c r="E252" s="411">
        <f>VPI!Q252</f>
        <v>62</v>
      </c>
      <c r="F252" s="241">
        <f t="shared" si="12"/>
        <v>28.678306580789751</v>
      </c>
      <c r="G252" s="238">
        <f>Effort!I252+Aide!I252/Taux!C252+Effort!K252/Taux!C252</f>
        <v>34.075230074587694</v>
      </c>
      <c r="H252" s="83">
        <f t="shared" si="13"/>
        <v>62.753536655377445</v>
      </c>
      <c r="I252" s="223">
        <f t="shared" si="14"/>
        <v>0</v>
      </c>
      <c r="J252" s="42">
        <f t="shared" si="15"/>
        <v>0</v>
      </c>
      <c r="K252" s="5"/>
      <c r="L252" s="10"/>
      <c r="M252" s="11"/>
      <c r="R252" s="11"/>
    </row>
    <row r="253" spans="1:18" x14ac:dyDescent="0.25">
      <c r="A253" s="38">
        <f>Données!A253</f>
        <v>5853</v>
      </c>
      <c r="B253" s="197" t="str">
        <f>Données!B253</f>
        <v>Bursins</v>
      </c>
      <c r="C253" s="348">
        <f>VPI!R253</f>
        <v>47536.23239436619</v>
      </c>
      <c r="D253" s="524">
        <f>Données!AP253</f>
        <v>30.943739487095645</v>
      </c>
      <c r="E253" s="411">
        <f>VPI!Q253</f>
        <v>71</v>
      </c>
      <c r="F253" s="241">
        <f t="shared" si="12"/>
        <v>40.056260512904359</v>
      </c>
      <c r="G253" s="238">
        <f>Effort!I253+Aide!I253/Taux!C253+Effort!K253/Taux!C253</f>
        <v>32.316174539354812</v>
      </c>
      <c r="H253" s="83">
        <f t="shared" si="13"/>
        <v>72.372435052259164</v>
      </c>
      <c r="I253" s="223">
        <f t="shared" si="14"/>
        <v>0</v>
      </c>
      <c r="J253" s="42">
        <f t="shared" si="15"/>
        <v>0</v>
      </c>
      <c r="K253" s="5"/>
      <c r="L253" s="10"/>
      <c r="M253" s="11"/>
      <c r="R253" s="11"/>
    </row>
    <row r="254" spans="1:18" x14ac:dyDescent="0.25">
      <c r="A254" s="38">
        <f>Données!A254</f>
        <v>5854</v>
      </c>
      <c r="B254" s="197" t="str">
        <f>Données!B254</f>
        <v>Burtigny</v>
      </c>
      <c r="C254" s="348">
        <f>VPI!R254</f>
        <v>15260.883397027597</v>
      </c>
      <c r="D254" s="524">
        <f>Données!AP254</f>
        <v>19.283542136804243</v>
      </c>
      <c r="E254" s="411">
        <f>VPI!Q254</f>
        <v>78.5</v>
      </c>
      <c r="F254" s="241">
        <f t="shared" si="12"/>
        <v>59.216457863195757</v>
      </c>
      <c r="G254" s="238">
        <f>Effort!I254+Aide!I254/Taux!C254+Effort!K254/Taux!C254</f>
        <v>19.619129510322789</v>
      </c>
      <c r="H254" s="83">
        <f t="shared" si="13"/>
        <v>78.83558737351855</v>
      </c>
      <c r="I254" s="223">
        <f t="shared" si="14"/>
        <v>0</v>
      </c>
      <c r="J254" s="42">
        <f t="shared" si="15"/>
        <v>0</v>
      </c>
      <c r="K254" s="5"/>
      <c r="L254" s="10"/>
      <c r="M254" s="11"/>
      <c r="R254" s="11"/>
    </row>
    <row r="255" spans="1:18" x14ac:dyDescent="0.25">
      <c r="A255" s="38">
        <f>Données!A255</f>
        <v>5855</v>
      </c>
      <c r="B255" s="197" t="str">
        <f>Données!B255</f>
        <v>Dully</v>
      </c>
      <c r="C255" s="348">
        <f>VPI!R255</f>
        <v>82571.89</v>
      </c>
      <c r="D255" s="524">
        <f>Données!AP255</f>
        <v>43.842206024665565</v>
      </c>
      <c r="E255" s="411">
        <f>VPI!Q255</f>
        <v>53</v>
      </c>
      <c r="F255" s="241">
        <f t="shared" si="12"/>
        <v>9.1577939753344353</v>
      </c>
      <c r="G255" s="238">
        <f>Effort!I255+Aide!I255/Taux!C255+Effort!K255/Taux!C255</f>
        <v>43.224984700387587</v>
      </c>
      <c r="H255" s="83">
        <f t="shared" si="13"/>
        <v>52.382778675722022</v>
      </c>
      <c r="I255" s="223">
        <f t="shared" si="14"/>
        <v>0</v>
      </c>
      <c r="J255" s="42">
        <f t="shared" si="15"/>
        <v>0</v>
      </c>
      <c r="K255" s="5"/>
      <c r="L255" s="10"/>
      <c r="M255" s="11"/>
      <c r="R255" s="11"/>
    </row>
    <row r="256" spans="1:18" x14ac:dyDescent="0.25">
      <c r="A256" s="38">
        <f>Données!A256</f>
        <v>5856</v>
      </c>
      <c r="B256" s="197" t="str">
        <f>Données!B256</f>
        <v>Essertines-sur-Rolle</v>
      </c>
      <c r="C256" s="348">
        <f>VPI!R256</f>
        <v>36688.113684210526</v>
      </c>
      <c r="D256" s="524">
        <f>Données!AP256</f>
        <v>30.395880353325364</v>
      </c>
      <c r="E256" s="411">
        <f>VPI!Q256</f>
        <v>66.5</v>
      </c>
      <c r="F256" s="241">
        <f t="shared" si="12"/>
        <v>36.104119646674633</v>
      </c>
      <c r="G256" s="238">
        <f>Effort!I256+Aide!I256/Taux!C256+Effort!K256/Taux!C256</f>
        <v>28.20039268230834</v>
      </c>
      <c r="H256" s="83">
        <f t="shared" si="13"/>
        <v>64.30451232898298</v>
      </c>
      <c r="I256" s="223">
        <f t="shared" si="14"/>
        <v>0</v>
      </c>
      <c r="J256" s="42">
        <f t="shared" si="15"/>
        <v>0</v>
      </c>
      <c r="K256" s="5"/>
      <c r="L256" s="10"/>
      <c r="M256" s="11"/>
      <c r="R256" s="11"/>
    </row>
    <row r="257" spans="1:18" x14ac:dyDescent="0.25">
      <c r="A257" s="38">
        <f>Données!A257</f>
        <v>5857</v>
      </c>
      <c r="B257" s="197" t="str">
        <f>Données!B257</f>
        <v>Gilly</v>
      </c>
      <c r="C257" s="348">
        <f>VPI!R257</f>
        <v>86828.689767441872</v>
      </c>
      <c r="D257" s="524">
        <f>Données!AP257</f>
        <v>30.914347949082504</v>
      </c>
      <c r="E257" s="411">
        <f>VPI!Q257</f>
        <v>64.5</v>
      </c>
      <c r="F257" s="241">
        <f t="shared" si="12"/>
        <v>33.585652050917496</v>
      </c>
      <c r="G257" s="238">
        <f>Effort!I257+Aide!I257/Taux!C257+Effort!K257/Taux!C257</f>
        <v>30.213768144260523</v>
      </c>
      <c r="H257" s="83">
        <f t="shared" si="13"/>
        <v>63.799420195178016</v>
      </c>
      <c r="I257" s="223">
        <f t="shared" si="14"/>
        <v>0</v>
      </c>
      <c r="J257" s="42">
        <f t="shared" si="15"/>
        <v>0</v>
      </c>
      <c r="K257" s="5"/>
      <c r="L257" s="10"/>
      <c r="M257" s="11"/>
      <c r="R257" s="11"/>
    </row>
    <row r="258" spans="1:18" x14ac:dyDescent="0.25">
      <c r="A258" s="38">
        <f>Données!A258</f>
        <v>5858</v>
      </c>
      <c r="B258" s="197" t="str">
        <f>Données!B258</f>
        <v>Luins</v>
      </c>
      <c r="C258" s="348">
        <f>VPI!R258</f>
        <v>41178.091054131051</v>
      </c>
      <c r="D258" s="524">
        <f>Données!AP258</f>
        <v>31.428078368315767</v>
      </c>
      <c r="E258" s="411">
        <f>VPI!Q258</f>
        <v>58.5</v>
      </c>
      <c r="F258" s="241">
        <f t="shared" si="12"/>
        <v>27.071921631684233</v>
      </c>
      <c r="G258" s="238">
        <f>Effort!I258+Aide!I258/Taux!C258+Effort!K258/Taux!C258</f>
        <v>32.860105459214466</v>
      </c>
      <c r="H258" s="83">
        <f t="shared" si="13"/>
        <v>59.9320270908987</v>
      </c>
      <c r="I258" s="223">
        <f t="shared" si="14"/>
        <v>0</v>
      </c>
      <c r="J258" s="42">
        <f t="shared" si="15"/>
        <v>0</v>
      </c>
      <c r="K258" s="5"/>
      <c r="L258" s="10"/>
      <c r="M258" s="11"/>
      <c r="R258" s="11"/>
    </row>
    <row r="259" spans="1:18" x14ac:dyDescent="0.25">
      <c r="A259" s="38">
        <f>Données!A259</f>
        <v>5859</v>
      </c>
      <c r="B259" s="197" t="str">
        <f>Données!B259</f>
        <v>Mont-sur-Rolle</v>
      </c>
      <c r="C259" s="348">
        <f>VPI!R259</f>
        <v>158441.81716535432</v>
      </c>
      <c r="D259" s="524">
        <f>Données!AP259</f>
        <v>28.613893428282903</v>
      </c>
      <c r="E259" s="411">
        <f>VPI!Q259</f>
        <v>63.5</v>
      </c>
      <c r="F259" s="241">
        <f t="shared" si="12"/>
        <v>34.886106571717093</v>
      </c>
      <c r="G259" s="238">
        <f>Effort!I259+Aide!I259/Taux!C259+Effort!K259/Taux!C259</f>
        <v>28.005914615336934</v>
      </c>
      <c r="H259" s="83">
        <f t="shared" si="13"/>
        <v>62.892021187054027</v>
      </c>
      <c r="I259" s="223">
        <f t="shared" si="14"/>
        <v>0</v>
      </c>
      <c r="J259" s="42">
        <f t="shared" si="15"/>
        <v>0</v>
      </c>
      <c r="K259" s="5"/>
      <c r="L259" s="10"/>
      <c r="M259" s="11"/>
      <c r="R259" s="11"/>
    </row>
    <row r="260" spans="1:18" x14ac:dyDescent="0.25">
      <c r="A260" s="38">
        <f>Données!A260</f>
        <v>5860</v>
      </c>
      <c r="B260" s="197" t="str">
        <f>Données!B260</f>
        <v>Perroy</v>
      </c>
      <c r="C260" s="348">
        <f>VPI!R260</f>
        <v>132374.98733727811</v>
      </c>
      <c r="D260" s="524">
        <f>Données!AP260</f>
        <v>35.589111334884009</v>
      </c>
      <c r="E260" s="411">
        <f>VPI!Q260</f>
        <v>58.5</v>
      </c>
      <c r="F260" s="241">
        <f t="shared" si="12"/>
        <v>22.910888665115991</v>
      </c>
      <c r="G260" s="238">
        <f>Effort!I260+Aide!I260/Taux!C260+Effort!K260/Taux!C260</f>
        <v>36.28729977077036</v>
      </c>
      <c r="H260" s="83">
        <f t="shared" si="13"/>
        <v>59.198188435886351</v>
      </c>
      <c r="I260" s="223">
        <f t="shared" si="14"/>
        <v>0</v>
      </c>
      <c r="J260" s="42">
        <f t="shared" si="15"/>
        <v>0</v>
      </c>
      <c r="K260" s="5"/>
      <c r="L260" s="10"/>
      <c r="M260" s="11"/>
      <c r="R260" s="11"/>
    </row>
    <row r="261" spans="1:18" x14ac:dyDescent="0.25">
      <c r="A261" s="38">
        <f>Données!A261</f>
        <v>5861</v>
      </c>
      <c r="B261" s="197" t="str">
        <f>Données!B261</f>
        <v>Rolle</v>
      </c>
      <c r="C261" s="348">
        <f>VPI!R261</f>
        <v>897513.79815126071</v>
      </c>
      <c r="D261" s="524">
        <f>Données!AP261</f>
        <v>37.518156761907811</v>
      </c>
      <c r="E261" s="411">
        <f>VPI!Q261</f>
        <v>59.5</v>
      </c>
      <c r="F261" s="241">
        <f t="shared" si="12"/>
        <v>21.981843238092189</v>
      </c>
      <c r="G261" s="238">
        <f>Effort!I261+Aide!I261/Taux!C261+Effort!K261/Taux!C261</f>
        <v>43.98955908133231</v>
      </c>
      <c r="H261" s="83">
        <f t="shared" si="13"/>
        <v>65.971402319424499</v>
      </c>
      <c r="I261" s="223">
        <f t="shared" si="14"/>
        <v>0</v>
      </c>
      <c r="J261" s="42">
        <f t="shared" si="15"/>
        <v>0</v>
      </c>
      <c r="K261" s="5"/>
      <c r="L261" s="10"/>
      <c r="M261" s="11"/>
      <c r="R261" s="11"/>
    </row>
    <row r="262" spans="1:18" x14ac:dyDescent="0.25">
      <c r="A262" s="38">
        <f>Données!A262</f>
        <v>5862</v>
      </c>
      <c r="B262" s="197" t="str">
        <f>Données!B262</f>
        <v>Tartegnin</v>
      </c>
      <c r="C262" s="348">
        <f>VPI!R262</f>
        <v>10371.497468354431</v>
      </c>
      <c r="D262" s="524">
        <f>Données!AP262</f>
        <v>15.13036296141965</v>
      </c>
      <c r="E262" s="411">
        <f>VPI!Q262</f>
        <v>79</v>
      </c>
      <c r="F262" s="241">
        <f t="shared" si="12"/>
        <v>63.86963703858035</v>
      </c>
      <c r="G262" s="238">
        <f>Effort!I262+Aide!I262/Taux!C262+Effort!K262/Taux!C262</f>
        <v>23.69286411325329</v>
      </c>
      <c r="H262" s="83">
        <f t="shared" si="13"/>
        <v>87.562501151833644</v>
      </c>
      <c r="I262" s="223">
        <f t="shared" si="14"/>
        <v>0</v>
      </c>
      <c r="J262" s="42">
        <f t="shared" si="15"/>
        <v>0</v>
      </c>
      <c r="K262" s="5"/>
      <c r="L262" s="10"/>
      <c r="M262" s="11"/>
      <c r="R262" s="11"/>
    </row>
    <row r="263" spans="1:18" x14ac:dyDescent="0.25">
      <c r="A263" s="38">
        <f>Données!A263</f>
        <v>5863</v>
      </c>
      <c r="B263" s="197" t="str">
        <f>Données!B263</f>
        <v>Vinzel</v>
      </c>
      <c r="C263" s="348">
        <f>VPI!R263</f>
        <v>23661.929552238806</v>
      </c>
      <c r="D263" s="524">
        <f>Données!AP263</f>
        <v>30.934327384796951</v>
      </c>
      <c r="E263" s="411">
        <f>VPI!Q263</f>
        <v>67</v>
      </c>
      <c r="F263" s="241">
        <f t="shared" ref="F263:F305" si="16">E263-D263</f>
        <v>36.065672615203049</v>
      </c>
      <c r="G263" s="238">
        <f>Effort!I263+Aide!I263/Taux!C263+Effort!K263/Taux!C263</f>
        <v>32.303491797818182</v>
      </c>
      <c r="H263" s="83">
        <f t="shared" ref="H263:H305" si="17">F263+G263</f>
        <v>68.369164413021224</v>
      </c>
      <c r="I263" s="223">
        <f t="shared" ref="I263:I305" si="18">IF(H263&gt;$I$5,H263-$I$5,0)</f>
        <v>0</v>
      </c>
      <c r="J263" s="42">
        <f t="shared" ref="J263:J305" si="19">-I263*C263</f>
        <v>0</v>
      </c>
      <c r="K263" s="5"/>
      <c r="L263" s="10"/>
      <c r="M263" s="11"/>
      <c r="R263" s="11"/>
    </row>
    <row r="264" spans="1:18" x14ac:dyDescent="0.25">
      <c r="A264" s="38">
        <f>Données!A264</f>
        <v>5871</v>
      </c>
      <c r="B264" s="197" t="str">
        <f>Données!B264</f>
        <v>L'Abbaye</v>
      </c>
      <c r="C264" s="348">
        <f>VPI!R264</f>
        <v>50236.516429495467</v>
      </c>
      <c r="D264" s="524">
        <f>Données!AP264</f>
        <v>15.055100369087794</v>
      </c>
      <c r="E264" s="411">
        <f>VPI!Q264</f>
        <v>77.3</v>
      </c>
      <c r="F264" s="241">
        <f t="shared" si="16"/>
        <v>62.244899630912201</v>
      </c>
      <c r="G264" s="238">
        <f>Effort!I264+Aide!I264/Taux!C264+Effort!K264/Taux!C264</f>
        <v>12.94320286008216</v>
      </c>
      <c r="H264" s="83">
        <f t="shared" si="17"/>
        <v>75.188102490994368</v>
      </c>
      <c r="I264" s="223">
        <f t="shared" si="18"/>
        <v>0</v>
      </c>
      <c r="J264" s="42">
        <f t="shared" si="19"/>
        <v>0</v>
      </c>
      <c r="K264" s="5"/>
      <c r="L264" s="10"/>
      <c r="M264" s="11"/>
      <c r="R264" s="11"/>
    </row>
    <row r="265" spans="1:18" x14ac:dyDescent="0.25">
      <c r="A265" s="38">
        <f>Données!A265</f>
        <v>5872</v>
      </c>
      <c r="B265" s="197" t="str">
        <f>Données!B265</f>
        <v>Le Chenit</v>
      </c>
      <c r="C265" s="348">
        <f>VPI!R265</f>
        <v>317064.3538829867</v>
      </c>
      <c r="D265" s="524">
        <f>Données!AP265</f>
        <v>20.810475895438987</v>
      </c>
      <c r="E265" s="411">
        <f>VPI!Q265</f>
        <v>66.83</v>
      </c>
      <c r="F265" s="241">
        <f t="shared" si="16"/>
        <v>46.019524104561015</v>
      </c>
      <c r="G265" s="238">
        <f>Effort!I265+Aide!I265/Taux!C265+Effort!K265/Taux!C265</f>
        <v>30.502078016336647</v>
      </c>
      <c r="H265" s="83">
        <f t="shared" si="17"/>
        <v>76.521602120897654</v>
      </c>
      <c r="I265" s="223">
        <f t="shared" si="18"/>
        <v>0</v>
      </c>
      <c r="J265" s="42">
        <f t="shared" si="19"/>
        <v>0</v>
      </c>
      <c r="K265" s="5"/>
      <c r="L265" s="10"/>
      <c r="M265" s="11"/>
      <c r="R265" s="11"/>
    </row>
    <row r="266" spans="1:18" x14ac:dyDescent="0.25">
      <c r="A266" s="38">
        <f>Données!A266</f>
        <v>5873</v>
      </c>
      <c r="B266" s="197" t="str">
        <f>Données!B266</f>
        <v>Le Lieu</v>
      </c>
      <c r="C266" s="348">
        <f>VPI!R266</f>
        <v>35207.025785714286</v>
      </c>
      <c r="D266" s="524">
        <f>Données!AP266</f>
        <v>20.423181488188558</v>
      </c>
      <c r="E266" s="411">
        <f>VPI!Q266</f>
        <v>70</v>
      </c>
      <c r="F266" s="241">
        <f t="shared" si="16"/>
        <v>49.576818511811439</v>
      </c>
      <c r="G266" s="238">
        <f>Effort!I266+Aide!I266/Taux!C266+Effort!K266/Taux!C266</f>
        <v>23.319191357249295</v>
      </c>
      <c r="H266" s="83">
        <f t="shared" si="17"/>
        <v>72.896009869060734</v>
      </c>
      <c r="I266" s="223">
        <f t="shared" si="18"/>
        <v>0</v>
      </c>
      <c r="J266" s="42">
        <f t="shared" si="19"/>
        <v>0</v>
      </c>
      <c r="K266" s="5"/>
      <c r="L266" s="10"/>
      <c r="M266" s="11"/>
      <c r="R266" s="11"/>
    </row>
    <row r="267" spans="1:18" x14ac:dyDescent="0.25">
      <c r="A267" s="38">
        <f>Données!A267</f>
        <v>5882</v>
      </c>
      <c r="B267" s="197" t="str">
        <f>Données!B267</f>
        <v>Chardonne</v>
      </c>
      <c r="C267" s="348">
        <f>VPI!R267</f>
        <v>201724.94897058822</v>
      </c>
      <c r="D267" s="524">
        <f>Données!AP267</f>
        <v>29.30275136030145</v>
      </c>
      <c r="E267" s="411">
        <f>VPI!Q267</f>
        <v>68</v>
      </c>
      <c r="F267" s="241">
        <f t="shared" si="16"/>
        <v>38.69724863969855</v>
      </c>
      <c r="G267" s="238">
        <f>Effort!I267+Aide!I267/Taux!C267+Effort!K267/Taux!C267</f>
        <v>29.840763201007878</v>
      </c>
      <c r="H267" s="83">
        <f t="shared" si="17"/>
        <v>68.538011840706432</v>
      </c>
      <c r="I267" s="223">
        <f t="shared" si="18"/>
        <v>0</v>
      </c>
      <c r="J267" s="42">
        <f t="shared" si="19"/>
        <v>0</v>
      </c>
      <c r="K267" s="5"/>
      <c r="L267" s="10"/>
      <c r="M267" s="11"/>
      <c r="R267" s="11"/>
    </row>
    <row r="268" spans="1:18" x14ac:dyDescent="0.25">
      <c r="A268" s="38">
        <f>Données!A268</f>
        <v>5883</v>
      </c>
      <c r="B268" s="197" t="str">
        <f>Données!B268</f>
        <v>Corseaux</v>
      </c>
      <c r="C268" s="348">
        <f>VPI!R268</f>
        <v>180896.25407407407</v>
      </c>
      <c r="D268" s="524">
        <f>Données!AP268</f>
        <v>36.275256969073332</v>
      </c>
      <c r="E268" s="411">
        <f>VPI!Q268</f>
        <v>67.5</v>
      </c>
      <c r="F268" s="241">
        <f t="shared" si="16"/>
        <v>31.224743030926668</v>
      </c>
      <c r="G268" s="238">
        <f>Effort!I268+Aide!I268/Taux!C268+Effort!K268/Taux!C268</f>
        <v>34.933472054607783</v>
      </c>
      <c r="H268" s="83">
        <f t="shared" si="17"/>
        <v>66.158215085534451</v>
      </c>
      <c r="I268" s="223">
        <f t="shared" si="18"/>
        <v>0</v>
      </c>
      <c r="J268" s="42">
        <f t="shared" si="19"/>
        <v>0</v>
      </c>
      <c r="K268" s="5"/>
      <c r="L268" s="10"/>
      <c r="M268" s="11"/>
      <c r="R268" s="11"/>
    </row>
    <row r="269" spans="1:18" x14ac:dyDescent="0.25">
      <c r="A269" s="38">
        <f>Données!A269</f>
        <v>5884</v>
      </c>
      <c r="B269" s="197" t="str">
        <f>Données!B269</f>
        <v>Corsier-sur-Vevey</v>
      </c>
      <c r="C269" s="348">
        <f>VPI!R269</f>
        <v>128051.27881136951</v>
      </c>
      <c r="D269" s="524">
        <f>Données!AP269</f>
        <v>22.324724300311384</v>
      </c>
      <c r="E269" s="411">
        <f>VPI!Q269</f>
        <v>64.5</v>
      </c>
      <c r="F269" s="241">
        <f t="shared" si="16"/>
        <v>42.175275699688612</v>
      </c>
      <c r="G269" s="238">
        <f>Effort!I269+Aide!I269/Taux!C269+Effort!K269/Taux!C269</f>
        <v>18.175361644769822</v>
      </c>
      <c r="H269" s="83">
        <f t="shared" si="17"/>
        <v>60.350637344458434</v>
      </c>
      <c r="I269" s="223">
        <f t="shared" si="18"/>
        <v>0</v>
      </c>
      <c r="J269" s="42">
        <f t="shared" si="19"/>
        <v>0</v>
      </c>
      <c r="K269" s="5"/>
      <c r="L269" s="10"/>
      <c r="M269" s="11"/>
      <c r="R269" s="11"/>
    </row>
    <row r="270" spans="1:18" x14ac:dyDescent="0.25">
      <c r="A270" s="38">
        <f>Données!A270</f>
        <v>5885</v>
      </c>
      <c r="B270" s="197" t="str">
        <f>Données!B270</f>
        <v>Jongny</v>
      </c>
      <c r="C270" s="348">
        <f>VPI!R270</f>
        <v>104091.36242206233</v>
      </c>
      <c r="D270" s="524">
        <f>Données!AP270</f>
        <v>28.063287040546395</v>
      </c>
      <c r="E270" s="411">
        <f>VPI!Q270</f>
        <v>69.5</v>
      </c>
      <c r="F270" s="241">
        <f t="shared" si="16"/>
        <v>41.436712959453601</v>
      </c>
      <c r="G270" s="238">
        <f>Effort!I270+Aide!I270/Taux!C270+Effort!K270/Taux!C270</f>
        <v>28.678913079793176</v>
      </c>
      <c r="H270" s="83">
        <f t="shared" si="17"/>
        <v>70.115626039246777</v>
      </c>
      <c r="I270" s="223">
        <f t="shared" si="18"/>
        <v>0</v>
      </c>
      <c r="J270" s="42">
        <f t="shared" si="19"/>
        <v>0</v>
      </c>
      <c r="K270" s="5"/>
      <c r="L270" s="10"/>
      <c r="M270" s="11"/>
      <c r="R270" s="11"/>
    </row>
    <row r="271" spans="1:18" x14ac:dyDescent="0.25">
      <c r="A271" s="38">
        <f>Données!A271</f>
        <v>5886</v>
      </c>
      <c r="B271" s="197" t="str">
        <f>Données!B271</f>
        <v>Montreux</v>
      </c>
      <c r="C271" s="348">
        <f>VPI!R271</f>
        <v>1153112.7161538461</v>
      </c>
      <c r="D271" s="524">
        <f>Données!AP271</f>
        <v>12.958235649939589</v>
      </c>
      <c r="E271" s="411">
        <f>VPI!Q271</f>
        <v>65</v>
      </c>
      <c r="F271" s="241">
        <f t="shared" si="16"/>
        <v>52.041764350060411</v>
      </c>
      <c r="G271" s="238">
        <f>Effort!I271+Aide!I271/Taux!C271+Effort!K271/Taux!C271</f>
        <v>10.044736355255564</v>
      </c>
      <c r="H271" s="83">
        <f t="shared" si="17"/>
        <v>62.086500705315977</v>
      </c>
      <c r="I271" s="223">
        <f t="shared" si="18"/>
        <v>0</v>
      </c>
      <c r="J271" s="42">
        <f t="shared" si="19"/>
        <v>0</v>
      </c>
      <c r="K271" s="5"/>
      <c r="L271" s="10"/>
      <c r="M271" s="11"/>
      <c r="R271" s="11"/>
    </row>
    <row r="272" spans="1:18" x14ac:dyDescent="0.25">
      <c r="A272" s="38">
        <f>Données!A272</f>
        <v>5889</v>
      </c>
      <c r="B272" s="197" t="str">
        <f>Données!B272</f>
        <v>La Tour-de-Peilz</v>
      </c>
      <c r="C272" s="348">
        <f>VPI!R272</f>
        <v>709179.36611979152</v>
      </c>
      <c r="D272" s="524">
        <f>Données!AP272</f>
        <v>24.265636382822109</v>
      </c>
      <c r="E272" s="411">
        <f>VPI!Q272</f>
        <v>64</v>
      </c>
      <c r="F272" s="241">
        <f t="shared" si="16"/>
        <v>39.734363617177891</v>
      </c>
      <c r="G272" s="238">
        <f>Effort!I272+Aide!I272/Taux!C272+Effort!K272/Taux!C272</f>
        <v>22.366830943787264</v>
      </c>
      <c r="H272" s="83">
        <f t="shared" si="17"/>
        <v>62.101194560965155</v>
      </c>
      <c r="I272" s="223">
        <f t="shared" si="18"/>
        <v>0</v>
      </c>
      <c r="J272" s="42">
        <f t="shared" si="19"/>
        <v>0</v>
      </c>
      <c r="K272" s="5"/>
      <c r="L272" s="10"/>
      <c r="M272" s="11"/>
      <c r="R272" s="11"/>
    </row>
    <row r="273" spans="1:18" x14ac:dyDescent="0.25">
      <c r="A273" s="38">
        <f>Données!A273</f>
        <v>5890</v>
      </c>
      <c r="B273" s="197" t="str">
        <f>Données!B273</f>
        <v>Vevey</v>
      </c>
      <c r="C273" s="348">
        <f>VPI!R273</f>
        <v>945087.70393736032</v>
      </c>
      <c r="D273" s="524">
        <f>Données!AP273</f>
        <v>15.928494566429267</v>
      </c>
      <c r="E273" s="411">
        <f>VPI!Q273</f>
        <v>74.5</v>
      </c>
      <c r="F273" s="241">
        <f t="shared" si="16"/>
        <v>58.571505433570735</v>
      </c>
      <c r="G273" s="238">
        <f>Effort!I273+Aide!I273/Taux!C273+Effort!K273/Taux!C273</f>
        <v>14.450798571246462</v>
      </c>
      <c r="H273" s="83">
        <f t="shared" si="17"/>
        <v>73.022304004817201</v>
      </c>
      <c r="I273" s="223">
        <f t="shared" si="18"/>
        <v>0</v>
      </c>
      <c r="J273" s="42">
        <f t="shared" si="19"/>
        <v>0</v>
      </c>
      <c r="K273" s="5"/>
      <c r="L273" s="10"/>
      <c r="M273" s="11"/>
      <c r="R273" s="11"/>
    </row>
    <row r="274" spans="1:18" x14ac:dyDescent="0.25">
      <c r="A274" s="38">
        <f>Données!A274</f>
        <v>5891</v>
      </c>
      <c r="B274" s="197" t="str">
        <f>Données!B274</f>
        <v>Veytaux</v>
      </c>
      <c r="C274" s="348">
        <f>VPI!R274</f>
        <v>41113.316211031175</v>
      </c>
      <c r="D274" s="524">
        <f>Données!AP274</f>
        <v>24.391996183670738</v>
      </c>
      <c r="E274" s="411">
        <f>VPI!Q274</f>
        <v>69.5</v>
      </c>
      <c r="F274" s="241">
        <f t="shared" si="16"/>
        <v>45.108003816329258</v>
      </c>
      <c r="G274" s="238">
        <f>Effort!I274+Aide!I274/Taux!C274+Effort!K274/Taux!C274</f>
        <v>25.001531629252561</v>
      </c>
      <c r="H274" s="83">
        <f t="shared" si="17"/>
        <v>70.109535445581827</v>
      </c>
      <c r="I274" s="223">
        <f t="shared" si="18"/>
        <v>0</v>
      </c>
      <c r="J274" s="42">
        <f t="shared" si="19"/>
        <v>0</v>
      </c>
      <c r="K274" s="5"/>
      <c r="L274" s="10"/>
      <c r="M274" s="11"/>
      <c r="R274" s="11"/>
    </row>
    <row r="275" spans="1:18" x14ac:dyDescent="0.25">
      <c r="A275" s="38">
        <f>Données!A275</f>
        <v>5892</v>
      </c>
      <c r="B275" s="197" t="str">
        <f>Données!B275</f>
        <v>Blonay-Saint-Légier</v>
      </c>
      <c r="C275" s="348">
        <f>VPI!R275</f>
        <v>749734.6567883211</v>
      </c>
      <c r="D275" s="524">
        <f>Données!AP275</f>
        <v>26.67</v>
      </c>
      <c r="E275" s="411">
        <f>VPI!Q275</f>
        <v>68.5</v>
      </c>
      <c r="F275" s="241">
        <f t="shared" si="16"/>
        <v>41.83</v>
      </c>
      <c r="G275" s="238">
        <f>Effort!I275+Aide!I275/Taux!C275+Effort!K275/Taux!C275</f>
        <v>24.700584923277063</v>
      </c>
      <c r="H275" s="83">
        <f t="shared" si="17"/>
        <v>66.530584923277061</v>
      </c>
      <c r="I275" s="223">
        <f t="shared" si="18"/>
        <v>0</v>
      </c>
      <c r="J275" s="42">
        <f t="shared" si="19"/>
        <v>0</v>
      </c>
      <c r="K275" s="5"/>
      <c r="L275" s="10"/>
      <c r="M275" s="11"/>
      <c r="R275" s="11"/>
    </row>
    <row r="276" spans="1:18" x14ac:dyDescent="0.25">
      <c r="A276" s="38">
        <f>Données!A276</f>
        <v>5902</v>
      </c>
      <c r="B276" s="197" t="str">
        <f>Données!B276</f>
        <v>Belmont-sur-Yverdon</v>
      </c>
      <c r="C276" s="348">
        <f>VPI!R276</f>
        <v>11918.01</v>
      </c>
      <c r="D276" s="524">
        <f>Données!AP276</f>
        <v>13.691373647738539</v>
      </c>
      <c r="E276" s="411">
        <f>VPI!Q276</f>
        <v>70</v>
      </c>
      <c r="F276" s="241">
        <f t="shared" si="16"/>
        <v>56.308626352261463</v>
      </c>
      <c r="G276" s="238">
        <f>Effort!I276+Aide!I276/Taux!C276+Effort!K276/Taux!C276</f>
        <v>11.194893057713372</v>
      </c>
      <c r="H276" s="83">
        <f t="shared" si="17"/>
        <v>67.503519409974842</v>
      </c>
      <c r="I276" s="223">
        <f t="shared" si="18"/>
        <v>0</v>
      </c>
      <c r="J276" s="42">
        <f t="shared" si="19"/>
        <v>0</v>
      </c>
      <c r="K276" s="5"/>
      <c r="L276" s="10"/>
      <c r="M276" s="11"/>
      <c r="R276" s="11"/>
    </row>
    <row r="277" spans="1:18" x14ac:dyDescent="0.25">
      <c r="A277" s="38">
        <f>Données!A277</f>
        <v>5903</v>
      </c>
      <c r="B277" s="197" t="str">
        <f>Données!B277</f>
        <v>Bioley-Magnoux</v>
      </c>
      <c r="C277" s="348">
        <f>VPI!R277</f>
        <v>6275.4313293650803</v>
      </c>
      <c r="D277" s="524">
        <f>Données!AP277</f>
        <v>8.0468215659746409</v>
      </c>
      <c r="E277" s="411">
        <f>VPI!Q277</f>
        <v>72</v>
      </c>
      <c r="F277" s="241">
        <f t="shared" si="16"/>
        <v>63.953178434025361</v>
      </c>
      <c r="G277" s="238">
        <f>Effort!I277+Aide!I277/Taux!C277+Effort!K277/Taux!C277</f>
        <v>6.9925852474048895</v>
      </c>
      <c r="H277" s="83">
        <f t="shared" si="17"/>
        <v>70.94576368143025</v>
      </c>
      <c r="I277" s="223">
        <f t="shared" si="18"/>
        <v>0</v>
      </c>
      <c r="J277" s="42">
        <f t="shared" si="19"/>
        <v>0</v>
      </c>
      <c r="K277" s="5"/>
      <c r="L277" s="10"/>
      <c r="M277" s="11"/>
      <c r="R277" s="11"/>
    </row>
    <row r="278" spans="1:18" x14ac:dyDescent="0.25">
      <c r="A278" s="38">
        <f>Données!A278</f>
        <v>5904</v>
      </c>
      <c r="B278" s="197" t="str">
        <f>Données!B278</f>
        <v>Chamblon</v>
      </c>
      <c r="C278" s="348">
        <f>VPI!R278</f>
        <v>18890.250303030305</v>
      </c>
      <c r="D278" s="524">
        <f>Données!AP278</f>
        <v>23.798419643528607</v>
      </c>
      <c r="E278" s="411">
        <f>VPI!Q278</f>
        <v>66</v>
      </c>
      <c r="F278" s="241">
        <f t="shared" si="16"/>
        <v>42.201580356471396</v>
      </c>
      <c r="G278" s="238">
        <f>Effort!I278+Aide!I278/Taux!C278+Effort!K278/Taux!C278</f>
        <v>19.079342227347176</v>
      </c>
      <c r="H278" s="83">
        <f t="shared" si="17"/>
        <v>61.280922583818572</v>
      </c>
      <c r="I278" s="223">
        <f t="shared" si="18"/>
        <v>0</v>
      </c>
      <c r="J278" s="42">
        <f t="shared" si="19"/>
        <v>0</v>
      </c>
      <c r="K278" s="5"/>
      <c r="L278" s="10"/>
      <c r="M278" s="11"/>
      <c r="R278" s="11"/>
    </row>
    <row r="279" spans="1:18" x14ac:dyDescent="0.25">
      <c r="A279" s="38">
        <f>Données!A279</f>
        <v>5905</v>
      </c>
      <c r="B279" s="197" t="str">
        <f>Données!B279</f>
        <v>Champvent</v>
      </c>
      <c r="C279" s="348">
        <f>VPI!R279</f>
        <v>21534.177714285714</v>
      </c>
      <c r="D279" s="524">
        <f>Données!AP279</f>
        <v>17.668941625173851</v>
      </c>
      <c r="E279" s="411">
        <f>VPI!Q279</f>
        <v>70</v>
      </c>
      <c r="F279" s="241">
        <f t="shared" si="16"/>
        <v>52.331058374826149</v>
      </c>
      <c r="G279" s="238">
        <f>Effort!I279+Aide!I279/Taux!C279+Effort!K279/Taux!C279</f>
        <v>13.756141088014811</v>
      </c>
      <c r="H279" s="83">
        <f t="shared" si="17"/>
        <v>66.087199462840957</v>
      </c>
      <c r="I279" s="223">
        <f t="shared" si="18"/>
        <v>0</v>
      </c>
      <c r="J279" s="42">
        <f t="shared" si="19"/>
        <v>0</v>
      </c>
      <c r="K279" s="5"/>
      <c r="L279" s="10"/>
      <c r="M279" s="11"/>
      <c r="R279" s="11"/>
    </row>
    <row r="280" spans="1:18" x14ac:dyDescent="0.25">
      <c r="A280" s="38">
        <f>Données!A280</f>
        <v>5907</v>
      </c>
      <c r="B280" s="197" t="str">
        <f>Données!B280</f>
        <v>Chavannes-le-Chêne</v>
      </c>
      <c r="C280" s="348">
        <f>VPI!R280</f>
        <v>8453.4726666666666</v>
      </c>
      <c r="D280" s="524">
        <f>Données!AP280</f>
        <v>2.9418971883276925</v>
      </c>
      <c r="E280" s="411">
        <f>VPI!Q280</f>
        <v>75</v>
      </c>
      <c r="F280" s="241">
        <f t="shared" si="16"/>
        <v>72.058102811672313</v>
      </c>
      <c r="G280" s="238">
        <f>Effort!I280+Aide!I280/Taux!C280+Effort!K280/Taux!C280</f>
        <v>7.6607258209475511</v>
      </c>
      <c r="H280" s="83">
        <f t="shared" si="17"/>
        <v>79.718828632619861</v>
      </c>
      <c r="I280" s="223">
        <f t="shared" si="18"/>
        <v>0</v>
      </c>
      <c r="J280" s="42">
        <f t="shared" si="19"/>
        <v>0</v>
      </c>
      <c r="K280" s="5"/>
      <c r="L280" s="10"/>
      <c r="M280" s="11"/>
      <c r="R280" s="11"/>
    </row>
    <row r="281" spans="1:18" x14ac:dyDescent="0.25">
      <c r="A281" s="38">
        <f>Données!A281</f>
        <v>5908</v>
      </c>
      <c r="B281" s="197" t="str">
        <f>Données!B281</f>
        <v>Chêne-Pâquier</v>
      </c>
      <c r="C281" s="348">
        <f>VPI!R281</f>
        <v>4917.9366666666683</v>
      </c>
      <c r="D281" s="524">
        <f>Données!AP281</f>
        <v>9.6439397837711045</v>
      </c>
      <c r="E281" s="411">
        <f>VPI!Q281</f>
        <v>75</v>
      </c>
      <c r="F281" s="241">
        <f t="shared" si="16"/>
        <v>65.356060216228897</v>
      </c>
      <c r="G281" s="238">
        <f>Effort!I281+Aide!I281/Taux!C281+Effort!K281/Taux!C281</f>
        <v>12.965944470959919</v>
      </c>
      <c r="H281" s="83">
        <f t="shared" si="17"/>
        <v>78.322004687188809</v>
      </c>
      <c r="I281" s="223">
        <f t="shared" si="18"/>
        <v>0</v>
      </c>
      <c r="J281" s="42">
        <f t="shared" si="19"/>
        <v>0</v>
      </c>
      <c r="K281" s="5"/>
      <c r="L281" s="10"/>
      <c r="M281" s="11"/>
      <c r="R281" s="11"/>
    </row>
    <row r="282" spans="1:18" x14ac:dyDescent="0.25">
      <c r="A282" s="38">
        <f>Données!A282</f>
        <v>5909</v>
      </c>
      <c r="B282" s="197" t="str">
        <f>Données!B282</f>
        <v>Cheseaux-Noréaz</v>
      </c>
      <c r="C282" s="348">
        <f>VPI!R282</f>
        <v>34179.649850746275</v>
      </c>
      <c r="D282" s="524">
        <f>Données!AP282</f>
        <v>28.996674749597883</v>
      </c>
      <c r="E282" s="411">
        <f>VPI!Q282</f>
        <v>67</v>
      </c>
      <c r="F282" s="241">
        <f t="shared" si="16"/>
        <v>38.003325250402114</v>
      </c>
      <c r="G282" s="238">
        <f>Effort!I282+Aide!I282/Taux!C282+Effort!K282/Taux!C282</f>
        <v>27.33361803757062</v>
      </c>
      <c r="H282" s="83">
        <f t="shared" si="17"/>
        <v>65.33694328797273</v>
      </c>
      <c r="I282" s="223">
        <f t="shared" si="18"/>
        <v>0</v>
      </c>
      <c r="J282" s="42">
        <f t="shared" si="19"/>
        <v>0</v>
      </c>
      <c r="K282" s="5"/>
      <c r="L282" s="10"/>
      <c r="M282" s="11"/>
      <c r="R282" s="11"/>
    </row>
    <row r="283" spans="1:18" x14ac:dyDescent="0.25">
      <c r="A283" s="38">
        <f>Données!A283</f>
        <v>5910</v>
      </c>
      <c r="B283" s="197" t="str">
        <f>Données!B283</f>
        <v>Cronay</v>
      </c>
      <c r="C283" s="348">
        <f>VPI!R283</f>
        <v>10620.023506493504</v>
      </c>
      <c r="D283" s="524">
        <f>Données!AP283</f>
        <v>6.2263747605558128</v>
      </c>
      <c r="E283" s="411">
        <f>VPI!Q283</f>
        <v>77</v>
      </c>
      <c r="F283" s="241">
        <f t="shared" si="16"/>
        <v>70.773625239444186</v>
      </c>
      <c r="G283" s="238">
        <f>Effort!I283+Aide!I283/Taux!C283+Effort!K283/Taux!C283</f>
        <v>5.2551399458847285</v>
      </c>
      <c r="H283" s="83">
        <f t="shared" si="17"/>
        <v>76.028765185328922</v>
      </c>
      <c r="I283" s="223">
        <f t="shared" si="18"/>
        <v>0</v>
      </c>
      <c r="J283" s="42">
        <f t="shared" si="19"/>
        <v>0</v>
      </c>
      <c r="K283" s="5"/>
      <c r="L283" s="10"/>
      <c r="M283" s="11"/>
      <c r="R283" s="11"/>
    </row>
    <row r="284" spans="1:18" x14ac:dyDescent="0.25">
      <c r="A284" s="38">
        <f>Données!A284</f>
        <v>5911</v>
      </c>
      <c r="B284" s="197" t="str">
        <f>Données!B284</f>
        <v>Cuarny</v>
      </c>
      <c r="C284" s="348">
        <f>VPI!R284</f>
        <v>7630.7251948051926</v>
      </c>
      <c r="D284" s="524">
        <f>Données!AP284</f>
        <v>13.046897042038109</v>
      </c>
      <c r="E284" s="411">
        <f>VPI!Q284</f>
        <v>77</v>
      </c>
      <c r="F284" s="241">
        <f t="shared" si="16"/>
        <v>63.953102957961889</v>
      </c>
      <c r="G284" s="238">
        <f>Effort!I284+Aide!I284/Taux!C284+Effort!K284/Taux!C284</f>
        <v>15.060369715844296</v>
      </c>
      <c r="H284" s="83">
        <f t="shared" si="17"/>
        <v>79.013472673806177</v>
      </c>
      <c r="I284" s="223">
        <f t="shared" si="18"/>
        <v>0</v>
      </c>
      <c r="J284" s="42">
        <f t="shared" si="19"/>
        <v>0</v>
      </c>
      <c r="K284" s="5"/>
      <c r="L284" s="10"/>
      <c r="M284" s="11"/>
      <c r="R284" s="11"/>
    </row>
    <row r="285" spans="1:18" s="217" customFormat="1" x14ac:dyDescent="0.25">
      <c r="A285" s="38">
        <f>Données!A285</f>
        <v>5912</v>
      </c>
      <c r="B285" s="197" t="str">
        <f>Données!B285</f>
        <v>Démoret</v>
      </c>
      <c r="C285" s="348">
        <f>VPI!R285</f>
        <v>3035.5994871794869</v>
      </c>
      <c r="D285" s="524">
        <f>Données!AP285</f>
        <v>8.6897736972399944</v>
      </c>
      <c r="E285" s="411">
        <f>VPI!Q285</f>
        <v>78</v>
      </c>
      <c r="F285" s="241">
        <f t="shared" si="16"/>
        <v>69.31022630276</v>
      </c>
      <c r="G285" s="238">
        <f>Effort!I285+Aide!I285/Taux!C285+Effort!K285/Taux!C285</f>
        <v>-14.833164285211101</v>
      </c>
      <c r="H285" s="83">
        <f t="shared" si="17"/>
        <v>54.477062017548903</v>
      </c>
      <c r="I285" s="223">
        <f t="shared" si="18"/>
        <v>0</v>
      </c>
      <c r="J285" s="42">
        <f t="shared" si="19"/>
        <v>0</v>
      </c>
      <c r="K285" s="5"/>
      <c r="L285" s="10"/>
    </row>
    <row r="286" spans="1:18" s="217" customFormat="1" x14ac:dyDescent="0.25">
      <c r="A286" s="38">
        <f>Données!A286</f>
        <v>5913</v>
      </c>
      <c r="B286" s="197" t="str">
        <f>Données!B286</f>
        <v>Donneloye</v>
      </c>
      <c r="C286" s="348">
        <f>VPI!R286</f>
        <v>21868.165342465756</v>
      </c>
      <c r="D286" s="524">
        <f>Données!AP286</f>
        <v>9.0773392157388439</v>
      </c>
      <c r="E286" s="411">
        <f>VPI!Q286</f>
        <v>73</v>
      </c>
      <c r="F286" s="241">
        <f t="shared" si="16"/>
        <v>63.922660784261154</v>
      </c>
      <c r="G286" s="238">
        <f>Effort!I286+Aide!I286/Taux!C286+Effort!K286/Taux!C286</f>
        <v>4.117154833241413</v>
      </c>
      <c r="H286" s="83">
        <f t="shared" si="17"/>
        <v>68.039815617502569</v>
      </c>
      <c r="I286" s="223">
        <f t="shared" si="18"/>
        <v>0</v>
      </c>
      <c r="J286" s="42">
        <f t="shared" si="19"/>
        <v>0</v>
      </c>
      <c r="K286" s="5"/>
      <c r="L286" s="10"/>
    </row>
    <row r="287" spans="1:18" s="217" customFormat="1" x14ac:dyDescent="0.25">
      <c r="A287" s="38">
        <f>Données!A287</f>
        <v>5914</v>
      </c>
      <c r="B287" s="197" t="str">
        <f>Données!B287</f>
        <v>Ependes</v>
      </c>
      <c r="C287" s="348">
        <f>VPI!R287</f>
        <v>9826.1438095238063</v>
      </c>
      <c r="D287" s="524">
        <f>Données!AP287</f>
        <v>7.1237883632554047</v>
      </c>
      <c r="E287" s="411">
        <f>VPI!Q287</f>
        <v>73.5</v>
      </c>
      <c r="F287" s="241">
        <f t="shared" si="16"/>
        <v>66.3762116367446</v>
      </c>
      <c r="G287" s="238">
        <f>Effort!I287+Aide!I287/Taux!C287+Effort!K287/Taux!C287</f>
        <v>7.9660880050890377</v>
      </c>
      <c r="H287" s="83">
        <f t="shared" si="17"/>
        <v>74.342299641833634</v>
      </c>
      <c r="I287" s="223">
        <f t="shared" si="18"/>
        <v>0</v>
      </c>
      <c r="J287" s="42">
        <f t="shared" si="19"/>
        <v>0</v>
      </c>
      <c r="K287" s="5"/>
      <c r="L287" s="10"/>
    </row>
    <row r="288" spans="1:18" s="217" customFormat="1" x14ac:dyDescent="0.25">
      <c r="A288" s="38">
        <f>Données!A288</f>
        <v>5919</v>
      </c>
      <c r="B288" s="197" t="str">
        <f>Données!B288</f>
        <v>Mathod</v>
      </c>
      <c r="C288" s="348">
        <f>VPI!R288</f>
        <v>20854.383912037036</v>
      </c>
      <c r="D288" s="524">
        <f>Données!AP288</f>
        <v>12.061962787574767</v>
      </c>
      <c r="E288" s="411">
        <f>VPI!Q288</f>
        <v>72</v>
      </c>
      <c r="F288" s="241">
        <f t="shared" si="16"/>
        <v>59.938037212425229</v>
      </c>
      <c r="G288" s="238">
        <f>Effort!I288+Aide!I288/Taux!C288+Effort!K288/Taux!C288</f>
        <v>14.369874583550205</v>
      </c>
      <c r="H288" s="83">
        <f t="shared" si="17"/>
        <v>74.307911795975429</v>
      </c>
      <c r="I288" s="223">
        <f t="shared" si="18"/>
        <v>0</v>
      </c>
      <c r="J288" s="42">
        <f t="shared" si="19"/>
        <v>0</v>
      </c>
      <c r="K288" s="5"/>
      <c r="L288" s="10"/>
    </row>
    <row r="289" spans="1:18" s="217" customFormat="1" x14ac:dyDescent="0.25">
      <c r="A289" s="38">
        <f>Données!A289</f>
        <v>5921</v>
      </c>
      <c r="B289" s="197" t="str">
        <f>Données!B289</f>
        <v>Molondin</v>
      </c>
      <c r="C289" s="348">
        <f>VPI!R289</f>
        <v>5090.9675308641981</v>
      </c>
      <c r="D289" s="524">
        <f>Données!AP289</f>
        <v>0.39753570561138601</v>
      </c>
      <c r="E289" s="411">
        <f>VPI!Q289</f>
        <v>81</v>
      </c>
      <c r="F289" s="241">
        <f t="shared" si="16"/>
        <v>80.602464294388611</v>
      </c>
      <c r="G289" s="238">
        <f>Effort!I289+Aide!I289/Taux!C289+Effort!K289/Taux!C289</f>
        <v>-11.11377157758244</v>
      </c>
      <c r="H289" s="83">
        <f t="shared" si="17"/>
        <v>69.48869271680617</v>
      </c>
      <c r="I289" s="223">
        <f t="shared" si="18"/>
        <v>0</v>
      </c>
      <c r="J289" s="42">
        <f t="shared" si="19"/>
        <v>0</v>
      </c>
      <c r="K289" s="5"/>
      <c r="L289" s="10"/>
    </row>
    <row r="290" spans="1:18" s="217" customFormat="1" x14ac:dyDescent="0.25">
      <c r="A290" s="38">
        <f>Données!A290</f>
        <v>5922</v>
      </c>
      <c r="B290" s="197" t="str">
        <f>Données!B290</f>
        <v>Montagny-près-Yverdon</v>
      </c>
      <c r="C290" s="348">
        <f>VPI!R290</f>
        <v>39799.996472868217</v>
      </c>
      <c r="D290" s="524">
        <f>Données!AP290</f>
        <v>29.098328756621406</v>
      </c>
      <c r="E290" s="411">
        <f>VPI!Q290</f>
        <v>64.5</v>
      </c>
      <c r="F290" s="241">
        <f t="shared" si="16"/>
        <v>35.401671243378594</v>
      </c>
      <c r="G290" s="238">
        <f>Effort!I290+Aide!I290/Taux!C290+Effort!K290/Taux!C290</f>
        <v>29.170234101805324</v>
      </c>
      <c r="H290" s="83">
        <f t="shared" si="17"/>
        <v>64.571905345183922</v>
      </c>
      <c r="I290" s="223">
        <f t="shared" si="18"/>
        <v>0</v>
      </c>
      <c r="J290" s="42">
        <f t="shared" si="19"/>
        <v>0</v>
      </c>
      <c r="K290" s="5"/>
      <c r="L290" s="10"/>
    </row>
    <row r="291" spans="1:18" s="217" customFormat="1" x14ac:dyDescent="0.25">
      <c r="A291" s="38">
        <f>Données!A291</f>
        <v>5923</v>
      </c>
      <c r="B291" s="197" t="str">
        <f>Données!B291</f>
        <v>Oppens</v>
      </c>
      <c r="C291" s="348">
        <f>VPI!R291</f>
        <v>4459.4095061728403</v>
      </c>
      <c r="D291" s="524">
        <f>Données!AP291</f>
        <v>2.1094364201705265</v>
      </c>
      <c r="E291" s="411">
        <f>VPI!Q291</f>
        <v>81</v>
      </c>
      <c r="F291" s="241">
        <f t="shared" si="16"/>
        <v>78.890563579829475</v>
      </c>
      <c r="G291" s="238">
        <f>Effort!I291+Aide!I291/Taux!C291+Effort!K291/Taux!C291</f>
        <v>-6.3057486315646898</v>
      </c>
      <c r="H291" s="83">
        <f t="shared" si="17"/>
        <v>72.584814948264778</v>
      </c>
      <c r="I291" s="223">
        <f t="shared" si="18"/>
        <v>0</v>
      </c>
      <c r="J291" s="42">
        <f t="shared" si="19"/>
        <v>0</v>
      </c>
      <c r="K291" s="5"/>
      <c r="L291" s="10"/>
    </row>
    <row r="292" spans="1:18" s="217" customFormat="1" x14ac:dyDescent="0.25">
      <c r="A292" s="38">
        <f>Données!A292</f>
        <v>5924</v>
      </c>
      <c r="B292" s="197" t="str">
        <f>Données!B292</f>
        <v>Orges</v>
      </c>
      <c r="C292" s="348">
        <f>VPI!R292</f>
        <v>11637.592027027025</v>
      </c>
      <c r="D292" s="524">
        <f>Données!AP292</f>
        <v>19.604113810476523</v>
      </c>
      <c r="E292" s="411">
        <f>VPI!Q292</f>
        <v>74</v>
      </c>
      <c r="F292" s="241">
        <f t="shared" si="16"/>
        <v>54.39588618952348</v>
      </c>
      <c r="G292" s="238">
        <f>Effort!I292+Aide!I292/Taux!C292+Effort!K292/Taux!C292</f>
        <v>11.151589500977938</v>
      </c>
      <c r="H292" s="83">
        <f t="shared" si="17"/>
        <v>65.547475690501415</v>
      </c>
      <c r="I292" s="223">
        <f t="shared" si="18"/>
        <v>0</v>
      </c>
      <c r="J292" s="42">
        <f t="shared" si="19"/>
        <v>0</v>
      </c>
      <c r="K292" s="5"/>
      <c r="L292" s="10"/>
    </row>
    <row r="293" spans="1:18" x14ac:dyDescent="0.25">
      <c r="A293" s="38">
        <f>Données!A293</f>
        <v>5925</v>
      </c>
      <c r="B293" s="197" t="str">
        <f>Données!B293</f>
        <v>Orzens</v>
      </c>
      <c r="C293" s="348">
        <f>VPI!R293</f>
        <v>5249.0272151898725</v>
      </c>
      <c r="D293" s="524">
        <f>Données!AP293</f>
        <v>4.379456119725619</v>
      </c>
      <c r="E293" s="411">
        <f>VPI!Q293</f>
        <v>79</v>
      </c>
      <c r="F293" s="241">
        <f t="shared" si="16"/>
        <v>74.620543880274383</v>
      </c>
      <c r="G293" s="238">
        <f>Effort!I293+Aide!I293/Taux!C293+Effort!K293/Taux!C293</f>
        <v>1.7867644614232532</v>
      </c>
      <c r="H293" s="83">
        <f t="shared" si="17"/>
        <v>76.407308341697643</v>
      </c>
      <c r="I293" s="223">
        <f t="shared" si="18"/>
        <v>0</v>
      </c>
      <c r="J293" s="42">
        <f t="shared" si="19"/>
        <v>0</v>
      </c>
      <c r="K293" s="5"/>
      <c r="L293" s="10"/>
      <c r="M293" s="11"/>
      <c r="R293" s="11"/>
    </row>
    <row r="294" spans="1:18" x14ac:dyDescent="0.25">
      <c r="A294" s="38">
        <f>Données!A294</f>
        <v>5926</v>
      </c>
      <c r="B294" s="197" t="str">
        <f>Données!B294</f>
        <v>Pomy</v>
      </c>
      <c r="C294" s="348">
        <f>VPI!R294</f>
        <v>26782.680140845066</v>
      </c>
      <c r="D294" s="524">
        <f>Données!AP294</f>
        <v>17.946168935028922</v>
      </c>
      <c r="E294" s="411">
        <f>VPI!Q294</f>
        <v>71</v>
      </c>
      <c r="F294" s="241">
        <f t="shared" si="16"/>
        <v>53.053831064971078</v>
      </c>
      <c r="G294" s="238">
        <f>Effort!I294+Aide!I294/Taux!C294+Effort!K294/Taux!C294</f>
        <v>15.191521838305558</v>
      </c>
      <c r="H294" s="83">
        <f t="shared" si="17"/>
        <v>68.24535290327664</v>
      </c>
      <c r="I294" s="223">
        <f t="shared" si="18"/>
        <v>0</v>
      </c>
      <c r="J294" s="42">
        <f t="shared" si="19"/>
        <v>0</v>
      </c>
      <c r="K294" s="5"/>
      <c r="L294" s="10"/>
      <c r="M294" s="11"/>
      <c r="R294" s="11"/>
    </row>
    <row r="295" spans="1:18" x14ac:dyDescent="0.25">
      <c r="A295" s="38">
        <f>Données!A295</f>
        <v>5928</v>
      </c>
      <c r="B295" s="197" t="str">
        <f>Données!B295</f>
        <v>Rovray</v>
      </c>
      <c r="C295" s="348">
        <f>VPI!R295</f>
        <v>5095.519580419581</v>
      </c>
      <c r="D295" s="524">
        <f>Données!AP295</f>
        <v>9.2819917240754659</v>
      </c>
      <c r="E295" s="411">
        <f>VPI!Q295</f>
        <v>71.5</v>
      </c>
      <c r="F295" s="241">
        <f t="shared" si="16"/>
        <v>62.218008275924532</v>
      </c>
      <c r="G295" s="238">
        <f>Effort!I295+Aide!I295/Taux!C295+Effort!K295/Taux!C295</f>
        <v>8.0339905808052894</v>
      </c>
      <c r="H295" s="83">
        <f t="shared" si="17"/>
        <v>70.251998856729827</v>
      </c>
      <c r="I295" s="223">
        <f t="shared" si="18"/>
        <v>0</v>
      </c>
      <c r="J295" s="42">
        <f t="shared" si="19"/>
        <v>0</v>
      </c>
      <c r="K295" s="5"/>
      <c r="L295" s="10"/>
      <c r="M295" s="11"/>
      <c r="R295" s="11"/>
    </row>
    <row r="296" spans="1:18" x14ac:dyDescent="0.25">
      <c r="A296" s="38">
        <f>Données!A296</f>
        <v>5929</v>
      </c>
      <c r="B296" s="197" t="str">
        <f>Données!B296</f>
        <v>Suchy</v>
      </c>
      <c r="C296" s="348">
        <f>VPI!R296</f>
        <v>21603.071857142855</v>
      </c>
      <c r="D296" s="524">
        <f>Données!AP296</f>
        <v>15.731623991753112</v>
      </c>
      <c r="E296" s="411">
        <f>VPI!Q296</f>
        <v>70</v>
      </c>
      <c r="F296" s="241">
        <f t="shared" si="16"/>
        <v>54.268376008246889</v>
      </c>
      <c r="G296" s="238">
        <f>Effort!I296+Aide!I296/Taux!C296+Effort!K296/Taux!C296</f>
        <v>16.966120500567023</v>
      </c>
      <c r="H296" s="83">
        <f t="shared" si="17"/>
        <v>71.234496508813919</v>
      </c>
      <c r="I296" s="223">
        <f t="shared" si="18"/>
        <v>0</v>
      </c>
      <c r="J296" s="42">
        <f t="shared" si="19"/>
        <v>0</v>
      </c>
      <c r="K296" s="5"/>
      <c r="L296" s="10"/>
      <c r="M296" s="11"/>
      <c r="R296" s="11"/>
    </row>
    <row r="297" spans="1:18" x14ac:dyDescent="0.25">
      <c r="A297" s="38">
        <f>Données!A297</f>
        <v>5930</v>
      </c>
      <c r="B297" s="197" t="str">
        <f>Données!B297</f>
        <v>Suscévaz</v>
      </c>
      <c r="C297" s="348">
        <f>VPI!R297</f>
        <v>5749.1651388888886</v>
      </c>
      <c r="D297" s="524">
        <f>Données!AP297</f>
        <v>15.195735512050128</v>
      </c>
      <c r="E297" s="411">
        <f>VPI!Q297</f>
        <v>72</v>
      </c>
      <c r="F297" s="241">
        <f t="shared" si="16"/>
        <v>56.804264487949872</v>
      </c>
      <c r="G297" s="238">
        <f>Effort!I297+Aide!I297/Taux!C297+Effort!K297/Taux!C297</f>
        <v>8.231096607687526</v>
      </c>
      <c r="H297" s="83">
        <f t="shared" si="17"/>
        <v>65.035361095637398</v>
      </c>
      <c r="I297" s="223">
        <f t="shared" si="18"/>
        <v>0</v>
      </c>
      <c r="J297" s="42">
        <f t="shared" si="19"/>
        <v>0</v>
      </c>
      <c r="K297" s="5"/>
      <c r="L297" s="10"/>
      <c r="M297" s="11"/>
      <c r="R297" s="11"/>
    </row>
    <row r="298" spans="1:18" x14ac:dyDescent="0.25">
      <c r="A298" s="38">
        <f>Données!A298</f>
        <v>5931</v>
      </c>
      <c r="B298" s="197" t="str">
        <f>Données!B298</f>
        <v>Treycovagnes</v>
      </c>
      <c r="C298" s="348">
        <f>VPI!R298</f>
        <v>16306.743466666663</v>
      </c>
      <c r="D298" s="524">
        <f>Données!AP298</f>
        <v>14.432757288151009</v>
      </c>
      <c r="E298" s="411">
        <f>VPI!Q298</f>
        <v>75</v>
      </c>
      <c r="F298" s="241">
        <f t="shared" si="16"/>
        <v>60.567242711848991</v>
      </c>
      <c r="G298" s="238">
        <f>Effort!I298+Aide!I298/Taux!C298+Effort!K298/Taux!C298</f>
        <v>14.495038520258994</v>
      </c>
      <c r="H298" s="83">
        <f t="shared" si="17"/>
        <v>75.062281232107978</v>
      </c>
      <c r="I298" s="223">
        <f t="shared" si="18"/>
        <v>0</v>
      </c>
      <c r="J298" s="42">
        <f t="shared" si="19"/>
        <v>0</v>
      </c>
      <c r="K298" s="5"/>
      <c r="L298" s="10"/>
      <c r="M298" s="11"/>
      <c r="R298" s="11"/>
    </row>
    <row r="299" spans="1:18" x14ac:dyDescent="0.25">
      <c r="A299" s="38">
        <f>Données!A299</f>
        <v>5932</v>
      </c>
      <c r="B299" s="197" t="str">
        <f>Données!B299</f>
        <v>Ursins</v>
      </c>
      <c r="C299" s="348">
        <f>VPI!R299</f>
        <v>7945.6340000000009</v>
      </c>
      <c r="D299" s="524">
        <f>Données!AP299</f>
        <v>17.449227239360354</v>
      </c>
      <c r="E299" s="411">
        <f>VPI!Q299</f>
        <v>75</v>
      </c>
      <c r="F299" s="241">
        <f t="shared" si="16"/>
        <v>57.550772760639646</v>
      </c>
      <c r="G299" s="238">
        <f>Effort!I299+Aide!I299/Taux!C299+Effort!K299/Taux!C299</f>
        <v>18.078543158733986</v>
      </c>
      <c r="H299" s="83">
        <f t="shared" si="17"/>
        <v>75.629315919373624</v>
      </c>
      <c r="I299" s="223">
        <f t="shared" si="18"/>
        <v>0</v>
      </c>
      <c r="J299" s="42">
        <f t="shared" si="19"/>
        <v>0</v>
      </c>
      <c r="K299" s="5"/>
      <c r="L299" s="10"/>
      <c r="M299" s="11"/>
      <c r="R299" s="11"/>
    </row>
    <row r="300" spans="1:18" x14ac:dyDescent="0.25">
      <c r="A300" s="38">
        <f>Données!A300</f>
        <v>5933</v>
      </c>
      <c r="B300" s="197" t="str">
        <f>Données!B300</f>
        <v>Valeyres-sous-Montagny</v>
      </c>
      <c r="C300" s="348">
        <f>VPI!R300</f>
        <v>23478.314609929079</v>
      </c>
      <c r="D300" s="524">
        <f>Données!AP300</f>
        <v>12.120948554390793</v>
      </c>
      <c r="E300" s="411">
        <f>VPI!Q300</f>
        <v>70.5</v>
      </c>
      <c r="F300" s="241">
        <f t="shared" si="16"/>
        <v>58.379051445609207</v>
      </c>
      <c r="G300" s="238">
        <f>Effort!I300+Aide!I300/Taux!C300+Effort!K300/Taux!C300</f>
        <v>18.044386620955692</v>
      </c>
      <c r="H300" s="83">
        <f t="shared" si="17"/>
        <v>76.423438066564898</v>
      </c>
      <c r="I300" s="223">
        <f t="shared" si="18"/>
        <v>0</v>
      </c>
      <c r="J300" s="42">
        <f t="shared" si="19"/>
        <v>0</v>
      </c>
      <c r="K300" s="5"/>
      <c r="L300" s="10"/>
      <c r="M300" s="11"/>
      <c r="R300" s="11"/>
    </row>
    <row r="301" spans="1:18" x14ac:dyDescent="0.25">
      <c r="A301" s="38">
        <f>Données!A301</f>
        <v>5934</v>
      </c>
      <c r="B301" s="197" t="str">
        <f>Données!B301</f>
        <v>Valeyres-sous-Ursins</v>
      </c>
      <c r="C301" s="348">
        <f>VPI!R301</f>
        <v>16787.585844155841</v>
      </c>
      <c r="D301" s="524">
        <f>Données!AP301</f>
        <v>9.8140131664116517</v>
      </c>
      <c r="E301" s="411">
        <f>VPI!Q301</f>
        <v>77</v>
      </c>
      <c r="F301" s="241">
        <f t="shared" si="16"/>
        <v>67.185986833588345</v>
      </c>
      <c r="G301" s="238">
        <f>Effort!I301+Aide!I301/Taux!C301+Effort!K301/Taux!C301</f>
        <v>34.968722637496874</v>
      </c>
      <c r="H301" s="572">
        <v>77</v>
      </c>
      <c r="I301" s="223">
        <f t="shared" si="18"/>
        <v>0</v>
      </c>
      <c r="J301" s="42">
        <f t="shared" si="19"/>
        <v>0</v>
      </c>
      <c r="K301" s="5"/>
      <c r="L301" s="10"/>
      <c r="M301" s="11"/>
      <c r="R301" s="11"/>
    </row>
    <row r="302" spans="1:18" x14ac:dyDescent="0.25">
      <c r="A302" s="38">
        <f>Données!A302</f>
        <v>5935</v>
      </c>
      <c r="B302" s="197" t="str">
        <f>Données!B302</f>
        <v>Villars-Epeney</v>
      </c>
      <c r="C302" s="348">
        <f>VPI!R302</f>
        <v>6724.4138235294122</v>
      </c>
      <c r="D302" s="524">
        <f>Données!AP302</f>
        <v>22.624285300478334</v>
      </c>
      <c r="E302" s="411">
        <f>VPI!Q302</f>
        <v>68</v>
      </c>
      <c r="F302" s="241">
        <f t="shared" si="16"/>
        <v>45.375714699521666</v>
      </c>
      <c r="G302" s="238">
        <f>Effort!I302+Aide!I302/Taux!C302+Effort!K302/Taux!C302</f>
        <v>35.109278134945249</v>
      </c>
      <c r="H302" s="83">
        <f t="shared" si="17"/>
        <v>80.484992834466908</v>
      </c>
      <c r="I302" s="223">
        <f t="shared" si="18"/>
        <v>0</v>
      </c>
      <c r="J302" s="42">
        <f t="shared" si="19"/>
        <v>0</v>
      </c>
      <c r="K302" s="5"/>
      <c r="L302" s="10"/>
      <c r="M302" s="11"/>
      <c r="R302" s="11"/>
    </row>
    <row r="303" spans="1:18" x14ac:dyDescent="0.25">
      <c r="A303" s="38">
        <f>Données!A303</f>
        <v>5937</v>
      </c>
      <c r="B303" s="197" t="str">
        <f>Données!B303</f>
        <v>Vugelles-La Mothe</v>
      </c>
      <c r="C303" s="348">
        <f>VPI!R303</f>
        <v>3343.8941428571434</v>
      </c>
      <c r="D303" s="524">
        <f>Données!AP303</f>
        <v>7.3029066388922566</v>
      </c>
      <c r="E303" s="411">
        <f>VPI!Q303</f>
        <v>70</v>
      </c>
      <c r="F303" s="241">
        <f t="shared" si="16"/>
        <v>62.697093361107747</v>
      </c>
      <c r="G303" s="238">
        <f>Effort!I303+Aide!I303/Taux!C303+Effort!K303/Taux!C303</f>
        <v>4.6747577909836835</v>
      </c>
      <c r="H303" s="83">
        <f t="shared" si="17"/>
        <v>67.371851152091438</v>
      </c>
      <c r="I303" s="223">
        <f t="shared" si="18"/>
        <v>0</v>
      </c>
      <c r="J303" s="42">
        <f t="shared" si="19"/>
        <v>0</v>
      </c>
      <c r="K303" s="5"/>
      <c r="L303" s="10"/>
      <c r="M303" s="11"/>
      <c r="R303" s="11"/>
    </row>
    <row r="304" spans="1:18" x14ac:dyDescent="0.25">
      <c r="A304" s="38">
        <f>Données!A304</f>
        <v>5938</v>
      </c>
      <c r="B304" s="197" t="str">
        <f>Données!B304</f>
        <v>Yverdon-les-Bains</v>
      </c>
      <c r="C304" s="348">
        <f>VPI!R304</f>
        <v>780594.69946666679</v>
      </c>
      <c r="D304" s="524">
        <f>Données!AP304</f>
        <v>-22.023420610335986</v>
      </c>
      <c r="E304" s="411">
        <f>VPI!Q304</f>
        <v>75</v>
      </c>
      <c r="F304" s="241">
        <f t="shared" si="16"/>
        <v>97.02342061033599</v>
      </c>
      <c r="G304" s="238">
        <f>Effort!I304+Aide!I304/Taux!C304+Effort!K304/Taux!C304</f>
        <v>-13.463050899415059</v>
      </c>
      <c r="H304" s="83">
        <f t="shared" si="17"/>
        <v>83.560369710920924</v>
      </c>
      <c r="I304" s="223">
        <f t="shared" si="18"/>
        <v>0</v>
      </c>
      <c r="J304" s="42">
        <f t="shared" si="19"/>
        <v>0</v>
      </c>
      <c r="K304" s="5"/>
      <c r="L304" s="10"/>
      <c r="M304" s="11"/>
      <c r="R304" s="11"/>
    </row>
    <row r="305" spans="1:18" x14ac:dyDescent="0.25">
      <c r="A305" s="39">
        <f>Données!A305</f>
        <v>5939</v>
      </c>
      <c r="B305" s="198" t="str">
        <f>Données!B305</f>
        <v>Yvonand</v>
      </c>
      <c r="C305" s="409">
        <f>VPI!R305</f>
        <v>97394.348251748248</v>
      </c>
      <c r="D305" s="525">
        <f>Données!AP305</f>
        <v>8.0867344347771031</v>
      </c>
      <c r="E305" s="412">
        <f>VPI!Q305</f>
        <v>71.5</v>
      </c>
      <c r="F305" s="243">
        <f t="shared" si="16"/>
        <v>63.4132655652229</v>
      </c>
      <c r="G305" s="239">
        <f>Effort!I305+Aide!I305/Taux!C305+Effort!K305/Taux!C305</f>
        <v>3.7853429677050325</v>
      </c>
      <c r="H305" s="84">
        <f t="shared" si="17"/>
        <v>67.198608532927935</v>
      </c>
      <c r="I305" s="223">
        <f t="shared" si="18"/>
        <v>0</v>
      </c>
      <c r="J305" s="65">
        <f t="shared" si="19"/>
        <v>0</v>
      </c>
      <c r="K305" s="5"/>
      <c r="L305" s="10"/>
      <c r="M305" s="11"/>
      <c r="R305" s="11"/>
    </row>
    <row r="306" spans="1:18" x14ac:dyDescent="0.25">
      <c r="A306" s="25"/>
      <c r="B306" s="74">
        <f>COUNTA(B6:B305)</f>
        <v>300</v>
      </c>
      <c r="C306" s="409">
        <f>SUM(C6:C305)</f>
        <v>40270921.104040481</v>
      </c>
      <c r="D306" s="525"/>
      <c r="E306" s="413">
        <f>VPI!Q306</f>
        <v>67.554851270429381</v>
      </c>
      <c r="F306" s="243">
        <f t="shared" ref="F306" si="20">E306-D306</f>
        <v>67.554851270429381</v>
      </c>
      <c r="G306" s="239">
        <f>Effort!I306+Aide!I306/Taux!C306+Effort!K306/Taux!C306</f>
        <v>14.890876133817422</v>
      </c>
      <c r="H306" s="84">
        <f t="shared" ref="H306" si="21">F306+G306</f>
        <v>82.44572740424681</v>
      </c>
      <c r="I306" s="349"/>
      <c r="J306" s="65">
        <f>SUM(J6:J305)</f>
        <v>0</v>
      </c>
      <c r="K306" s="5"/>
      <c r="L306" s="11"/>
      <c r="M306" s="11"/>
      <c r="R306" s="11"/>
    </row>
    <row r="307" spans="1:18" x14ac:dyDescent="0.25">
      <c r="Q307" s="18"/>
    </row>
    <row r="308" spans="1:18" s="5" customFormat="1" x14ac:dyDescent="0.25">
      <c r="M308" s="13"/>
    </row>
    <row r="311" spans="1:18" s="5" customFormat="1" x14ac:dyDescent="0.25">
      <c r="L311" s="163"/>
      <c r="M311" s="13"/>
      <c r="N311" s="163"/>
      <c r="O311" s="163"/>
    </row>
  </sheetData>
  <mergeCells count="7">
    <mergeCell ref="B4:B5"/>
    <mergeCell ref="A4:A5"/>
    <mergeCell ref="C4:C5"/>
    <mergeCell ref="J4:J5"/>
    <mergeCell ref="H4:H5"/>
    <mergeCell ref="F4:F5"/>
    <mergeCell ref="E4:E5"/>
  </mergeCells>
  <phoneticPr fontId="0" type="noConversion"/>
  <hyperlinks>
    <hyperlink ref="C1" location="Aide!A1" display="← Précédent" xr:uid="{00D85FBE-C9A1-4DAD-8388-6665A16184A7}"/>
    <hyperlink ref="E1" location="'Facture policière'!A1" display="Suivant →" xr:uid="{1A29BF59-48EA-4027-B528-0BD68DA04860}"/>
    <hyperlink ref="D1" location="'Table des matières'!A1" display="Table des             matières" xr:uid="{BAADEC0A-8BF6-4BD9-A62A-9F972EA7EC07}"/>
  </hyperlinks>
  <printOptions horizontalCentered="1"/>
  <pageMargins left="0" right="0" top="0" bottom="0" header="0.51181102362204722" footer="0.51181102362204722"/>
  <pageSetup paperSize="9" scale="63" orientation="landscape" horizontalDpi="4294967292" verticalDpi="4294967292"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6">
    <tabColor theme="7" tint="-0.249977111117893"/>
    <pageSetUpPr fitToPage="1"/>
  </sheetPr>
  <dimension ref="A1:T308"/>
  <sheetViews>
    <sheetView workbookViewId="0">
      <pane ySplit="5" topLeftCell="A6" activePane="bottomLeft" state="frozen"/>
      <selection activeCell="C3" sqref="C3:E3"/>
      <selection pane="bottomLeft" activeCell="C3" sqref="C3:E3"/>
    </sheetView>
  </sheetViews>
  <sheetFormatPr baseColWidth="10" defaultColWidth="9.375" defaultRowHeight="15" x14ac:dyDescent="0.25"/>
  <cols>
    <col min="1" max="1" width="8.125" style="125" customWidth="1"/>
    <col min="2" max="2" width="22" style="125" customWidth="1"/>
    <col min="3" max="3" width="11.625" style="125" customWidth="1"/>
    <col min="4" max="4" width="11.375" style="125" customWidth="1"/>
    <col min="5" max="5" width="6.625" style="125" customWidth="1"/>
    <col min="6" max="6" width="12" style="125" bestFit="1" customWidth="1"/>
    <col min="7" max="7" width="19.625" style="125" customWidth="1"/>
    <col min="8" max="8" width="14.25" style="125" customWidth="1"/>
    <col min="9" max="9" width="20" style="125" customWidth="1"/>
    <col min="10" max="10" width="16.625" style="125" customWidth="1"/>
    <col min="11" max="11" width="14.5" style="125" customWidth="1"/>
    <col min="12" max="12" width="13" style="125" customWidth="1"/>
    <col min="13" max="13" width="10.75" style="125" bestFit="1" customWidth="1"/>
    <col min="14" max="14" width="13.125" style="127" customWidth="1"/>
    <col min="15" max="15" width="9.375" style="126"/>
    <col min="16" max="16" width="9.875" style="127" customWidth="1"/>
    <col min="17" max="17" width="11.75" style="127" bestFit="1" customWidth="1"/>
    <col min="18" max="20" width="9.375" style="126"/>
    <col min="21" max="247" width="9.375" style="125"/>
    <col min="248" max="248" width="5" style="125" customWidth="1"/>
    <col min="249" max="249" width="17.875" style="125" bestFit="1" customWidth="1"/>
    <col min="250" max="250" width="9.875" style="125" customWidth="1"/>
    <col min="251" max="251" width="8.875" style="125" customWidth="1"/>
    <col min="252" max="252" width="7.375" style="125" bestFit="1" customWidth="1"/>
    <col min="253" max="253" width="10.125" style="125" bestFit="1" customWidth="1"/>
    <col min="254" max="254" width="9.375" style="125"/>
    <col min="255" max="255" width="10.125" style="125" bestFit="1" customWidth="1"/>
    <col min="256" max="256" width="10.75" style="125" customWidth="1"/>
    <col min="257" max="259" width="9.375" style="125"/>
    <col min="260" max="261" width="10.75" style="125" customWidth="1"/>
    <col min="262" max="266" width="9.375" style="125"/>
    <col min="267" max="267" width="1.625" style="125" bestFit="1" customWidth="1"/>
    <col min="268" max="268" width="9.375" style="125"/>
    <col min="269" max="269" width="8.875" style="125" customWidth="1"/>
    <col min="270" max="270" width="13.125" style="125" customWidth="1"/>
    <col min="271" max="271" width="9.375" style="125"/>
    <col min="272" max="272" width="9.875" style="125" customWidth="1"/>
    <col min="273" max="273" width="11.75" style="125" bestFit="1" customWidth="1"/>
    <col min="274" max="503" width="9.375" style="125"/>
    <col min="504" max="504" width="5" style="125" customWidth="1"/>
    <col min="505" max="505" width="17.875" style="125" bestFit="1" customWidth="1"/>
    <col min="506" max="506" width="9.875" style="125" customWidth="1"/>
    <col min="507" max="507" width="8.875" style="125" customWidth="1"/>
    <col min="508" max="508" width="7.375" style="125" bestFit="1" customWidth="1"/>
    <col min="509" max="509" width="10.125" style="125" bestFit="1" customWidth="1"/>
    <col min="510" max="510" width="9.375" style="125"/>
    <col min="511" max="511" width="10.125" style="125" bestFit="1" customWidth="1"/>
    <col min="512" max="512" width="10.75" style="125" customWidth="1"/>
    <col min="513" max="515" width="9.375" style="125"/>
    <col min="516" max="517" width="10.75" style="125" customWidth="1"/>
    <col min="518" max="522" width="9.375" style="125"/>
    <col min="523" max="523" width="1.625" style="125" bestFit="1" customWidth="1"/>
    <col min="524" max="524" width="9.375" style="125"/>
    <col min="525" max="525" width="8.875" style="125" customWidth="1"/>
    <col min="526" max="526" width="13.125" style="125" customWidth="1"/>
    <col min="527" max="527" width="9.375" style="125"/>
    <col min="528" max="528" width="9.875" style="125" customWidth="1"/>
    <col min="529" max="529" width="11.75" style="125" bestFit="1" customWidth="1"/>
    <col min="530" max="759" width="9.375" style="125"/>
    <col min="760" max="760" width="5" style="125" customWidth="1"/>
    <col min="761" max="761" width="17.875" style="125" bestFit="1" customWidth="1"/>
    <col min="762" max="762" width="9.875" style="125" customWidth="1"/>
    <col min="763" max="763" width="8.875" style="125" customWidth="1"/>
    <col min="764" max="764" width="7.375" style="125" bestFit="1" customWidth="1"/>
    <col min="765" max="765" width="10.125" style="125" bestFit="1" customWidth="1"/>
    <col min="766" max="766" width="9.375" style="125"/>
    <col min="767" max="767" width="10.125" style="125" bestFit="1" customWidth="1"/>
    <col min="768" max="768" width="10.75" style="125" customWidth="1"/>
    <col min="769" max="771" width="9.375" style="125"/>
    <col min="772" max="773" width="10.75" style="125" customWidth="1"/>
    <col min="774" max="778" width="9.375" style="125"/>
    <col min="779" max="779" width="1.625" style="125" bestFit="1" customWidth="1"/>
    <col min="780" max="780" width="9.375" style="125"/>
    <col min="781" max="781" width="8.875" style="125" customWidth="1"/>
    <col min="782" max="782" width="13.125" style="125" customWidth="1"/>
    <col min="783" max="783" width="9.375" style="125"/>
    <col min="784" max="784" width="9.875" style="125" customWidth="1"/>
    <col min="785" max="785" width="11.75" style="125" bestFit="1" customWidth="1"/>
    <col min="786" max="1015" width="9.375" style="125"/>
    <col min="1016" max="1016" width="5" style="125" customWidth="1"/>
    <col min="1017" max="1017" width="17.875" style="125" bestFit="1" customWidth="1"/>
    <col min="1018" max="1018" width="9.875" style="125" customWidth="1"/>
    <col min="1019" max="1019" width="8.875" style="125" customWidth="1"/>
    <col min="1020" max="1020" width="7.375" style="125" bestFit="1" customWidth="1"/>
    <col min="1021" max="1021" width="10.125" style="125" bestFit="1" customWidth="1"/>
    <col min="1022" max="1022" width="9.375" style="125"/>
    <col min="1023" max="1023" width="10.125" style="125" bestFit="1" customWidth="1"/>
    <col min="1024" max="1024" width="10.75" style="125" customWidth="1"/>
    <col min="1025" max="1027" width="9.375" style="125"/>
    <col min="1028" max="1029" width="10.75" style="125" customWidth="1"/>
    <col min="1030" max="1034" width="9.375" style="125"/>
    <col min="1035" max="1035" width="1.625" style="125" bestFit="1" customWidth="1"/>
    <col min="1036" max="1036" width="9.375" style="125"/>
    <col min="1037" max="1037" width="8.875" style="125" customWidth="1"/>
    <col min="1038" max="1038" width="13.125" style="125" customWidth="1"/>
    <col min="1039" max="1039" width="9.375" style="125"/>
    <col min="1040" max="1040" width="9.875" style="125" customWidth="1"/>
    <col min="1041" max="1041" width="11.75" style="125" bestFit="1" customWidth="1"/>
    <col min="1042" max="1271" width="9.375" style="125"/>
    <col min="1272" max="1272" width="5" style="125" customWidth="1"/>
    <col min="1273" max="1273" width="17.875" style="125" bestFit="1" customWidth="1"/>
    <col min="1274" max="1274" width="9.875" style="125" customWidth="1"/>
    <col min="1275" max="1275" width="8.875" style="125" customWidth="1"/>
    <col min="1276" max="1276" width="7.375" style="125" bestFit="1" customWidth="1"/>
    <col min="1277" max="1277" width="10.125" style="125" bestFit="1" customWidth="1"/>
    <col min="1278" max="1278" width="9.375" style="125"/>
    <col min="1279" max="1279" width="10.125" style="125" bestFit="1" customWidth="1"/>
    <col min="1280" max="1280" width="10.75" style="125" customWidth="1"/>
    <col min="1281" max="1283" width="9.375" style="125"/>
    <col min="1284" max="1285" width="10.75" style="125" customWidth="1"/>
    <col min="1286" max="1290" width="9.375" style="125"/>
    <col min="1291" max="1291" width="1.625" style="125" bestFit="1" customWidth="1"/>
    <col min="1292" max="1292" width="9.375" style="125"/>
    <col min="1293" max="1293" width="8.875" style="125" customWidth="1"/>
    <col min="1294" max="1294" width="13.125" style="125" customWidth="1"/>
    <col min="1295" max="1295" width="9.375" style="125"/>
    <col min="1296" max="1296" width="9.875" style="125" customWidth="1"/>
    <col min="1297" max="1297" width="11.75" style="125" bestFit="1" customWidth="1"/>
    <col min="1298" max="1527" width="9.375" style="125"/>
    <col min="1528" max="1528" width="5" style="125" customWidth="1"/>
    <col min="1529" max="1529" width="17.875" style="125" bestFit="1" customWidth="1"/>
    <col min="1530" max="1530" width="9.875" style="125" customWidth="1"/>
    <col min="1531" max="1531" width="8.875" style="125" customWidth="1"/>
    <col min="1532" max="1532" width="7.375" style="125" bestFit="1" customWidth="1"/>
    <col min="1533" max="1533" width="10.125" style="125" bestFit="1" customWidth="1"/>
    <col min="1534" max="1534" width="9.375" style="125"/>
    <col min="1535" max="1535" width="10.125" style="125" bestFit="1" customWidth="1"/>
    <col min="1536" max="1536" width="10.75" style="125" customWidth="1"/>
    <col min="1537" max="1539" width="9.375" style="125"/>
    <col min="1540" max="1541" width="10.75" style="125" customWidth="1"/>
    <col min="1542" max="1546" width="9.375" style="125"/>
    <col min="1547" max="1547" width="1.625" style="125" bestFit="1" customWidth="1"/>
    <col min="1548" max="1548" width="9.375" style="125"/>
    <col min="1549" max="1549" width="8.875" style="125" customWidth="1"/>
    <col min="1550" max="1550" width="13.125" style="125" customWidth="1"/>
    <col min="1551" max="1551" width="9.375" style="125"/>
    <col min="1552" max="1552" width="9.875" style="125" customWidth="1"/>
    <col min="1553" max="1553" width="11.75" style="125" bestFit="1" customWidth="1"/>
    <col min="1554" max="1783" width="9.375" style="125"/>
    <col min="1784" max="1784" width="5" style="125" customWidth="1"/>
    <col min="1785" max="1785" width="17.875" style="125" bestFit="1" customWidth="1"/>
    <col min="1786" max="1786" width="9.875" style="125" customWidth="1"/>
    <col min="1787" max="1787" width="8.875" style="125" customWidth="1"/>
    <col min="1788" max="1788" width="7.375" style="125" bestFit="1" customWidth="1"/>
    <col min="1789" max="1789" width="10.125" style="125" bestFit="1" customWidth="1"/>
    <col min="1790" max="1790" width="9.375" style="125"/>
    <col min="1791" max="1791" width="10.125" style="125" bestFit="1" customWidth="1"/>
    <col min="1792" max="1792" width="10.75" style="125" customWidth="1"/>
    <col min="1793" max="1795" width="9.375" style="125"/>
    <col min="1796" max="1797" width="10.75" style="125" customWidth="1"/>
    <col min="1798" max="1802" width="9.375" style="125"/>
    <col min="1803" max="1803" width="1.625" style="125" bestFit="1" customWidth="1"/>
    <col min="1804" max="1804" width="9.375" style="125"/>
    <col min="1805" max="1805" width="8.875" style="125" customWidth="1"/>
    <col min="1806" max="1806" width="13.125" style="125" customWidth="1"/>
    <col min="1807" max="1807" width="9.375" style="125"/>
    <col min="1808" max="1808" width="9.875" style="125" customWidth="1"/>
    <col min="1809" max="1809" width="11.75" style="125" bestFit="1" customWidth="1"/>
    <col min="1810" max="2039" width="9.375" style="125"/>
    <col min="2040" max="2040" width="5" style="125" customWidth="1"/>
    <col min="2041" max="2041" width="17.875" style="125" bestFit="1" customWidth="1"/>
    <col min="2042" max="2042" width="9.875" style="125" customWidth="1"/>
    <col min="2043" max="2043" width="8.875" style="125" customWidth="1"/>
    <col min="2044" max="2044" width="7.375" style="125" bestFit="1" customWidth="1"/>
    <col min="2045" max="2045" width="10.125" style="125" bestFit="1" customWidth="1"/>
    <col min="2046" max="2046" width="9.375" style="125"/>
    <col min="2047" max="2047" width="10.125" style="125" bestFit="1" customWidth="1"/>
    <col min="2048" max="2048" width="10.75" style="125" customWidth="1"/>
    <col min="2049" max="2051" width="9.375" style="125"/>
    <col min="2052" max="2053" width="10.75" style="125" customWidth="1"/>
    <col min="2054" max="2058" width="9.375" style="125"/>
    <col min="2059" max="2059" width="1.625" style="125" bestFit="1" customWidth="1"/>
    <col min="2060" max="2060" width="9.375" style="125"/>
    <col min="2061" max="2061" width="8.875" style="125" customWidth="1"/>
    <col min="2062" max="2062" width="13.125" style="125" customWidth="1"/>
    <col min="2063" max="2063" width="9.375" style="125"/>
    <col min="2064" max="2064" width="9.875" style="125" customWidth="1"/>
    <col min="2065" max="2065" width="11.75" style="125" bestFit="1" customWidth="1"/>
    <col min="2066" max="2295" width="9.375" style="125"/>
    <col min="2296" max="2296" width="5" style="125" customWidth="1"/>
    <col min="2297" max="2297" width="17.875" style="125" bestFit="1" customWidth="1"/>
    <col min="2298" max="2298" width="9.875" style="125" customWidth="1"/>
    <col min="2299" max="2299" width="8.875" style="125" customWidth="1"/>
    <col min="2300" max="2300" width="7.375" style="125" bestFit="1" customWidth="1"/>
    <col min="2301" max="2301" width="10.125" style="125" bestFit="1" customWidth="1"/>
    <col min="2302" max="2302" width="9.375" style="125"/>
    <col min="2303" max="2303" width="10.125" style="125" bestFit="1" customWidth="1"/>
    <col min="2304" max="2304" width="10.75" style="125" customWidth="1"/>
    <col min="2305" max="2307" width="9.375" style="125"/>
    <col min="2308" max="2309" width="10.75" style="125" customWidth="1"/>
    <col min="2310" max="2314" width="9.375" style="125"/>
    <col min="2315" max="2315" width="1.625" style="125" bestFit="1" customWidth="1"/>
    <col min="2316" max="2316" width="9.375" style="125"/>
    <col min="2317" max="2317" width="8.875" style="125" customWidth="1"/>
    <col min="2318" max="2318" width="13.125" style="125" customWidth="1"/>
    <col min="2319" max="2319" width="9.375" style="125"/>
    <col min="2320" max="2320" width="9.875" style="125" customWidth="1"/>
    <col min="2321" max="2321" width="11.75" style="125" bestFit="1" customWidth="1"/>
    <col min="2322" max="2551" width="9.375" style="125"/>
    <col min="2552" max="2552" width="5" style="125" customWidth="1"/>
    <col min="2553" max="2553" width="17.875" style="125" bestFit="1" customWidth="1"/>
    <col min="2554" max="2554" width="9.875" style="125" customWidth="1"/>
    <col min="2555" max="2555" width="8.875" style="125" customWidth="1"/>
    <col min="2556" max="2556" width="7.375" style="125" bestFit="1" customWidth="1"/>
    <col min="2557" max="2557" width="10.125" style="125" bestFit="1" customWidth="1"/>
    <col min="2558" max="2558" width="9.375" style="125"/>
    <col min="2559" max="2559" width="10.125" style="125" bestFit="1" customWidth="1"/>
    <col min="2560" max="2560" width="10.75" style="125" customWidth="1"/>
    <col min="2561" max="2563" width="9.375" style="125"/>
    <col min="2564" max="2565" width="10.75" style="125" customWidth="1"/>
    <col min="2566" max="2570" width="9.375" style="125"/>
    <col min="2571" max="2571" width="1.625" style="125" bestFit="1" customWidth="1"/>
    <col min="2572" max="2572" width="9.375" style="125"/>
    <col min="2573" max="2573" width="8.875" style="125" customWidth="1"/>
    <col min="2574" max="2574" width="13.125" style="125" customWidth="1"/>
    <col min="2575" max="2575" width="9.375" style="125"/>
    <col min="2576" max="2576" width="9.875" style="125" customWidth="1"/>
    <col min="2577" max="2577" width="11.75" style="125" bestFit="1" customWidth="1"/>
    <col min="2578" max="2807" width="9.375" style="125"/>
    <col min="2808" max="2808" width="5" style="125" customWidth="1"/>
    <col min="2809" max="2809" width="17.875" style="125" bestFit="1" customWidth="1"/>
    <col min="2810" max="2810" width="9.875" style="125" customWidth="1"/>
    <col min="2811" max="2811" width="8.875" style="125" customWidth="1"/>
    <col min="2812" max="2812" width="7.375" style="125" bestFit="1" customWidth="1"/>
    <col min="2813" max="2813" width="10.125" style="125" bestFit="1" customWidth="1"/>
    <col min="2814" max="2814" width="9.375" style="125"/>
    <col min="2815" max="2815" width="10.125" style="125" bestFit="1" customWidth="1"/>
    <col min="2816" max="2816" width="10.75" style="125" customWidth="1"/>
    <col min="2817" max="2819" width="9.375" style="125"/>
    <col min="2820" max="2821" width="10.75" style="125" customWidth="1"/>
    <col min="2822" max="2826" width="9.375" style="125"/>
    <col min="2827" max="2827" width="1.625" style="125" bestFit="1" customWidth="1"/>
    <col min="2828" max="2828" width="9.375" style="125"/>
    <col min="2829" max="2829" width="8.875" style="125" customWidth="1"/>
    <col min="2830" max="2830" width="13.125" style="125" customWidth="1"/>
    <col min="2831" max="2831" width="9.375" style="125"/>
    <col min="2832" max="2832" width="9.875" style="125" customWidth="1"/>
    <col min="2833" max="2833" width="11.75" style="125" bestFit="1" customWidth="1"/>
    <col min="2834" max="3063" width="9.375" style="125"/>
    <col min="3064" max="3064" width="5" style="125" customWidth="1"/>
    <col min="3065" max="3065" width="17.875" style="125" bestFit="1" customWidth="1"/>
    <col min="3066" max="3066" width="9.875" style="125" customWidth="1"/>
    <col min="3067" max="3067" width="8.875" style="125" customWidth="1"/>
    <col min="3068" max="3068" width="7.375" style="125" bestFit="1" customWidth="1"/>
    <col min="3069" max="3069" width="10.125" style="125" bestFit="1" customWidth="1"/>
    <col min="3070" max="3070" width="9.375" style="125"/>
    <col min="3071" max="3071" width="10.125" style="125" bestFit="1" customWidth="1"/>
    <col min="3072" max="3072" width="10.75" style="125" customWidth="1"/>
    <col min="3073" max="3075" width="9.375" style="125"/>
    <col min="3076" max="3077" width="10.75" style="125" customWidth="1"/>
    <col min="3078" max="3082" width="9.375" style="125"/>
    <col min="3083" max="3083" width="1.625" style="125" bestFit="1" customWidth="1"/>
    <col min="3084" max="3084" width="9.375" style="125"/>
    <col min="3085" max="3085" width="8.875" style="125" customWidth="1"/>
    <col min="3086" max="3086" width="13.125" style="125" customWidth="1"/>
    <col min="3087" max="3087" width="9.375" style="125"/>
    <col min="3088" max="3088" width="9.875" style="125" customWidth="1"/>
    <col min="3089" max="3089" width="11.75" style="125" bestFit="1" customWidth="1"/>
    <col min="3090" max="3319" width="9.375" style="125"/>
    <col min="3320" max="3320" width="5" style="125" customWidth="1"/>
    <col min="3321" max="3321" width="17.875" style="125" bestFit="1" customWidth="1"/>
    <col min="3322" max="3322" width="9.875" style="125" customWidth="1"/>
    <col min="3323" max="3323" width="8.875" style="125" customWidth="1"/>
    <col min="3324" max="3324" width="7.375" style="125" bestFit="1" customWidth="1"/>
    <col min="3325" max="3325" width="10.125" style="125" bestFit="1" customWidth="1"/>
    <col min="3326" max="3326" width="9.375" style="125"/>
    <col min="3327" max="3327" width="10.125" style="125" bestFit="1" customWidth="1"/>
    <col min="3328" max="3328" width="10.75" style="125" customWidth="1"/>
    <col min="3329" max="3331" width="9.375" style="125"/>
    <col min="3332" max="3333" width="10.75" style="125" customWidth="1"/>
    <col min="3334" max="3338" width="9.375" style="125"/>
    <col min="3339" max="3339" width="1.625" style="125" bestFit="1" customWidth="1"/>
    <col min="3340" max="3340" width="9.375" style="125"/>
    <col min="3341" max="3341" width="8.875" style="125" customWidth="1"/>
    <col min="3342" max="3342" width="13.125" style="125" customWidth="1"/>
    <col min="3343" max="3343" width="9.375" style="125"/>
    <col min="3344" max="3344" width="9.875" style="125" customWidth="1"/>
    <col min="3345" max="3345" width="11.75" style="125" bestFit="1" customWidth="1"/>
    <col min="3346" max="3575" width="9.375" style="125"/>
    <col min="3576" max="3576" width="5" style="125" customWidth="1"/>
    <col min="3577" max="3577" width="17.875" style="125" bestFit="1" customWidth="1"/>
    <col min="3578" max="3578" width="9.875" style="125" customWidth="1"/>
    <col min="3579" max="3579" width="8.875" style="125" customWidth="1"/>
    <col min="3580" max="3580" width="7.375" style="125" bestFit="1" customWidth="1"/>
    <col min="3581" max="3581" width="10.125" style="125" bestFit="1" customWidth="1"/>
    <col min="3582" max="3582" width="9.375" style="125"/>
    <col min="3583" max="3583" width="10.125" style="125" bestFit="1" customWidth="1"/>
    <col min="3584" max="3584" width="10.75" style="125" customWidth="1"/>
    <col min="3585" max="3587" width="9.375" style="125"/>
    <col min="3588" max="3589" width="10.75" style="125" customWidth="1"/>
    <col min="3590" max="3594" width="9.375" style="125"/>
    <col min="3595" max="3595" width="1.625" style="125" bestFit="1" customWidth="1"/>
    <col min="3596" max="3596" width="9.375" style="125"/>
    <col min="3597" max="3597" width="8.875" style="125" customWidth="1"/>
    <col min="3598" max="3598" width="13.125" style="125" customWidth="1"/>
    <col min="3599" max="3599" width="9.375" style="125"/>
    <col min="3600" max="3600" width="9.875" style="125" customWidth="1"/>
    <col min="3601" max="3601" width="11.75" style="125" bestFit="1" customWidth="1"/>
    <col min="3602" max="3831" width="9.375" style="125"/>
    <col min="3832" max="3832" width="5" style="125" customWidth="1"/>
    <col min="3833" max="3833" width="17.875" style="125" bestFit="1" customWidth="1"/>
    <col min="3834" max="3834" width="9.875" style="125" customWidth="1"/>
    <col min="3835" max="3835" width="8.875" style="125" customWidth="1"/>
    <col min="3836" max="3836" width="7.375" style="125" bestFit="1" customWidth="1"/>
    <col min="3837" max="3837" width="10.125" style="125" bestFit="1" customWidth="1"/>
    <col min="3838" max="3838" width="9.375" style="125"/>
    <col min="3839" max="3839" width="10.125" style="125" bestFit="1" customWidth="1"/>
    <col min="3840" max="3840" width="10.75" style="125" customWidth="1"/>
    <col min="3841" max="3843" width="9.375" style="125"/>
    <col min="3844" max="3845" width="10.75" style="125" customWidth="1"/>
    <col min="3846" max="3850" width="9.375" style="125"/>
    <col min="3851" max="3851" width="1.625" style="125" bestFit="1" customWidth="1"/>
    <col min="3852" max="3852" width="9.375" style="125"/>
    <col min="3853" max="3853" width="8.875" style="125" customWidth="1"/>
    <col min="3854" max="3854" width="13.125" style="125" customWidth="1"/>
    <col min="3855" max="3855" width="9.375" style="125"/>
    <col min="3856" max="3856" width="9.875" style="125" customWidth="1"/>
    <col min="3857" max="3857" width="11.75" style="125" bestFit="1" customWidth="1"/>
    <col min="3858" max="4087" width="9.375" style="125"/>
    <col min="4088" max="4088" width="5" style="125" customWidth="1"/>
    <col min="4089" max="4089" width="17.875" style="125" bestFit="1" customWidth="1"/>
    <col min="4090" max="4090" width="9.875" style="125" customWidth="1"/>
    <col min="4091" max="4091" width="8.875" style="125" customWidth="1"/>
    <col min="4092" max="4092" width="7.375" style="125" bestFit="1" customWidth="1"/>
    <col min="4093" max="4093" width="10.125" style="125" bestFit="1" customWidth="1"/>
    <col min="4094" max="4094" width="9.375" style="125"/>
    <col min="4095" max="4095" width="10.125" style="125" bestFit="1" customWidth="1"/>
    <col min="4096" max="4096" width="10.75" style="125" customWidth="1"/>
    <col min="4097" max="4099" width="9.375" style="125"/>
    <col min="4100" max="4101" width="10.75" style="125" customWidth="1"/>
    <col min="4102" max="4106" width="9.375" style="125"/>
    <col min="4107" max="4107" width="1.625" style="125" bestFit="1" customWidth="1"/>
    <col min="4108" max="4108" width="9.375" style="125"/>
    <col min="4109" max="4109" width="8.875" style="125" customWidth="1"/>
    <col min="4110" max="4110" width="13.125" style="125" customWidth="1"/>
    <col min="4111" max="4111" width="9.375" style="125"/>
    <col min="4112" max="4112" width="9.875" style="125" customWidth="1"/>
    <col min="4113" max="4113" width="11.75" style="125" bestFit="1" customWidth="1"/>
    <col min="4114" max="4343" width="9.375" style="125"/>
    <col min="4344" max="4344" width="5" style="125" customWidth="1"/>
    <col min="4345" max="4345" width="17.875" style="125" bestFit="1" customWidth="1"/>
    <col min="4346" max="4346" width="9.875" style="125" customWidth="1"/>
    <col min="4347" max="4347" width="8.875" style="125" customWidth="1"/>
    <col min="4348" max="4348" width="7.375" style="125" bestFit="1" customWidth="1"/>
    <col min="4349" max="4349" width="10.125" style="125" bestFit="1" customWidth="1"/>
    <col min="4350" max="4350" width="9.375" style="125"/>
    <col min="4351" max="4351" width="10.125" style="125" bestFit="1" customWidth="1"/>
    <col min="4352" max="4352" width="10.75" style="125" customWidth="1"/>
    <col min="4353" max="4355" width="9.375" style="125"/>
    <col min="4356" max="4357" width="10.75" style="125" customWidth="1"/>
    <col min="4358" max="4362" width="9.375" style="125"/>
    <col min="4363" max="4363" width="1.625" style="125" bestFit="1" customWidth="1"/>
    <col min="4364" max="4364" width="9.375" style="125"/>
    <col min="4365" max="4365" width="8.875" style="125" customWidth="1"/>
    <col min="4366" max="4366" width="13.125" style="125" customWidth="1"/>
    <col min="4367" max="4367" width="9.375" style="125"/>
    <col min="4368" max="4368" width="9.875" style="125" customWidth="1"/>
    <col min="4369" max="4369" width="11.75" style="125" bestFit="1" customWidth="1"/>
    <col min="4370" max="4599" width="9.375" style="125"/>
    <col min="4600" max="4600" width="5" style="125" customWidth="1"/>
    <col min="4601" max="4601" width="17.875" style="125" bestFit="1" customWidth="1"/>
    <col min="4602" max="4602" width="9.875" style="125" customWidth="1"/>
    <col min="4603" max="4603" width="8.875" style="125" customWidth="1"/>
    <col min="4604" max="4604" width="7.375" style="125" bestFit="1" customWidth="1"/>
    <col min="4605" max="4605" width="10.125" style="125" bestFit="1" customWidth="1"/>
    <col min="4606" max="4606" width="9.375" style="125"/>
    <col min="4607" max="4607" width="10.125" style="125" bestFit="1" customWidth="1"/>
    <col min="4608" max="4608" width="10.75" style="125" customWidth="1"/>
    <col min="4609" max="4611" width="9.375" style="125"/>
    <col min="4612" max="4613" width="10.75" style="125" customWidth="1"/>
    <col min="4614" max="4618" width="9.375" style="125"/>
    <col min="4619" max="4619" width="1.625" style="125" bestFit="1" customWidth="1"/>
    <col min="4620" max="4620" width="9.375" style="125"/>
    <col min="4621" max="4621" width="8.875" style="125" customWidth="1"/>
    <col min="4622" max="4622" width="13.125" style="125" customWidth="1"/>
    <col min="4623" max="4623" width="9.375" style="125"/>
    <col min="4624" max="4624" width="9.875" style="125" customWidth="1"/>
    <col min="4625" max="4625" width="11.75" style="125" bestFit="1" customWidth="1"/>
    <col min="4626" max="4855" width="9.375" style="125"/>
    <col min="4856" max="4856" width="5" style="125" customWidth="1"/>
    <col min="4857" max="4857" width="17.875" style="125" bestFit="1" customWidth="1"/>
    <col min="4858" max="4858" width="9.875" style="125" customWidth="1"/>
    <col min="4859" max="4859" width="8.875" style="125" customWidth="1"/>
    <col min="4860" max="4860" width="7.375" style="125" bestFit="1" customWidth="1"/>
    <col min="4861" max="4861" width="10.125" style="125" bestFit="1" customWidth="1"/>
    <col min="4862" max="4862" width="9.375" style="125"/>
    <col min="4863" max="4863" width="10.125" style="125" bestFit="1" customWidth="1"/>
    <col min="4864" max="4864" width="10.75" style="125" customWidth="1"/>
    <col min="4865" max="4867" width="9.375" style="125"/>
    <col min="4868" max="4869" width="10.75" style="125" customWidth="1"/>
    <col min="4870" max="4874" width="9.375" style="125"/>
    <col min="4875" max="4875" width="1.625" style="125" bestFit="1" customWidth="1"/>
    <col min="4876" max="4876" width="9.375" style="125"/>
    <col min="4877" max="4877" width="8.875" style="125" customWidth="1"/>
    <col min="4878" max="4878" width="13.125" style="125" customWidth="1"/>
    <col min="4879" max="4879" width="9.375" style="125"/>
    <col min="4880" max="4880" width="9.875" style="125" customWidth="1"/>
    <col min="4881" max="4881" width="11.75" style="125" bestFit="1" customWidth="1"/>
    <col min="4882" max="5111" width="9.375" style="125"/>
    <col min="5112" max="5112" width="5" style="125" customWidth="1"/>
    <col min="5113" max="5113" width="17.875" style="125" bestFit="1" customWidth="1"/>
    <col min="5114" max="5114" width="9.875" style="125" customWidth="1"/>
    <col min="5115" max="5115" width="8.875" style="125" customWidth="1"/>
    <col min="5116" max="5116" width="7.375" style="125" bestFit="1" customWidth="1"/>
    <col min="5117" max="5117" width="10.125" style="125" bestFit="1" customWidth="1"/>
    <col min="5118" max="5118" width="9.375" style="125"/>
    <col min="5119" max="5119" width="10.125" style="125" bestFit="1" customWidth="1"/>
    <col min="5120" max="5120" width="10.75" style="125" customWidth="1"/>
    <col min="5121" max="5123" width="9.375" style="125"/>
    <col min="5124" max="5125" width="10.75" style="125" customWidth="1"/>
    <col min="5126" max="5130" width="9.375" style="125"/>
    <col min="5131" max="5131" width="1.625" style="125" bestFit="1" customWidth="1"/>
    <col min="5132" max="5132" width="9.375" style="125"/>
    <col min="5133" max="5133" width="8.875" style="125" customWidth="1"/>
    <col min="5134" max="5134" width="13.125" style="125" customWidth="1"/>
    <col min="5135" max="5135" width="9.375" style="125"/>
    <col min="5136" max="5136" width="9.875" style="125" customWidth="1"/>
    <col min="5137" max="5137" width="11.75" style="125" bestFit="1" customWidth="1"/>
    <col min="5138" max="5367" width="9.375" style="125"/>
    <col min="5368" max="5368" width="5" style="125" customWidth="1"/>
    <col min="5369" max="5369" width="17.875" style="125" bestFit="1" customWidth="1"/>
    <col min="5370" max="5370" width="9.875" style="125" customWidth="1"/>
    <col min="5371" max="5371" width="8.875" style="125" customWidth="1"/>
    <col min="5372" max="5372" width="7.375" style="125" bestFit="1" customWidth="1"/>
    <col min="5373" max="5373" width="10.125" style="125" bestFit="1" customWidth="1"/>
    <col min="5374" max="5374" width="9.375" style="125"/>
    <col min="5375" max="5375" width="10.125" style="125" bestFit="1" customWidth="1"/>
    <col min="5376" max="5376" width="10.75" style="125" customWidth="1"/>
    <col min="5377" max="5379" width="9.375" style="125"/>
    <col min="5380" max="5381" width="10.75" style="125" customWidth="1"/>
    <col min="5382" max="5386" width="9.375" style="125"/>
    <col min="5387" max="5387" width="1.625" style="125" bestFit="1" customWidth="1"/>
    <col min="5388" max="5388" width="9.375" style="125"/>
    <col min="5389" max="5389" width="8.875" style="125" customWidth="1"/>
    <col min="5390" max="5390" width="13.125" style="125" customWidth="1"/>
    <col min="5391" max="5391" width="9.375" style="125"/>
    <col min="5392" max="5392" width="9.875" style="125" customWidth="1"/>
    <col min="5393" max="5393" width="11.75" style="125" bestFit="1" customWidth="1"/>
    <col min="5394" max="5623" width="9.375" style="125"/>
    <col min="5624" max="5624" width="5" style="125" customWidth="1"/>
    <col min="5625" max="5625" width="17.875" style="125" bestFit="1" customWidth="1"/>
    <col min="5626" max="5626" width="9.875" style="125" customWidth="1"/>
    <col min="5627" max="5627" width="8.875" style="125" customWidth="1"/>
    <col min="5628" max="5628" width="7.375" style="125" bestFit="1" customWidth="1"/>
    <col min="5629" max="5629" width="10.125" style="125" bestFit="1" customWidth="1"/>
    <col min="5630" max="5630" width="9.375" style="125"/>
    <col min="5631" max="5631" width="10.125" style="125" bestFit="1" customWidth="1"/>
    <col min="5632" max="5632" width="10.75" style="125" customWidth="1"/>
    <col min="5633" max="5635" width="9.375" style="125"/>
    <col min="5636" max="5637" width="10.75" style="125" customWidth="1"/>
    <col min="5638" max="5642" width="9.375" style="125"/>
    <col min="5643" max="5643" width="1.625" style="125" bestFit="1" customWidth="1"/>
    <col min="5644" max="5644" width="9.375" style="125"/>
    <col min="5645" max="5645" width="8.875" style="125" customWidth="1"/>
    <col min="5646" max="5646" width="13.125" style="125" customWidth="1"/>
    <col min="5647" max="5647" width="9.375" style="125"/>
    <col min="5648" max="5648" width="9.875" style="125" customWidth="1"/>
    <col min="5649" max="5649" width="11.75" style="125" bestFit="1" customWidth="1"/>
    <col min="5650" max="5879" width="9.375" style="125"/>
    <col min="5880" max="5880" width="5" style="125" customWidth="1"/>
    <col min="5881" max="5881" width="17.875" style="125" bestFit="1" customWidth="1"/>
    <col min="5882" max="5882" width="9.875" style="125" customWidth="1"/>
    <col min="5883" max="5883" width="8.875" style="125" customWidth="1"/>
    <col min="5884" max="5884" width="7.375" style="125" bestFit="1" customWidth="1"/>
    <col min="5885" max="5885" width="10.125" style="125" bestFit="1" customWidth="1"/>
    <col min="5886" max="5886" width="9.375" style="125"/>
    <col min="5887" max="5887" width="10.125" style="125" bestFit="1" customWidth="1"/>
    <col min="5888" max="5888" width="10.75" style="125" customWidth="1"/>
    <col min="5889" max="5891" width="9.375" style="125"/>
    <col min="5892" max="5893" width="10.75" style="125" customWidth="1"/>
    <col min="5894" max="5898" width="9.375" style="125"/>
    <col min="5899" max="5899" width="1.625" style="125" bestFit="1" customWidth="1"/>
    <col min="5900" max="5900" width="9.375" style="125"/>
    <col min="5901" max="5901" width="8.875" style="125" customWidth="1"/>
    <col min="5902" max="5902" width="13.125" style="125" customWidth="1"/>
    <col min="5903" max="5903" width="9.375" style="125"/>
    <col min="5904" max="5904" width="9.875" style="125" customWidth="1"/>
    <col min="5905" max="5905" width="11.75" style="125" bestFit="1" customWidth="1"/>
    <col min="5906" max="6135" width="9.375" style="125"/>
    <col min="6136" max="6136" width="5" style="125" customWidth="1"/>
    <col min="6137" max="6137" width="17.875" style="125" bestFit="1" customWidth="1"/>
    <col min="6138" max="6138" width="9.875" style="125" customWidth="1"/>
    <col min="6139" max="6139" width="8.875" style="125" customWidth="1"/>
    <col min="6140" max="6140" width="7.375" style="125" bestFit="1" customWidth="1"/>
    <col min="6141" max="6141" width="10.125" style="125" bestFit="1" customWidth="1"/>
    <col min="6142" max="6142" width="9.375" style="125"/>
    <col min="6143" max="6143" width="10.125" style="125" bestFit="1" customWidth="1"/>
    <col min="6144" max="6144" width="10.75" style="125" customWidth="1"/>
    <col min="6145" max="6147" width="9.375" style="125"/>
    <col min="6148" max="6149" width="10.75" style="125" customWidth="1"/>
    <col min="6150" max="6154" width="9.375" style="125"/>
    <col min="6155" max="6155" width="1.625" style="125" bestFit="1" customWidth="1"/>
    <col min="6156" max="6156" width="9.375" style="125"/>
    <col min="6157" max="6157" width="8.875" style="125" customWidth="1"/>
    <col min="6158" max="6158" width="13.125" style="125" customWidth="1"/>
    <col min="6159" max="6159" width="9.375" style="125"/>
    <col min="6160" max="6160" width="9.875" style="125" customWidth="1"/>
    <col min="6161" max="6161" width="11.75" style="125" bestFit="1" customWidth="1"/>
    <col min="6162" max="6391" width="9.375" style="125"/>
    <col min="6392" max="6392" width="5" style="125" customWidth="1"/>
    <col min="6393" max="6393" width="17.875" style="125" bestFit="1" customWidth="1"/>
    <col min="6394" max="6394" width="9.875" style="125" customWidth="1"/>
    <col min="6395" max="6395" width="8.875" style="125" customWidth="1"/>
    <col min="6396" max="6396" width="7.375" style="125" bestFit="1" customWidth="1"/>
    <col min="6397" max="6397" width="10.125" style="125" bestFit="1" customWidth="1"/>
    <col min="6398" max="6398" width="9.375" style="125"/>
    <col min="6399" max="6399" width="10.125" style="125" bestFit="1" customWidth="1"/>
    <col min="6400" max="6400" width="10.75" style="125" customWidth="1"/>
    <col min="6401" max="6403" width="9.375" style="125"/>
    <col min="6404" max="6405" width="10.75" style="125" customWidth="1"/>
    <col min="6406" max="6410" width="9.375" style="125"/>
    <col min="6411" max="6411" width="1.625" style="125" bestFit="1" customWidth="1"/>
    <col min="6412" max="6412" width="9.375" style="125"/>
    <col min="6413" max="6413" width="8.875" style="125" customWidth="1"/>
    <col min="6414" max="6414" width="13.125" style="125" customWidth="1"/>
    <col min="6415" max="6415" width="9.375" style="125"/>
    <col min="6416" max="6416" width="9.875" style="125" customWidth="1"/>
    <col min="6417" max="6417" width="11.75" style="125" bestFit="1" customWidth="1"/>
    <col min="6418" max="6647" width="9.375" style="125"/>
    <col min="6648" max="6648" width="5" style="125" customWidth="1"/>
    <col min="6649" max="6649" width="17.875" style="125" bestFit="1" customWidth="1"/>
    <col min="6650" max="6650" width="9.875" style="125" customWidth="1"/>
    <col min="6651" max="6651" width="8.875" style="125" customWidth="1"/>
    <col min="6652" max="6652" width="7.375" style="125" bestFit="1" customWidth="1"/>
    <col min="6653" max="6653" width="10.125" style="125" bestFit="1" customWidth="1"/>
    <col min="6654" max="6654" width="9.375" style="125"/>
    <col min="6655" max="6655" width="10.125" style="125" bestFit="1" customWidth="1"/>
    <col min="6656" max="6656" width="10.75" style="125" customWidth="1"/>
    <col min="6657" max="6659" width="9.375" style="125"/>
    <col min="6660" max="6661" width="10.75" style="125" customWidth="1"/>
    <col min="6662" max="6666" width="9.375" style="125"/>
    <col min="6667" max="6667" width="1.625" style="125" bestFit="1" customWidth="1"/>
    <col min="6668" max="6668" width="9.375" style="125"/>
    <col min="6669" max="6669" width="8.875" style="125" customWidth="1"/>
    <col min="6670" max="6670" width="13.125" style="125" customWidth="1"/>
    <col min="6671" max="6671" width="9.375" style="125"/>
    <col min="6672" max="6672" width="9.875" style="125" customWidth="1"/>
    <col min="6673" max="6673" width="11.75" style="125" bestFit="1" customWidth="1"/>
    <col min="6674" max="6903" width="9.375" style="125"/>
    <col min="6904" max="6904" width="5" style="125" customWidth="1"/>
    <col min="6905" max="6905" width="17.875" style="125" bestFit="1" customWidth="1"/>
    <col min="6906" max="6906" width="9.875" style="125" customWidth="1"/>
    <col min="6907" max="6907" width="8.875" style="125" customWidth="1"/>
    <col min="6908" max="6908" width="7.375" style="125" bestFit="1" customWidth="1"/>
    <col min="6909" max="6909" width="10.125" style="125" bestFit="1" customWidth="1"/>
    <col min="6910" max="6910" width="9.375" style="125"/>
    <col min="6911" max="6911" width="10.125" style="125" bestFit="1" customWidth="1"/>
    <col min="6912" max="6912" width="10.75" style="125" customWidth="1"/>
    <col min="6913" max="6915" width="9.375" style="125"/>
    <col min="6916" max="6917" width="10.75" style="125" customWidth="1"/>
    <col min="6918" max="6922" width="9.375" style="125"/>
    <col min="6923" max="6923" width="1.625" style="125" bestFit="1" customWidth="1"/>
    <col min="6924" max="6924" width="9.375" style="125"/>
    <col min="6925" max="6925" width="8.875" style="125" customWidth="1"/>
    <col min="6926" max="6926" width="13.125" style="125" customWidth="1"/>
    <col min="6927" max="6927" width="9.375" style="125"/>
    <col min="6928" max="6928" width="9.875" style="125" customWidth="1"/>
    <col min="6929" max="6929" width="11.75" style="125" bestFit="1" customWidth="1"/>
    <col min="6930" max="7159" width="9.375" style="125"/>
    <col min="7160" max="7160" width="5" style="125" customWidth="1"/>
    <col min="7161" max="7161" width="17.875" style="125" bestFit="1" customWidth="1"/>
    <col min="7162" max="7162" width="9.875" style="125" customWidth="1"/>
    <col min="7163" max="7163" width="8.875" style="125" customWidth="1"/>
    <col min="7164" max="7164" width="7.375" style="125" bestFit="1" customWidth="1"/>
    <col min="7165" max="7165" width="10.125" style="125" bestFit="1" customWidth="1"/>
    <col min="7166" max="7166" width="9.375" style="125"/>
    <col min="7167" max="7167" width="10.125" style="125" bestFit="1" customWidth="1"/>
    <col min="7168" max="7168" width="10.75" style="125" customWidth="1"/>
    <col min="7169" max="7171" width="9.375" style="125"/>
    <col min="7172" max="7173" width="10.75" style="125" customWidth="1"/>
    <col min="7174" max="7178" width="9.375" style="125"/>
    <col min="7179" max="7179" width="1.625" style="125" bestFit="1" customWidth="1"/>
    <col min="7180" max="7180" width="9.375" style="125"/>
    <col min="7181" max="7181" width="8.875" style="125" customWidth="1"/>
    <col min="7182" max="7182" width="13.125" style="125" customWidth="1"/>
    <col min="7183" max="7183" width="9.375" style="125"/>
    <col min="7184" max="7184" width="9.875" style="125" customWidth="1"/>
    <col min="7185" max="7185" width="11.75" style="125" bestFit="1" customWidth="1"/>
    <col min="7186" max="7415" width="9.375" style="125"/>
    <col min="7416" max="7416" width="5" style="125" customWidth="1"/>
    <col min="7417" max="7417" width="17.875" style="125" bestFit="1" customWidth="1"/>
    <col min="7418" max="7418" width="9.875" style="125" customWidth="1"/>
    <col min="7419" max="7419" width="8.875" style="125" customWidth="1"/>
    <col min="7420" max="7420" width="7.375" style="125" bestFit="1" customWidth="1"/>
    <col min="7421" max="7421" width="10.125" style="125" bestFit="1" customWidth="1"/>
    <col min="7422" max="7422" width="9.375" style="125"/>
    <col min="7423" max="7423" width="10.125" style="125" bestFit="1" customWidth="1"/>
    <col min="7424" max="7424" width="10.75" style="125" customWidth="1"/>
    <col min="7425" max="7427" width="9.375" style="125"/>
    <col min="7428" max="7429" width="10.75" style="125" customWidth="1"/>
    <col min="7430" max="7434" width="9.375" style="125"/>
    <col min="7435" max="7435" width="1.625" style="125" bestFit="1" customWidth="1"/>
    <col min="7436" max="7436" width="9.375" style="125"/>
    <col min="7437" max="7437" width="8.875" style="125" customWidth="1"/>
    <col min="7438" max="7438" width="13.125" style="125" customWidth="1"/>
    <col min="7439" max="7439" width="9.375" style="125"/>
    <col min="7440" max="7440" width="9.875" style="125" customWidth="1"/>
    <col min="7441" max="7441" width="11.75" style="125" bestFit="1" customWidth="1"/>
    <col min="7442" max="7671" width="9.375" style="125"/>
    <col min="7672" max="7672" width="5" style="125" customWidth="1"/>
    <col min="7673" max="7673" width="17.875" style="125" bestFit="1" customWidth="1"/>
    <col min="7674" max="7674" width="9.875" style="125" customWidth="1"/>
    <col min="7675" max="7675" width="8.875" style="125" customWidth="1"/>
    <col min="7676" max="7676" width="7.375" style="125" bestFit="1" customWidth="1"/>
    <col min="7677" max="7677" width="10.125" style="125" bestFit="1" customWidth="1"/>
    <col min="7678" max="7678" width="9.375" style="125"/>
    <col min="7679" max="7679" width="10.125" style="125" bestFit="1" customWidth="1"/>
    <col min="7680" max="7680" width="10.75" style="125" customWidth="1"/>
    <col min="7681" max="7683" width="9.375" style="125"/>
    <col min="7684" max="7685" width="10.75" style="125" customWidth="1"/>
    <col min="7686" max="7690" width="9.375" style="125"/>
    <col min="7691" max="7691" width="1.625" style="125" bestFit="1" customWidth="1"/>
    <col min="7692" max="7692" width="9.375" style="125"/>
    <col min="7693" max="7693" width="8.875" style="125" customWidth="1"/>
    <col min="7694" max="7694" width="13.125" style="125" customWidth="1"/>
    <col min="7695" max="7695" width="9.375" style="125"/>
    <col min="7696" max="7696" width="9.875" style="125" customWidth="1"/>
    <col min="7697" max="7697" width="11.75" style="125" bestFit="1" customWidth="1"/>
    <col min="7698" max="7927" width="9.375" style="125"/>
    <col min="7928" max="7928" width="5" style="125" customWidth="1"/>
    <col min="7929" max="7929" width="17.875" style="125" bestFit="1" customWidth="1"/>
    <col min="7930" max="7930" width="9.875" style="125" customWidth="1"/>
    <col min="7931" max="7931" width="8.875" style="125" customWidth="1"/>
    <col min="7932" max="7932" width="7.375" style="125" bestFit="1" customWidth="1"/>
    <col min="7933" max="7933" width="10.125" style="125" bestFit="1" customWidth="1"/>
    <col min="7934" max="7934" width="9.375" style="125"/>
    <col min="7935" max="7935" width="10.125" style="125" bestFit="1" customWidth="1"/>
    <col min="7936" max="7936" width="10.75" style="125" customWidth="1"/>
    <col min="7937" max="7939" width="9.375" style="125"/>
    <col min="7940" max="7941" width="10.75" style="125" customWidth="1"/>
    <col min="7942" max="7946" width="9.375" style="125"/>
    <col min="7947" max="7947" width="1.625" style="125" bestFit="1" customWidth="1"/>
    <col min="7948" max="7948" width="9.375" style="125"/>
    <col min="7949" max="7949" width="8.875" style="125" customWidth="1"/>
    <col min="7950" max="7950" width="13.125" style="125" customWidth="1"/>
    <col min="7951" max="7951" width="9.375" style="125"/>
    <col min="7952" max="7952" width="9.875" style="125" customWidth="1"/>
    <col min="7953" max="7953" width="11.75" style="125" bestFit="1" customWidth="1"/>
    <col min="7954" max="8183" width="9.375" style="125"/>
    <col min="8184" max="8184" width="5" style="125" customWidth="1"/>
    <col min="8185" max="8185" width="17.875" style="125" bestFit="1" customWidth="1"/>
    <col min="8186" max="8186" width="9.875" style="125" customWidth="1"/>
    <col min="8187" max="8187" width="8.875" style="125" customWidth="1"/>
    <col min="8188" max="8188" width="7.375" style="125" bestFit="1" customWidth="1"/>
    <col min="8189" max="8189" width="10.125" style="125" bestFit="1" customWidth="1"/>
    <col min="8190" max="8190" width="9.375" style="125"/>
    <col min="8191" max="8191" width="10.125" style="125" bestFit="1" customWidth="1"/>
    <col min="8192" max="8192" width="10.75" style="125" customWidth="1"/>
    <col min="8193" max="8195" width="9.375" style="125"/>
    <col min="8196" max="8197" width="10.75" style="125" customWidth="1"/>
    <col min="8198" max="8202" width="9.375" style="125"/>
    <col min="8203" max="8203" width="1.625" style="125" bestFit="1" customWidth="1"/>
    <col min="8204" max="8204" width="9.375" style="125"/>
    <col min="8205" max="8205" width="8.875" style="125" customWidth="1"/>
    <col min="8206" max="8206" width="13.125" style="125" customWidth="1"/>
    <col min="8207" max="8207" width="9.375" style="125"/>
    <col min="8208" max="8208" width="9.875" style="125" customWidth="1"/>
    <col min="8209" max="8209" width="11.75" style="125" bestFit="1" customWidth="1"/>
    <col min="8210" max="8439" width="9.375" style="125"/>
    <col min="8440" max="8440" width="5" style="125" customWidth="1"/>
    <col min="8441" max="8441" width="17.875" style="125" bestFit="1" customWidth="1"/>
    <col min="8442" max="8442" width="9.875" style="125" customWidth="1"/>
    <col min="8443" max="8443" width="8.875" style="125" customWidth="1"/>
    <col min="8444" max="8444" width="7.375" style="125" bestFit="1" customWidth="1"/>
    <col min="8445" max="8445" width="10.125" style="125" bestFit="1" customWidth="1"/>
    <col min="8446" max="8446" width="9.375" style="125"/>
    <col min="8447" max="8447" width="10.125" style="125" bestFit="1" customWidth="1"/>
    <col min="8448" max="8448" width="10.75" style="125" customWidth="1"/>
    <col min="8449" max="8451" width="9.375" style="125"/>
    <col min="8452" max="8453" width="10.75" style="125" customWidth="1"/>
    <col min="8454" max="8458" width="9.375" style="125"/>
    <col min="8459" max="8459" width="1.625" style="125" bestFit="1" customWidth="1"/>
    <col min="8460" max="8460" width="9.375" style="125"/>
    <col min="8461" max="8461" width="8.875" style="125" customWidth="1"/>
    <col min="8462" max="8462" width="13.125" style="125" customWidth="1"/>
    <col min="8463" max="8463" width="9.375" style="125"/>
    <col min="8464" max="8464" width="9.875" style="125" customWidth="1"/>
    <col min="8465" max="8465" width="11.75" style="125" bestFit="1" customWidth="1"/>
    <col min="8466" max="8695" width="9.375" style="125"/>
    <col min="8696" max="8696" width="5" style="125" customWidth="1"/>
    <col min="8697" max="8697" width="17.875" style="125" bestFit="1" customWidth="1"/>
    <col min="8698" max="8698" width="9.875" style="125" customWidth="1"/>
    <col min="8699" max="8699" width="8.875" style="125" customWidth="1"/>
    <col min="8700" max="8700" width="7.375" style="125" bestFit="1" customWidth="1"/>
    <col min="8701" max="8701" width="10.125" style="125" bestFit="1" customWidth="1"/>
    <col min="8702" max="8702" width="9.375" style="125"/>
    <col min="8703" max="8703" width="10.125" style="125" bestFit="1" customWidth="1"/>
    <col min="8704" max="8704" width="10.75" style="125" customWidth="1"/>
    <col min="8705" max="8707" width="9.375" style="125"/>
    <col min="8708" max="8709" width="10.75" style="125" customWidth="1"/>
    <col min="8710" max="8714" width="9.375" style="125"/>
    <col min="8715" max="8715" width="1.625" style="125" bestFit="1" customWidth="1"/>
    <col min="8716" max="8716" width="9.375" style="125"/>
    <col min="8717" max="8717" width="8.875" style="125" customWidth="1"/>
    <col min="8718" max="8718" width="13.125" style="125" customWidth="1"/>
    <col min="8719" max="8719" width="9.375" style="125"/>
    <col min="8720" max="8720" width="9.875" style="125" customWidth="1"/>
    <col min="8721" max="8721" width="11.75" style="125" bestFit="1" customWidth="1"/>
    <col min="8722" max="8951" width="9.375" style="125"/>
    <col min="8952" max="8952" width="5" style="125" customWidth="1"/>
    <col min="8953" max="8953" width="17.875" style="125" bestFit="1" customWidth="1"/>
    <col min="8954" max="8954" width="9.875" style="125" customWidth="1"/>
    <col min="8955" max="8955" width="8.875" style="125" customWidth="1"/>
    <col min="8956" max="8956" width="7.375" style="125" bestFit="1" customWidth="1"/>
    <col min="8957" max="8957" width="10.125" style="125" bestFit="1" customWidth="1"/>
    <col min="8958" max="8958" width="9.375" style="125"/>
    <col min="8959" max="8959" width="10.125" style="125" bestFit="1" customWidth="1"/>
    <col min="8960" max="8960" width="10.75" style="125" customWidth="1"/>
    <col min="8961" max="8963" width="9.375" style="125"/>
    <col min="8964" max="8965" width="10.75" style="125" customWidth="1"/>
    <col min="8966" max="8970" width="9.375" style="125"/>
    <col min="8971" max="8971" width="1.625" style="125" bestFit="1" customWidth="1"/>
    <col min="8972" max="8972" width="9.375" style="125"/>
    <col min="8973" max="8973" width="8.875" style="125" customWidth="1"/>
    <col min="8974" max="8974" width="13.125" style="125" customWidth="1"/>
    <col min="8975" max="8975" width="9.375" style="125"/>
    <col min="8976" max="8976" width="9.875" style="125" customWidth="1"/>
    <col min="8977" max="8977" width="11.75" style="125" bestFit="1" customWidth="1"/>
    <col min="8978" max="9207" width="9.375" style="125"/>
    <col min="9208" max="9208" width="5" style="125" customWidth="1"/>
    <col min="9209" max="9209" width="17.875" style="125" bestFit="1" customWidth="1"/>
    <col min="9210" max="9210" width="9.875" style="125" customWidth="1"/>
    <col min="9211" max="9211" width="8.875" style="125" customWidth="1"/>
    <col min="9212" max="9212" width="7.375" style="125" bestFit="1" customWidth="1"/>
    <col min="9213" max="9213" width="10.125" style="125" bestFit="1" customWidth="1"/>
    <col min="9214" max="9214" width="9.375" style="125"/>
    <col min="9215" max="9215" width="10.125" style="125" bestFit="1" customWidth="1"/>
    <col min="9216" max="9216" width="10.75" style="125" customWidth="1"/>
    <col min="9217" max="9219" width="9.375" style="125"/>
    <col min="9220" max="9221" width="10.75" style="125" customWidth="1"/>
    <col min="9222" max="9226" width="9.375" style="125"/>
    <col min="9227" max="9227" width="1.625" style="125" bestFit="1" customWidth="1"/>
    <col min="9228" max="9228" width="9.375" style="125"/>
    <col min="9229" max="9229" width="8.875" style="125" customWidth="1"/>
    <col min="9230" max="9230" width="13.125" style="125" customWidth="1"/>
    <col min="9231" max="9231" width="9.375" style="125"/>
    <col min="9232" max="9232" width="9.875" style="125" customWidth="1"/>
    <col min="9233" max="9233" width="11.75" style="125" bestFit="1" customWidth="1"/>
    <col min="9234" max="9463" width="9.375" style="125"/>
    <col min="9464" max="9464" width="5" style="125" customWidth="1"/>
    <col min="9465" max="9465" width="17.875" style="125" bestFit="1" customWidth="1"/>
    <col min="9466" max="9466" width="9.875" style="125" customWidth="1"/>
    <col min="9467" max="9467" width="8.875" style="125" customWidth="1"/>
    <col min="9468" max="9468" width="7.375" style="125" bestFit="1" customWidth="1"/>
    <col min="9469" max="9469" width="10.125" style="125" bestFit="1" customWidth="1"/>
    <col min="9470" max="9470" width="9.375" style="125"/>
    <col min="9471" max="9471" width="10.125" style="125" bestFit="1" customWidth="1"/>
    <col min="9472" max="9472" width="10.75" style="125" customWidth="1"/>
    <col min="9473" max="9475" width="9.375" style="125"/>
    <col min="9476" max="9477" width="10.75" style="125" customWidth="1"/>
    <col min="9478" max="9482" width="9.375" style="125"/>
    <col min="9483" max="9483" width="1.625" style="125" bestFit="1" customWidth="1"/>
    <col min="9484" max="9484" width="9.375" style="125"/>
    <col min="9485" max="9485" width="8.875" style="125" customWidth="1"/>
    <col min="9486" max="9486" width="13.125" style="125" customWidth="1"/>
    <col min="9487" max="9487" width="9.375" style="125"/>
    <col min="9488" max="9488" width="9.875" style="125" customWidth="1"/>
    <col min="9489" max="9489" width="11.75" style="125" bestFit="1" customWidth="1"/>
    <col min="9490" max="9719" width="9.375" style="125"/>
    <col min="9720" max="9720" width="5" style="125" customWidth="1"/>
    <col min="9721" max="9721" width="17.875" style="125" bestFit="1" customWidth="1"/>
    <col min="9722" max="9722" width="9.875" style="125" customWidth="1"/>
    <col min="9723" max="9723" width="8.875" style="125" customWidth="1"/>
    <col min="9724" max="9724" width="7.375" style="125" bestFit="1" customWidth="1"/>
    <col min="9725" max="9725" width="10.125" style="125" bestFit="1" customWidth="1"/>
    <col min="9726" max="9726" width="9.375" style="125"/>
    <col min="9727" max="9727" width="10.125" style="125" bestFit="1" customWidth="1"/>
    <col min="9728" max="9728" width="10.75" style="125" customWidth="1"/>
    <col min="9729" max="9731" width="9.375" style="125"/>
    <col min="9732" max="9733" width="10.75" style="125" customWidth="1"/>
    <col min="9734" max="9738" width="9.375" style="125"/>
    <col min="9739" max="9739" width="1.625" style="125" bestFit="1" customWidth="1"/>
    <col min="9740" max="9740" width="9.375" style="125"/>
    <col min="9741" max="9741" width="8.875" style="125" customWidth="1"/>
    <col min="9742" max="9742" width="13.125" style="125" customWidth="1"/>
    <col min="9743" max="9743" width="9.375" style="125"/>
    <col min="9744" max="9744" width="9.875" style="125" customWidth="1"/>
    <col min="9745" max="9745" width="11.75" style="125" bestFit="1" customWidth="1"/>
    <col min="9746" max="9975" width="9.375" style="125"/>
    <col min="9976" max="9976" width="5" style="125" customWidth="1"/>
    <col min="9977" max="9977" width="17.875" style="125" bestFit="1" customWidth="1"/>
    <col min="9978" max="9978" width="9.875" style="125" customWidth="1"/>
    <col min="9979" max="9979" width="8.875" style="125" customWidth="1"/>
    <col min="9980" max="9980" width="7.375" style="125" bestFit="1" customWidth="1"/>
    <col min="9981" max="9981" width="10.125" style="125" bestFit="1" customWidth="1"/>
    <col min="9982" max="9982" width="9.375" style="125"/>
    <col min="9983" max="9983" width="10.125" style="125" bestFit="1" customWidth="1"/>
    <col min="9984" max="9984" width="10.75" style="125" customWidth="1"/>
    <col min="9985" max="9987" width="9.375" style="125"/>
    <col min="9988" max="9989" width="10.75" style="125" customWidth="1"/>
    <col min="9990" max="9994" width="9.375" style="125"/>
    <col min="9995" max="9995" width="1.625" style="125" bestFit="1" customWidth="1"/>
    <col min="9996" max="9996" width="9.375" style="125"/>
    <col min="9997" max="9997" width="8.875" style="125" customWidth="1"/>
    <col min="9998" max="9998" width="13.125" style="125" customWidth="1"/>
    <col min="9999" max="9999" width="9.375" style="125"/>
    <col min="10000" max="10000" width="9.875" style="125" customWidth="1"/>
    <col min="10001" max="10001" width="11.75" style="125" bestFit="1" customWidth="1"/>
    <col min="10002" max="10231" width="9.375" style="125"/>
    <col min="10232" max="10232" width="5" style="125" customWidth="1"/>
    <col min="10233" max="10233" width="17.875" style="125" bestFit="1" customWidth="1"/>
    <col min="10234" max="10234" width="9.875" style="125" customWidth="1"/>
    <col min="10235" max="10235" width="8.875" style="125" customWidth="1"/>
    <col min="10236" max="10236" width="7.375" style="125" bestFit="1" customWidth="1"/>
    <col min="10237" max="10237" width="10.125" style="125" bestFit="1" customWidth="1"/>
    <col min="10238" max="10238" width="9.375" style="125"/>
    <col min="10239" max="10239" width="10.125" style="125" bestFit="1" customWidth="1"/>
    <col min="10240" max="10240" width="10.75" style="125" customWidth="1"/>
    <col min="10241" max="10243" width="9.375" style="125"/>
    <col min="10244" max="10245" width="10.75" style="125" customWidth="1"/>
    <col min="10246" max="10250" width="9.375" style="125"/>
    <col min="10251" max="10251" width="1.625" style="125" bestFit="1" customWidth="1"/>
    <col min="10252" max="10252" width="9.375" style="125"/>
    <col min="10253" max="10253" width="8.875" style="125" customWidth="1"/>
    <col min="10254" max="10254" width="13.125" style="125" customWidth="1"/>
    <col min="10255" max="10255" width="9.375" style="125"/>
    <col min="10256" max="10256" width="9.875" style="125" customWidth="1"/>
    <col min="10257" max="10257" width="11.75" style="125" bestFit="1" customWidth="1"/>
    <col min="10258" max="10487" width="9.375" style="125"/>
    <col min="10488" max="10488" width="5" style="125" customWidth="1"/>
    <col min="10489" max="10489" width="17.875" style="125" bestFit="1" customWidth="1"/>
    <col min="10490" max="10490" width="9.875" style="125" customWidth="1"/>
    <col min="10491" max="10491" width="8.875" style="125" customWidth="1"/>
    <col min="10492" max="10492" width="7.375" style="125" bestFit="1" customWidth="1"/>
    <col min="10493" max="10493" width="10.125" style="125" bestFit="1" customWidth="1"/>
    <col min="10494" max="10494" width="9.375" style="125"/>
    <col min="10495" max="10495" width="10.125" style="125" bestFit="1" customWidth="1"/>
    <col min="10496" max="10496" width="10.75" style="125" customWidth="1"/>
    <col min="10497" max="10499" width="9.375" style="125"/>
    <col min="10500" max="10501" width="10.75" style="125" customWidth="1"/>
    <col min="10502" max="10506" width="9.375" style="125"/>
    <col min="10507" max="10507" width="1.625" style="125" bestFit="1" customWidth="1"/>
    <col min="10508" max="10508" width="9.375" style="125"/>
    <col min="10509" max="10509" width="8.875" style="125" customWidth="1"/>
    <col min="10510" max="10510" width="13.125" style="125" customWidth="1"/>
    <col min="10511" max="10511" width="9.375" style="125"/>
    <col min="10512" max="10512" width="9.875" style="125" customWidth="1"/>
    <col min="10513" max="10513" width="11.75" style="125" bestFit="1" customWidth="1"/>
    <col min="10514" max="10743" width="9.375" style="125"/>
    <col min="10744" max="10744" width="5" style="125" customWidth="1"/>
    <col min="10745" max="10745" width="17.875" style="125" bestFit="1" customWidth="1"/>
    <col min="10746" max="10746" width="9.875" style="125" customWidth="1"/>
    <col min="10747" max="10747" width="8.875" style="125" customWidth="1"/>
    <col min="10748" max="10748" width="7.375" style="125" bestFit="1" customWidth="1"/>
    <col min="10749" max="10749" width="10.125" style="125" bestFit="1" customWidth="1"/>
    <col min="10750" max="10750" width="9.375" style="125"/>
    <col min="10751" max="10751" width="10.125" style="125" bestFit="1" customWidth="1"/>
    <col min="10752" max="10752" width="10.75" style="125" customWidth="1"/>
    <col min="10753" max="10755" width="9.375" style="125"/>
    <col min="10756" max="10757" width="10.75" style="125" customWidth="1"/>
    <col min="10758" max="10762" width="9.375" style="125"/>
    <col min="10763" max="10763" width="1.625" style="125" bestFit="1" customWidth="1"/>
    <col min="10764" max="10764" width="9.375" style="125"/>
    <col min="10765" max="10765" width="8.875" style="125" customWidth="1"/>
    <col min="10766" max="10766" width="13.125" style="125" customWidth="1"/>
    <col min="10767" max="10767" width="9.375" style="125"/>
    <col min="10768" max="10768" width="9.875" style="125" customWidth="1"/>
    <col min="10769" max="10769" width="11.75" style="125" bestFit="1" customWidth="1"/>
    <col min="10770" max="10999" width="9.375" style="125"/>
    <col min="11000" max="11000" width="5" style="125" customWidth="1"/>
    <col min="11001" max="11001" width="17.875" style="125" bestFit="1" customWidth="1"/>
    <col min="11002" max="11002" width="9.875" style="125" customWidth="1"/>
    <col min="11003" max="11003" width="8.875" style="125" customWidth="1"/>
    <col min="11004" max="11004" width="7.375" style="125" bestFit="1" customWidth="1"/>
    <col min="11005" max="11005" width="10.125" style="125" bestFit="1" customWidth="1"/>
    <col min="11006" max="11006" width="9.375" style="125"/>
    <col min="11007" max="11007" width="10.125" style="125" bestFit="1" customWidth="1"/>
    <col min="11008" max="11008" width="10.75" style="125" customWidth="1"/>
    <col min="11009" max="11011" width="9.375" style="125"/>
    <col min="11012" max="11013" width="10.75" style="125" customWidth="1"/>
    <col min="11014" max="11018" width="9.375" style="125"/>
    <col min="11019" max="11019" width="1.625" style="125" bestFit="1" customWidth="1"/>
    <col min="11020" max="11020" width="9.375" style="125"/>
    <col min="11021" max="11021" width="8.875" style="125" customWidth="1"/>
    <col min="11022" max="11022" width="13.125" style="125" customWidth="1"/>
    <col min="11023" max="11023" width="9.375" style="125"/>
    <col min="11024" max="11024" width="9.875" style="125" customWidth="1"/>
    <col min="11025" max="11025" width="11.75" style="125" bestFit="1" customWidth="1"/>
    <col min="11026" max="11255" width="9.375" style="125"/>
    <col min="11256" max="11256" width="5" style="125" customWidth="1"/>
    <col min="11257" max="11257" width="17.875" style="125" bestFit="1" customWidth="1"/>
    <col min="11258" max="11258" width="9.875" style="125" customWidth="1"/>
    <col min="11259" max="11259" width="8.875" style="125" customWidth="1"/>
    <col min="11260" max="11260" width="7.375" style="125" bestFit="1" customWidth="1"/>
    <col min="11261" max="11261" width="10.125" style="125" bestFit="1" customWidth="1"/>
    <col min="11262" max="11262" width="9.375" style="125"/>
    <col min="11263" max="11263" width="10.125" style="125" bestFit="1" customWidth="1"/>
    <col min="11264" max="11264" width="10.75" style="125" customWidth="1"/>
    <col min="11265" max="11267" width="9.375" style="125"/>
    <col min="11268" max="11269" width="10.75" style="125" customWidth="1"/>
    <col min="11270" max="11274" width="9.375" style="125"/>
    <col min="11275" max="11275" width="1.625" style="125" bestFit="1" customWidth="1"/>
    <col min="11276" max="11276" width="9.375" style="125"/>
    <col min="11277" max="11277" width="8.875" style="125" customWidth="1"/>
    <col min="11278" max="11278" width="13.125" style="125" customWidth="1"/>
    <col min="11279" max="11279" width="9.375" style="125"/>
    <col min="11280" max="11280" width="9.875" style="125" customWidth="1"/>
    <col min="11281" max="11281" width="11.75" style="125" bestFit="1" customWidth="1"/>
    <col min="11282" max="11511" width="9.375" style="125"/>
    <col min="11512" max="11512" width="5" style="125" customWidth="1"/>
    <col min="11513" max="11513" width="17.875" style="125" bestFit="1" customWidth="1"/>
    <col min="11514" max="11514" width="9.875" style="125" customWidth="1"/>
    <col min="11515" max="11515" width="8.875" style="125" customWidth="1"/>
    <col min="11516" max="11516" width="7.375" style="125" bestFit="1" customWidth="1"/>
    <col min="11517" max="11517" width="10.125" style="125" bestFit="1" customWidth="1"/>
    <col min="11518" max="11518" width="9.375" style="125"/>
    <col min="11519" max="11519" width="10.125" style="125" bestFit="1" customWidth="1"/>
    <col min="11520" max="11520" width="10.75" style="125" customWidth="1"/>
    <col min="11521" max="11523" width="9.375" style="125"/>
    <col min="11524" max="11525" width="10.75" style="125" customWidth="1"/>
    <col min="11526" max="11530" width="9.375" style="125"/>
    <col min="11531" max="11531" width="1.625" style="125" bestFit="1" customWidth="1"/>
    <col min="11532" max="11532" width="9.375" style="125"/>
    <col min="11533" max="11533" width="8.875" style="125" customWidth="1"/>
    <col min="11534" max="11534" width="13.125" style="125" customWidth="1"/>
    <col min="11535" max="11535" width="9.375" style="125"/>
    <col min="11536" max="11536" width="9.875" style="125" customWidth="1"/>
    <col min="11537" max="11537" width="11.75" style="125" bestFit="1" customWidth="1"/>
    <col min="11538" max="11767" width="9.375" style="125"/>
    <col min="11768" max="11768" width="5" style="125" customWidth="1"/>
    <col min="11769" max="11769" width="17.875" style="125" bestFit="1" customWidth="1"/>
    <col min="11770" max="11770" width="9.875" style="125" customWidth="1"/>
    <col min="11771" max="11771" width="8.875" style="125" customWidth="1"/>
    <col min="11772" max="11772" width="7.375" style="125" bestFit="1" customWidth="1"/>
    <col min="11773" max="11773" width="10.125" style="125" bestFit="1" customWidth="1"/>
    <col min="11774" max="11774" width="9.375" style="125"/>
    <col min="11775" max="11775" width="10.125" style="125" bestFit="1" customWidth="1"/>
    <col min="11776" max="11776" width="10.75" style="125" customWidth="1"/>
    <col min="11777" max="11779" width="9.375" style="125"/>
    <col min="11780" max="11781" width="10.75" style="125" customWidth="1"/>
    <col min="11782" max="11786" width="9.375" style="125"/>
    <col min="11787" max="11787" width="1.625" style="125" bestFit="1" customWidth="1"/>
    <col min="11788" max="11788" width="9.375" style="125"/>
    <col min="11789" max="11789" width="8.875" style="125" customWidth="1"/>
    <col min="11790" max="11790" width="13.125" style="125" customWidth="1"/>
    <col min="11791" max="11791" width="9.375" style="125"/>
    <col min="11792" max="11792" width="9.875" style="125" customWidth="1"/>
    <col min="11793" max="11793" width="11.75" style="125" bestFit="1" customWidth="1"/>
    <col min="11794" max="12023" width="9.375" style="125"/>
    <col min="12024" max="12024" width="5" style="125" customWidth="1"/>
    <col min="12025" max="12025" width="17.875" style="125" bestFit="1" customWidth="1"/>
    <col min="12026" max="12026" width="9.875" style="125" customWidth="1"/>
    <col min="12027" max="12027" width="8.875" style="125" customWidth="1"/>
    <col min="12028" max="12028" width="7.375" style="125" bestFit="1" customWidth="1"/>
    <col min="12029" max="12029" width="10.125" style="125" bestFit="1" customWidth="1"/>
    <col min="12030" max="12030" width="9.375" style="125"/>
    <col min="12031" max="12031" width="10.125" style="125" bestFit="1" customWidth="1"/>
    <col min="12032" max="12032" width="10.75" style="125" customWidth="1"/>
    <col min="12033" max="12035" width="9.375" style="125"/>
    <col min="12036" max="12037" width="10.75" style="125" customWidth="1"/>
    <col min="12038" max="12042" width="9.375" style="125"/>
    <col min="12043" max="12043" width="1.625" style="125" bestFit="1" customWidth="1"/>
    <col min="12044" max="12044" width="9.375" style="125"/>
    <col min="12045" max="12045" width="8.875" style="125" customWidth="1"/>
    <col min="12046" max="12046" width="13.125" style="125" customWidth="1"/>
    <col min="12047" max="12047" width="9.375" style="125"/>
    <col min="12048" max="12048" width="9.875" style="125" customWidth="1"/>
    <col min="12049" max="12049" width="11.75" style="125" bestFit="1" customWidth="1"/>
    <col min="12050" max="12279" width="9.375" style="125"/>
    <col min="12280" max="12280" width="5" style="125" customWidth="1"/>
    <col min="12281" max="12281" width="17.875" style="125" bestFit="1" customWidth="1"/>
    <col min="12282" max="12282" width="9.875" style="125" customWidth="1"/>
    <col min="12283" max="12283" width="8.875" style="125" customWidth="1"/>
    <col min="12284" max="12284" width="7.375" style="125" bestFit="1" customWidth="1"/>
    <col min="12285" max="12285" width="10.125" style="125" bestFit="1" customWidth="1"/>
    <col min="12286" max="12286" width="9.375" style="125"/>
    <col min="12287" max="12287" width="10.125" style="125" bestFit="1" customWidth="1"/>
    <col min="12288" max="12288" width="10.75" style="125" customWidth="1"/>
    <col min="12289" max="12291" width="9.375" style="125"/>
    <col min="12292" max="12293" width="10.75" style="125" customWidth="1"/>
    <col min="12294" max="12298" width="9.375" style="125"/>
    <col min="12299" max="12299" width="1.625" style="125" bestFit="1" customWidth="1"/>
    <col min="12300" max="12300" width="9.375" style="125"/>
    <col min="12301" max="12301" width="8.875" style="125" customWidth="1"/>
    <col min="12302" max="12302" width="13.125" style="125" customWidth="1"/>
    <col min="12303" max="12303" width="9.375" style="125"/>
    <col min="12304" max="12304" width="9.875" style="125" customWidth="1"/>
    <col min="12305" max="12305" width="11.75" style="125" bestFit="1" customWidth="1"/>
    <col min="12306" max="12535" width="9.375" style="125"/>
    <col min="12536" max="12536" width="5" style="125" customWidth="1"/>
    <col min="12537" max="12537" width="17.875" style="125" bestFit="1" customWidth="1"/>
    <col min="12538" max="12538" width="9.875" style="125" customWidth="1"/>
    <col min="12539" max="12539" width="8.875" style="125" customWidth="1"/>
    <col min="12540" max="12540" width="7.375" style="125" bestFit="1" customWidth="1"/>
    <col min="12541" max="12541" width="10.125" style="125" bestFit="1" customWidth="1"/>
    <col min="12542" max="12542" width="9.375" style="125"/>
    <col min="12543" max="12543" width="10.125" style="125" bestFit="1" customWidth="1"/>
    <col min="12544" max="12544" width="10.75" style="125" customWidth="1"/>
    <col min="12545" max="12547" width="9.375" style="125"/>
    <col min="12548" max="12549" width="10.75" style="125" customWidth="1"/>
    <col min="12550" max="12554" width="9.375" style="125"/>
    <col min="12555" max="12555" width="1.625" style="125" bestFit="1" customWidth="1"/>
    <col min="12556" max="12556" width="9.375" style="125"/>
    <col min="12557" max="12557" width="8.875" style="125" customWidth="1"/>
    <col min="12558" max="12558" width="13.125" style="125" customWidth="1"/>
    <col min="12559" max="12559" width="9.375" style="125"/>
    <col min="12560" max="12560" width="9.875" style="125" customWidth="1"/>
    <col min="12561" max="12561" width="11.75" style="125" bestFit="1" customWidth="1"/>
    <col min="12562" max="12791" width="9.375" style="125"/>
    <col min="12792" max="12792" width="5" style="125" customWidth="1"/>
    <col min="12793" max="12793" width="17.875" style="125" bestFit="1" customWidth="1"/>
    <col min="12794" max="12794" width="9.875" style="125" customWidth="1"/>
    <col min="12795" max="12795" width="8.875" style="125" customWidth="1"/>
    <col min="12796" max="12796" width="7.375" style="125" bestFit="1" customWidth="1"/>
    <col min="12797" max="12797" width="10.125" style="125" bestFit="1" customWidth="1"/>
    <col min="12798" max="12798" width="9.375" style="125"/>
    <col min="12799" max="12799" width="10.125" style="125" bestFit="1" customWidth="1"/>
    <col min="12800" max="12800" width="10.75" style="125" customWidth="1"/>
    <col min="12801" max="12803" width="9.375" style="125"/>
    <col min="12804" max="12805" width="10.75" style="125" customWidth="1"/>
    <col min="12806" max="12810" width="9.375" style="125"/>
    <col min="12811" max="12811" width="1.625" style="125" bestFit="1" customWidth="1"/>
    <col min="12812" max="12812" width="9.375" style="125"/>
    <col min="12813" max="12813" width="8.875" style="125" customWidth="1"/>
    <col min="12814" max="12814" width="13.125" style="125" customWidth="1"/>
    <col min="12815" max="12815" width="9.375" style="125"/>
    <col min="12816" max="12816" width="9.875" style="125" customWidth="1"/>
    <col min="12817" max="12817" width="11.75" style="125" bestFit="1" customWidth="1"/>
    <col min="12818" max="13047" width="9.375" style="125"/>
    <col min="13048" max="13048" width="5" style="125" customWidth="1"/>
    <col min="13049" max="13049" width="17.875" style="125" bestFit="1" customWidth="1"/>
    <col min="13050" max="13050" width="9.875" style="125" customWidth="1"/>
    <col min="13051" max="13051" width="8.875" style="125" customWidth="1"/>
    <col min="13052" max="13052" width="7.375" style="125" bestFit="1" customWidth="1"/>
    <col min="13053" max="13053" width="10.125" style="125" bestFit="1" customWidth="1"/>
    <col min="13054" max="13054" width="9.375" style="125"/>
    <col min="13055" max="13055" width="10.125" style="125" bestFit="1" customWidth="1"/>
    <col min="13056" max="13056" width="10.75" style="125" customWidth="1"/>
    <col min="13057" max="13059" width="9.375" style="125"/>
    <col min="13060" max="13061" width="10.75" style="125" customWidth="1"/>
    <col min="13062" max="13066" width="9.375" style="125"/>
    <col min="13067" max="13067" width="1.625" style="125" bestFit="1" customWidth="1"/>
    <col min="13068" max="13068" width="9.375" style="125"/>
    <col min="13069" max="13069" width="8.875" style="125" customWidth="1"/>
    <col min="13070" max="13070" width="13.125" style="125" customWidth="1"/>
    <col min="13071" max="13071" width="9.375" style="125"/>
    <col min="13072" max="13072" width="9.875" style="125" customWidth="1"/>
    <col min="13073" max="13073" width="11.75" style="125" bestFit="1" customWidth="1"/>
    <col min="13074" max="13303" width="9.375" style="125"/>
    <col min="13304" max="13304" width="5" style="125" customWidth="1"/>
    <col min="13305" max="13305" width="17.875" style="125" bestFit="1" customWidth="1"/>
    <col min="13306" max="13306" width="9.875" style="125" customWidth="1"/>
    <col min="13307" max="13307" width="8.875" style="125" customWidth="1"/>
    <col min="13308" max="13308" width="7.375" style="125" bestFit="1" customWidth="1"/>
    <col min="13309" max="13309" width="10.125" style="125" bestFit="1" customWidth="1"/>
    <col min="13310" max="13310" width="9.375" style="125"/>
    <col min="13311" max="13311" width="10.125" style="125" bestFit="1" customWidth="1"/>
    <col min="13312" max="13312" width="10.75" style="125" customWidth="1"/>
    <col min="13313" max="13315" width="9.375" style="125"/>
    <col min="13316" max="13317" width="10.75" style="125" customWidth="1"/>
    <col min="13318" max="13322" width="9.375" style="125"/>
    <col min="13323" max="13323" width="1.625" style="125" bestFit="1" customWidth="1"/>
    <col min="13324" max="13324" width="9.375" style="125"/>
    <col min="13325" max="13325" width="8.875" style="125" customWidth="1"/>
    <col min="13326" max="13326" width="13.125" style="125" customWidth="1"/>
    <col min="13327" max="13327" width="9.375" style="125"/>
    <col min="13328" max="13328" width="9.875" style="125" customWidth="1"/>
    <col min="13329" max="13329" width="11.75" style="125" bestFit="1" customWidth="1"/>
    <col min="13330" max="13559" width="9.375" style="125"/>
    <col min="13560" max="13560" width="5" style="125" customWidth="1"/>
    <col min="13561" max="13561" width="17.875" style="125" bestFit="1" customWidth="1"/>
    <col min="13562" max="13562" width="9.875" style="125" customWidth="1"/>
    <col min="13563" max="13563" width="8.875" style="125" customWidth="1"/>
    <col min="13564" max="13564" width="7.375" style="125" bestFit="1" customWidth="1"/>
    <col min="13565" max="13565" width="10.125" style="125" bestFit="1" customWidth="1"/>
    <col min="13566" max="13566" width="9.375" style="125"/>
    <col min="13567" max="13567" width="10.125" style="125" bestFit="1" customWidth="1"/>
    <col min="13568" max="13568" width="10.75" style="125" customWidth="1"/>
    <col min="13569" max="13571" width="9.375" style="125"/>
    <col min="13572" max="13573" width="10.75" style="125" customWidth="1"/>
    <col min="13574" max="13578" width="9.375" style="125"/>
    <col min="13579" max="13579" width="1.625" style="125" bestFit="1" customWidth="1"/>
    <col min="13580" max="13580" width="9.375" style="125"/>
    <col min="13581" max="13581" width="8.875" style="125" customWidth="1"/>
    <col min="13582" max="13582" width="13.125" style="125" customWidth="1"/>
    <col min="13583" max="13583" width="9.375" style="125"/>
    <col min="13584" max="13584" width="9.875" style="125" customWidth="1"/>
    <col min="13585" max="13585" width="11.75" style="125" bestFit="1" customWidth="1"/>
    <col min="13586" max="13815" width="9.375" style="125"/>
    <col min="13816" max="13816" width="5" style="125" customWidth="1"/>
    <col min="13817" max="13817" width="17.875" style="125" bestFit="1" customWidth="1"/>
    <col min="13818" max="13818" width="9.875" style="125" customWidth="1"/>
    <col min="13819" max="13819" width="8.875" style="125" customWidth="1"/>
    <col min="13820" max="13820" width="7.375" style="125" bestFit="1" customWidth="1"/>
    <col min="13821" max="13821" width="10.125" style="125" bestFit="1" customWidth="1"/>
    <col min="13822" max="13822" width="9.375" style="125"/>
    <col min="13823" max="13823" width="10.125" style="125" bestFit="1" customWidth="1"/>
    <col min="13824" max="13824" width="10.75" style="125" customWidth="1"/>
    <col min="13825" max="13827" width="9.375" style="125"/>
    <col min="13828" max="13829" width="10.75" style="125" customWidth="1"/>
    <col min="13830" max="13834" width="9.375" style="125"/>
    <col min="13835" max="13835" width="1.625" style="125" bestFit="1" customWidth="1"/>
    <col min="13836" max="13836" width="9.375" style="125"/>
    <col min="13837" max="13837" width="8.875" style="125" customWidth="1"/>
    <col min="13838" max="13838" width="13.125" style="125" customWidth="1"/>
    <col min="13839" max="13839" width="9.375" style="125"/>
    <col min="13840" max="13840" width="9.875" style="125" customWidth="1"/>
    <col min="13841" max="13841" width="11.75" style="125" bestFit="1" customWidth="1"/>
    <col min="13842" max="14071" width="9.375" style="125"/>
    <col min="14072" max="14072" width="5" style="125" customWidth="1"/>
    <col min="14073" max="14073" width="17.875" style="125" bestFit="1" customWidth="1"/>
    <col min="14074" max="14074" width="9.875" style="125" customWidth="1"/>
    <col min="14075" max="14075" width="8.875" style="125" customWidth="1"/>
    <col min="14076" max="14076" width="7.375" style="125" bestFit="1" customWidth="1"/>
    <col min="14077" max="14077" width="10.125" style="125" bestFit="1" customWidth="1"/>
    <col min="14078" max="14078" width="9.375" style="125"/>
    <col min="14079" max="14079" width="10.125" style="125" bestFit="1" customWidth="1"/>
    <col min="14080" max="14080" width="10.75" style="125" customWidth="1"/>
    <col min="14081" max="14083" width="9.375" style="125"/>
    <col min="14084" max="14085" width="10.75" style="125" customWidth="1"/>
    <col min="14086" max="14090" width="9.375" style="125"/>
    <col min="14091" max="14091" width="1.625" style="125" bestFit="1" customWidth="1"/>
    <col min="14092" max="14092" width="9.375" style="125"/>
    <col min="14093" max="14093" width="8.875" style="125" customWidth="1"/>
    <col min="14094" max="14094" width="13.125" style="125" customWidth="1"/>
    <col min="14095" max="14095" width="9.375" style="125"/>
    <col min="14096" max="14096" width="9.875" style="125" customWidth="1"/>
    <col min="14097" max="14097" width="11.75" style="125" bestFit="1" customWidth="1"/>
    <col min="14098" max="14327" width="9.375" style="125"/>
    <col min="14328" max="14328" width="5" style="125" customWidth="1"/>
    <col min="14329" max="14329" width="17.875" style="125" bestFit="1" customWidth="1"/>
    <col min="14330" max="14330" width="9.875" style="125" customWidth="1"/>
    <col min="14331" max="14331" width="8.875" style="125" customWidth="1"/>
    <col min="14332" max="14332" width="7.375" style="125" bestFit="1" customWidth="1"/>
    <col min="14333" max="14333" width="10.125" style="125" bestFit="1" customWidth="1"/>
    <col min="14334" max="14334" width="9.375" style="125"/>
    <col min="14335" max="14335" width="10.125" style="125" bestFit="1" customWidth="1"/>
    <col min="14336" max="14336" width="10.75" style="125" customWidth="1"/>
    <col min="14337" max="14339" width="9.375" style="125"/>
    <col min="14340" max="14341" width="10.75" style="125" customWidth="1"/>
    <col min="14342" max="14346" width="9.375" style="125"/>
    <col min="14347" max="14347" width="1.625" style="125" bestFit="1" customWidth="1"/>
    <col min="14348" max="14348" width="9.375" style="125"/>
    <col min="14349" max="14349" width="8.875" style="125" customWidth="1"/>
    <col min="14350" max="14350" width="13.125" style="125" customWidth="1"/>
    <col min="14351" max="14351" width="9.375" style="125"/>
    <col min="14352" max="14352" width="9.875" style="125" customWidth="1"/>
    <col min="14353" max="14353" width="11.75" style="125" bestFit="1" customWidth="1"/>
    <col min="14354" max="14583" width="9.375" style="125"/>
    <col min="14584" max="14584" width="5" style="125" customWidth="1"/>
    <col min="14585" max="14585" width="17.875" style="125" bestFit="1" customWidth="1"/>
    <col min="14586" max="14586" width="9.875" style="125" customWidth="1"/>
    <col min="14587" max="14587" width="8.875" style="125" customWidth="1"/>
    <col min="14588" max="14588" width="7.375" style="125" bestFit="1" customWidth="1"/>
    <col min="14589" max="14589" width="10.125" style="125" bestFit="1" customWidth="1"/>
    <col min="14590" max="14590" width="9.375" style="125"/>
    <col min="14591" max="14591" width="10.125" style="125" bestFit="1" customWidth="1"/>
    <col min="14592" max="14592" width="10.75" style="125" customWidth="1"/>
    <col min="14593" max="14595" width="9.375" style="125"/>
    <col min="14596" max="14597" width="10.75" style="125" customWidth="1"/>
    <col min="14598" max="14602" width="9.375" style="125"/>
    <col min="14603" max="14603" width="1.625" style="125" bestFit="1" customWidth="1"/>
    <col min="14604" max="14604" width="9.375" style="125"/>
    <col min="14605" max="14605" width="8.875" style="125" customWidth="1"/>
    <col min="14606" max="14606" width="13.125" style="125" customWidth="1"/>
    <col min="14607" max="14607" width="9.375" style="125"/>
    <col min="14608" max="14608" width="9.875" style="125" customWidth="1"/>
    <col min="14609" max="14609" width="11.75" style="125" bestFit="1" customWidth="1"/>
    <col min="14610" max="14839" width="9.375" style="125"/>
    <col min="14840" max="14840" width="5" style="125" customWidth="1"/>
    <col min="14841" max="14841" width="17.875" style="125" bestFit="1" customWidth="1"/>
    <col min="14842" max="14842" width="9.875" style="125" customWidth="1"/>
    <col min="14843" max="14843" width="8.875" style="125" customWidth="1"/>
    <col min="14844" max="14844" width="7.375" style="125" bestFit="1" customWidth="1"/>
    <col min="14845" max="14845" width="10.125" style="125" bestFit="1" customWidth="1"/>
    <col min="14846" max="14846" width="9.375" style="125"/>
    <col min="14847" max="14847" width="10.125" style="125" bestFit="1" customWidth="1"/>
    <col min="14848" max="14848" width="10.75" style="125" customWidth="1"/>
    <col min="14849" max="14851" width="9.375" style="125"/>
    <col min="14852" max="14853" width="10.75" style="125" customWidth="1"/>
    <col min="14854" max="14858" width="9.375" style="125"/>
    <col min="14859" max="14859" width="1.625" style="125" bestFit="1" customWidth="1"/>
    <col min="14860" max="14860" width="9.375" style="125"/>
    <col min="14861" max="14861" width="8.875" style="125" customWidth="1"/>
    <col min="14862" max="14862" width="13.125" style="125" customWidth="1"/>
    <col min="14863" max="14863" width="9.375" style="125"/>
    <col min="14864" max="14864" width="9.875" style="125" customWidth="1"/>
    <col min="14865" max="14865" width="11.75" style="125" bestFit="1" customWidth="1"/>
    <col min="14866" max="15095" width="9.375" style="125"/>
    <col min="15096" max="15096" width="5" style="125" customWidth="1"/>
    <col min="15097" max="15097" width="17.875" style="125" bestFit="1" customWidth="1"/>
    <col min="15098" max="15098" width="9.875" style="125" customWidth="1"/>
    <col min="15099" max="15099" width="8.875" style="125" customWidth="1"/>
    <col min="15100" max="15100" width="7.375" style="125" bestFit="1" customWidth="1"/>
    <col min="15101" max="15101" width="10.125" style="125" bestFit="1" customWidth="1"/>
    <col min="15102" max="15102" width="9.375" style="125"/>
    <col min="15103" max="15103" width="10.125" style="125" bestFit="1" customWidth="1"/>
    <col min="15104" max="15104" width="10.75" style="125" customWidth="1"/>
    <col min="15105" max="15107" width="9.375" style="125"/>
    <col min="15108" max="15109" width="10.75" style="125" customWidth="1"/>
    <col min="15110" max="15114" width="9.375" style="125"/>
    <col min="15115" max="15115" width="1.625" style="125" bestFit="1" customWidth="1"/>
    <col min="15116" max="15116" width="9.375" style="125"/>
    <col min="15117" max="15117" width="8.875" style="125" customWidth="1"/>
    <col min="15118" max="15118" width="13.125" style="125" customWidth="1"/>
    <col min="15119" max="15119" width="9.375" style="125"/>
    <col min="15120" max="15120" width="9.875" style="125" customWidth="1"/>
    <col min="15121" max="15121" width="11.75" style="125" bestFit="1" customWidth="1"/>
    <col min="15122" max="15351" width="9.375" style="125"/>
    <col min="15352" max="15352" width="5" style="125" customWidth="1"/>
    <col min="15353" max="15353" width="17.875" style="125" bestFit="1" customWidth="1"/>
    <col min="15354" max="15354" width="9.875" style="125" customWidth="1"/>
    <col min="15355" max="15355" width="8.875" style="125" customWidth="1"/>
    <col min="15356" max="15356" width="7.375" style="125" bestFit="1" customWidth="1"/>
    <col min="15357" max="15357" width="10.125" style="125" bestFit="1" customWidth="1"/>
    <col min="15358" max="15358" width="9.375" style="125"/>
    <col min="15359" max="15359" width="10.125" style="125" bestFit="1" customWidth="1"/>
    <col min="15360" max="15360" width="10.75" style="125" customWidth="1"/>
    <col min="15361" max="15363" width="9.375" style="125"/>
    <col min="15364" max="15365" width="10.75" style="125" customWidth="1"/>
    <col min="15366" max="15370" width="9.375" style="125"/>
    <col min="15371" max="15371" width="1.625" style="125" bestFit="1" customWidth="1"/>
    <col min="15372" max="15372" width="9.375" style="125"/>
    <col min="15373" max="15373" width="8.875" style="125" customWidth="1"/>
    <col min="15374" max="15374" width="13.125" style="125" customWidth="1"/>
    <col min="15375" max="15375" width="9.375" style="125"/>
    <col min="15376" max="15376" width="9.875" style="125" customWidth="1"/>
    <col min="15377" max="15377" width="11.75" style="125" bestFit="1" customWidth="1"/>
    <col min="15378" max="15607" width="9.375" style="125"/>
    <col min="15608" max="15608" width="5" style="125" customWidth="1"/>
    <col min="15609" max="15609" width="17.875" style="125" bestFit="1" customWidth="1"/>
    <col min="15610" max="15610" width="9.875" style="125" customWidth="1"/>
    <col min="15611" max="15611" width="8.875" style="125" customWidth="1"/>
    <col min="15612" max="15612" width="7.375" style="125" bestFit="1" customWidth="1"/>
    <col min="15613" max="15613" width="10.125" style="125" bestFit="1" customWidth="1"/>
    <col min="15614" max="15614" width="9.375" style="125"/>
    <col min="15615" max="15615" width="10.125" style="125" bestFit="1" customWidth="1"/>
    <col min="15616" max="15616" width="10.75" style="125" customWidth="1"/>
    <col min="15617" max="15619" width="9.375" style="125"/>
    <col min="15620" max="15621" width="10.75" style="125" customWidth="1"/>
    <col min="15622" max="15626" width="9.375" style="125"/>
    <col min="15627" max="15627" width="1.625" style="125" bestFit="1" customWidth="1"/>
    <col min="15628" max="15628" width="9.375" style="125"/>
    <col min="15629" max="15629" width="8.875" style="125" customWidth="1"/>
    <col min="15630" max="15630" width="13.125" style="125" customWidth="1"/>
    <col min="15631" max="15631" width="9.375" style="125"/>
    <col min="15632" max="15632" width="9.875" style="125" customWidth="1"/>
    <col min="15633" max="15633" width="11.75" style="125" bestFit="1" customWidth="1"/>
    <col min="15634" max="15863" width="9.375" style="125"/>
    <col min="15864" max="15864" width="5" style="125" customWidth="1"/>
    <col min="15865" max="15865" width="17.875" style="125" bestFit="1" customWidth="1"/>
    <col min="15866" max="15866" width="9.875" style="125" customWidth="1"/>
    <col min="15867" max="15867" width="8.875" style="125" customWidth="1"/>
    <col min="15868" max="15868" width="7.375" style="125" bestFit="1" customWidth="1"/>
    <col min="15869" max="15869" width="10.125" style="125" bestFit="1" customWidth="1"/>
    <col min="15870" max="15870" width="9.375" style="125"/>
    <col min="15871" max="15871" width="10.125" style="125" bestFit="1" customWidth="1"/>
    <col min="15872" max="15872" width="10.75" style="125" customWidth="1"/>
    <col min="15873" max="15875" width="9.375" style="125"/>
    <col min="15876" max="15877" width="10.75" style="125" customWidth="1"/>
    <col min="15878" max="15882" width="9.375" style="125"/>
    <col min="15883" max="15883" width="1.625" style="125" bestFit="1" customWidth="1"/>
    <col min="15884" max="15884" width="9.375" style="125"/>
    <col min="15885" max="15885" width="8.875" style="125" customWidth="1"/>
    <col min="15886" max="15886" width="13.125" style="125" customWidth="1"/>
    <col min="15887" max="15887" width="9.375" style="125"/>
    <col min="15888" max="15888" width="9.875" style="125" customWidth="1"/>
    <col min="15889" max="15889" width="11.75" style="125" bestFit="1" customWidth="1"/>
    <col min="15890" max="16119" width="9.375" style="125"/>
    <col min="16120" max="16120" width="5" style="125" customWidth="1"/>
    <col min="16121" max="16121" width="17.875" style="125" bestFit="1" customWidth="1"/>
    <col min="16122" max="16122" width="9.875" style="125" customWidth="1"/>
    <col min="16123" max="16123" width="8.875" style="125" customWidth="1"/>
    <col min="16124" max="16124" width="7.375" style="125" bestFit="1" customWidth="1"/>
    <col min="16125" max="16125" width="10.125" style="125" bestFit="1" customWidth="1"/>
    <col min="16126" max="16126" width="9.375" style="125"/>
    <col min="16127" max="16127" width="10.125" style="125" bestFit="1" customWidth="1"/>
    <col min="16128" max="16128" width="10.75" style="125" customWidth="1"/>
    <col min="16129" max="16131" width="9.375" style="125"/>
    <col min="16132" max="16133" width="10.75" style="125" customWidth="1"/>
    <col min="16134" max="16138" width="9.375" style="125"/>
    <col min="16139" max="16139" width="1.625" style="125" bestFit="1" customWidth="1"/>
    <col min="16140" max="16140" width="9.375" style="125"/>
    <col min="16141" max="16141" width="8.875" style="125" customWidth="1"/>
    <col min="16142" max="16142" width="13.125" style="125" customWidth="1"/>
    <col min="16143" max="16143" width="9.375" style="125"/>
    <col min="16144" max="16144" width="9.875" style="125" customWidth="1"/>
    <col min="16145" max="16145" width="11.75" style="125" bestFit="1" customWidth="1"/>
    <col min="16146" max="16384" width="9.375" style="125"/>
  </cols>
  <sheetData>
    <row r="1" spans="1:20" s="33" customFormat="1" ht="26.25" x14ac:dyDescent="0.2">
      <c r="A1" s="278" t="s">
        <v>410</v>
      </c>
      <c r="B1" s="32"/>
      <c r="C1" s="404" t="s">
        <v>405</v>
      </c>
      <c r="D1" s="302" t="s">
        <v>397</v>
      </c>
      <c r="E1" s="688" t="s">
        <v>406</v>
      </c>
      <c r="F1" s="688"/>
      <c r="G1" s="121"/>
      <c r="H1" s="121"/>
      <c r="I1" s="121"/>
      <c r="J1" s="121"/>
      <c r="K1" s="121"/>
      <c r="M1" s="121"/>
      <c r="N1" s="122"/>
      <c r="O1" s="43"/>
      <c r="P1" s="122"/>
      <c r="Q1" s="122"/>
      <c r="R1" s="43"/>
      <c r="S1" s="43"/>
      <c r="T1" s="43"/>
    </row>
    <row r="2" spans="1:20" s="40" customFormat="1" ht="15.75" x14ac:dyDescent="0.25">
      <c r="A2" s="357" t="str">
        <f>Paramètres!B4</f>
        <v>Décompte 2022</v>
      </c>
      <c r="N2" s="124"/>
      <c r="O2" s="123"/>
      <c r="P2" s="124"/>
      <c r="Q2" s="124"/>
      <c r="R2" s="123"/>
      <c r="S2" s="123"/>
      <c r="T2" s="123"/>
    </row>
    <row r="4" spans="1:20" s="136" customFormat="1" ht="39" customHeight="1" x14ac:dyDescent="0.2">
      <c r="A4" s="697" t="s">
        <v>44</v>
      </c>
      <c r="B4" s="697" t="s">
        <v>84</v>
      </c>
      <c r="C4" s="697" t="s">
        <v>441</v>
      </c>
      <c r="D4" s="339" t="s">
        <v>257</v>
      </c>
      <c r="E4" s="697" t="s">
        <v>368</v>
      </c>
      <c r="F4" s="700" t="s">
        <v>288</v>
      </c>
      <c r="G4" s="697" t="s">
        <v>537</v>
      </c>
      <c r="H4" s="697" t="s">
        <v>495</v>
      </c>
      <c r="I4" s="697" t="s">
        <v>538</v>
      </c>
      <c r="J4" s="697" t="s">
        <v>413</v>
      </c>
      <c r="K4" s="339" t="s">
        <v>498</v>
      </c>
      <c r="L4" s="697" t="s">
        <v>370</v>
      </c>
      <c r="M4" s="134"/>
      <c r="N4" s="133"/>
      <c r="O4" s="134"/>
      <c r="P4" s="135"/>
      <c r="Q4" s="133"/>
      <c r="R4" s="133"/>
      <c r="S4" s="133"/>
    </row>
    <row r="5" spans="1:20" s="136" customFormat="1" x14ac:dyDescent="0.2">
      <c r="A5" s="699"/>
      <c r="B5" s="699"/>
      <c r="C5" s="698"/>
      <c r="D5" s="364">
        <f>Paramètres!B6</f>
        <v>43464</v>
      </c>
      <c r="E5" s="699"/>
      <c r="F5" s="701"/>
      <c r="G5" s="699"/>
      <c r="H5" s="699"/>
      <c r="I5" s="699"/>
      <c r="J5" s="698"/>
      <c r="K5" s="340">
        <f>(Paramètres!B56-'Facture policière'!$I$306)/'Facture policière'!J306</f>
        <v>1.1801662515359592</v>
      </c>
      <c r="L5" s="698"/>
      <c r="M5" s="135"/>
      <c r="N5" s="133"/>
      <c r="O5" s="135"/>
      <c r="P5" s="135"/>
      <c r="Q5" s="133"/>
      <c r="R5" s="133"/>
      <c r="S5" s="133"/>
    </row>
    <row r="6" spans="1:20" x14ac:dyDescent="0.25">
      <c r="A6" s="174">
        <f>Données!A6</f>
        <v>5401</v>
      </c>
      <c r="B6" s="352" t="str">
        <f>Données!B6</f>
        <v>Aigle</v>
      </c>
      <c r="C6" s="174">
        <f>Données!AR6</f>
        <v>1</v>
      </c>
      <c r="D6" s="354">
        <f>Données!Z6</f>
        <v>10943</v>
      </c>
      <c r="E6" s="128">
        <f>Données!X6</f>
        <v>66</v>
      </c>
      <c r="F6" s="31">
        <f>VPI!L6</f>
        <v>17128389.589999996</v>
      </c>
      <c r="G6" s="41">
        <f>F6/E6*2</f>
        <v>519042.10878787865</v>
      </c>
      <c r="H6" s="58">
        <f>+$G$306/$D$306*D6</f>
        <v>976806.91910340171</v>
      </c>
      <c r="I6" s="41">
        <f t="shared" ref="I6" si="0">IF(C6=1,0,IF(H6&gt;G6,G6,H6))</f>
        <v>0</v>
      </c>
      <c r="J6" s="41">
        <f>VPI!R6</f>
        <v>294634.51575757569</v>
      </c>
      <c r="K6" s="50">
        <f t="shared" ref="K6" si="1">+$K$5*J6</f>
        <v>347717.71203473059</v>
      </c>
      <c r="L6" s="341">
        <f t="shared" ref="L6" si="2">+K6+I6</f>
        <v>347717.71203473059</v>
      </c>
      <c r="M6" s="231"/>
      <c r="N6" s="130"/>
      <c r="O6" s="127"/>
      <c r="Q6" s="131"/>
      <c r="T6" s="125"/>
    </row>
    <row r="7" spans="1:20" x14ac:dyDescent="0.25">
      <c r="A7" s="175">
        <f>Données!A7</f>
        <v>5402</v>
      </c>
      <c r="B7" s="353" t="str">
        <f>Données!B7</f>
        <v>Bex</v>
      </c>
      <c r="C7" s="175">
        <f>Données!AR7</f>
        <v>1</v>
      </c>
      <c r="D7" s="354">
        <f>Données!Z7</f>
        <v>8165</v>
      </c>
      <c r="E7" s="128">
        <f>Données!X7</f>
        <v>71</v>
      </c>
      <c r="F7" s="31">
        <f>VPI!L7</f>
        <v>12090349.110000001</v>
      </c>
      <c r="G7" s="8">
        <f t="shared" ref="G7:G70" si="3">F7/E7*2</f>
        <v>340573.21436619724</v>
      </c>
      <c r="H7" s="213">
        <f t="shared" ref="H7:H70" si="4">+$G$306/$D$306*D7</f>
        <v>728833.82020280324</v>
      </c>
      <c r="I7" s="8">
        <f t="shared" ref="I7:I70" si="5">IF(C7=1,0,IF(H7&gt;G7,G7,H7))</f>
        <v>0</v>
      </c>
      <c r="J7" s="8">
        <f>VPI!R7</f>
        <v>191961.18746478873</v>
      </c>
      <c r="K7" s="236">
        <f t="shared" ref="K7:K70" si="6">+$K$5*J7</f>
        <v>226546.11505071129</v>
      </c>
      <c r="L7" s="342">
        <f t="shared" ref="L7:L70" si="7">+K7+I7</f>
        <v>226546.11505071129</v>
      </c>
      <c r="M7" s="231"/>
      <c r="N7" s="130"/>
      <c r="O7" s="127"/>
      <c r="Q7" s="131"/>
      <c r="T7" s="125"/>
    </row>
    <row r="8" spans="1:20" x14ac:dyDescent="0.25">
      <c r="A8" s="175">
        <f>Données!A8</f>
        <v>5403</v>
      </c>
      <c r="B8" s="353" t="str">
        <f>Données!B8</f>
        <v>Chessel</v>
      </c>
      <c r="C8" s="175">
        <f>Données!AR8</f>
        <v>0</v>
      </c>
      <c r="D8" s="354">
        <f>Données!Z8</f>
        <v>528</v>
      </c>
      <c r="E8" s="128">
        <f>Données!X8</f>
        <v>65</v>
      </c>
      <c r="F8" s="31">
        <f>VPI!L8</f>
        <v>782768.39</v>
      </c>
      <c r="G8" s="8">
        <f t="shared" si="3"/>
        <v>24085.181230769231</v>
      </c>
      <c r="H8" s="213">
        <f t="shared" si="4"/>
        <v>47130.95616253277</v>
      </c>
      <c r="I8" s="8">
        <f t="shared" si="5"/>
        <v>24085.181230769231</v>
      </c>
      <c r="J8" s="8">
        <f>VPI!R8</f>
        <v>13521.430615384616</v>
      </c>
      <c r="K8" s="236">
        <f t="shared" si="6"/>
        <v>15957.53608476202</v>
      </c>
      <c r="L8" s="342">
        <f t="shared" si="7"/>
        <v>40042.717315531248</v>
      </c>
      <c r="M8" s="231"/>
      <c r="N8" s="130"/>
      <c r="O8" s="127"/>
      <c r="Q8" s="131"/>
      <c r="T8" s="125"/>
    </row>
    <row r="9" spans="1:20" x14ac:dyDescent="0.25">
      <c r="A9" s="175">
        <f>Données!A9</f>
        <v>5404</v>
      </c>
      <c r="B9" s="353" t="str">
        <f>Données!B9</f>
        <v>Corbeyrier</v>
      </c>
      <c r="C9" s="175">
        <f>Données!AR9</f>
        <v>0</v>
      </c>
      <c r="D9" s="354">
        <f>Données!Z9</f>
        <v>440</v>
      </c>
      <c r="E9" s="128">
        <f>Données!X9</f>
        <v>74</v>
      </c>
      <c r="F9" s="31">
        <f>VPI!L9</f>
        <v>771643.8600000001</v>
      </c>
      <c r="G9" s="8">
        <f t="shared" si="3"/>
        <v>20855.239459459463</v>
      </c>
      <c r="H9" s="213">
        <f t="shared" si="4"/>
        <v>39275.796802110643</v>
      </c>
      <c r="I9" s="8">
        <f t="shared" si="5"/>
        <v>20855.239459459463</v>
      </c>
      <c r="J9" s="8">
        <f>VPI!R9</f>
        <v>11663.247882882884</v>
      </c>
      <c r="K9" s="236">
        <f t="shared" si="6"/>
        <v>13764.571534676606</v>
      </c>
      <c r="L9" s="342">
        <f t="shared" si="7"/>
        <v>34619.810994136067</v>
      </c>
      <c r="M9" s="231"/>
      <c r="N9" s="130"/>
      <c r="O9" s="127"/>
      <c r="Q9" s="131"/>
      <c r="T9" s="125"/>
    </row>
    <row r="10" spans="1:20" x14ac:dyDescent="0.25">
      <c r="A10" s="175">
        <f>Données!A10</f>
        <v>5405</v>
      </c>
      <c r="B10" s="353" t="str">
        <f>Données!B10</f>
        <v>Gryon</v>
      </c>
      <c r="C10" s="175">
        <f>Données!AR10</f>
        <v>0</v>
      </c>
      <c r="D10" s="354">
        <f>Données!Z10</f>
        <v>1390</v>
      </c>
      <c r="E10" s="128">
        <f>Données!X10</f>
        <v>73.5</v>
      </c>
      <c r="F10" s="31">
        <f>VPI!L10</f>
        <v>4540237.4300000006</v>
      </c>
      <c r="G10" s="8">
        <f t="shared" si="3"/>
        <v>123543.87564625852</v>
      </c>
      <c r="H10" s="213">
        <f t="shared" si="4"/>
        <v>124075.81262484954</v>
      </c>
      <c r="I10" s="8">
        <f t="shared" si="5"/>
        <v>123543.87564625852</v>
      </c>
      <c r="J10" s="8">
        <f>VPI!R10</f>
        <v>73286.214467120197</v>
      </c>
      <c r="K10" s="236">
        <f t="shared" si="6"/>
        <v>86489.917016921623</v>
      </c>
      <c r="L10" s="342">
        <f t="shared" si="7"/>
        <v>210033.79266318015</v>
      </c>
      <c r="M10" s="231"/>
      <c r="N10" s="130"/>
      <c r="O10" s="127"/>
      <c r="Q10" s="131"/>
      <c r="T10" s="125"/>
    </row>
    <row r="11" spans="1:20" x14ac:dyDescent="0.25">
      <c r="A11" s="175">
        <f>Données!A11</f>
        <v>5406</v>
      </c>
      <c r="B11" s="353" t="str">
        <f>Données!B11</f>
        <v>Lavey-Morcles</v>
      </c>
      <c r="C11" s="175">
        <f>Données!AR11</f>
        <v>0</v>
      </c>
      <c r="D11" s="354">
        <f>Données!Z11</f>
        <v>977</v>
      </c>
      <c r="E11" s="128">
        <f>Données!X11</f>
        <v>71.5</v>
      </c>
      <c r="F11" s="31">
        <f>VPI!L11</f>
        <v>1413559.6199999999</v>
      </c>
      <c r="G11" s="8">
        <f t="shared" si="3"/>
        <v>39540.129230769227</v>
      </c>
      <c r="H11" s="213">
        <f t="shared" si="4"/>
        <v>87210.121535595681</v>
      </c>
      <c r="I11" s="8">
        <f t="shared" si="5"/>
        <v>39540.129230769227</v>
      </c>
      <c r="J11" s="8">
        <f>VPI!R11</f>
        <v>22111.529381387842</v>
      </c>
      <c r="K11" s="236">
        <f t="shared" si="6"/>
        <v>26095.280745759716</v>
      </c>
      <c r="L11" s="342">
        <f t="shared" si="7"/>
        <v>65635.409976528943</v>
      </c>
      <c r="M11" s="231"/>
      <c r="N11" s="130"/>
      <c r="O11" s="127"/>
      <c r="Q11" s="131"/>
      <c r="T11" s="125"/>
    </row>
    <row r="12" spans="1:20" x14ac:dyDescent="0.25">
      <c r="A12" s="175">
        <f>Données!A12</f>
        <v>5407</v>
      </c>
      <c r="B12" s="353" t="str">
        <f>Données!B12</f>
        <v>Leysin</v>
      </c>
      <c r="C12" s="175">
        <f>Données!AR12</f>
        <v>0</v>
      </c>
      <c r="D12" s="354">
        <f>Données!Z12</f>
        <v>3752</v>
      </c>
      <c r="E12" s="128">
        <f>Données!X12</f>
        <v>78</v>
      </c>
      <c r="F12" s="31">
        <f>VPI!L12</f>
        <v>6082739.21</v>
      </c>
      <c r="G12" s="8">
        <f t="shared" si="3"/>
        <v>155967.67205128205</v>
      </c>
      <c r="H12" s="213">
        <f t="shared" si="4"/>
        <v>334915.4309125435</v>
      </c>
      <c r="I12" s="8">
        <f t="shared" si="5"/>
        <v>155967.67205128205</v>
      </c>
      <c r="J12" s="8">
        <f>VPI!R12</f>
        <v>89841.412521367529</v>
      </c>
      <c r="K12" s="236">
        <f t="shared" si="6"/>
        <v>106027.80304803811</v>
      </c>
      <c r="L12" s="342">
        <f t="shared" si="7"/>
        <v>261995.47509932017</v>
      </c>
      <c r="M12" s="231"/>
      <c r="N12" s="130"/>
      <c r="O12" s="127"/>
      <c r="Q12" s="131"/>
      <c r="T12" s="125"/>
    </row>
    <row r="13" spans="1:20" x14ac:dyDescent="0.25">
      <c r="A13" s="175">
        <f>Données!A13</f>
        <v>5408</v>
      </c>
      <c r="B13" s="353" t="str">
        <f>Données!B13</f>
        <v>Noville</v>
      </c>
      <c r="C13" s="175">
        <f>Données!AR13</f>
        <v>0</v>
      </c>
      <c r="D13" s="354">
        <f>Données!Z13</f>
        <v>1169</v>
      </c>
      <c r="E13" s="128">
        <f>Données!X13</f>
        <v>75</v>
      </c>
      <c r="F13" s="31">
        <f>VPI!L13</f>
        <v>2779913.6400000011</v>
      </c>
      <c r="G13" s="8">
        <f t="shared" si="3"/>
        <v>74131.030400000032</v>
      </c>
      <c r="H13" s="213">
        <f t="shared" si="4"/>
        <v>104348.65104924396</v>
      </c>
      <c r="I13" s="8">
        <f t="shared" si="5"/>
        <v>74131.030400000032</v>
      </c>
      <c r="J13" s="8">
        <f>VPI!R13</f>
        <v>41973.380088888902</v>
      </c>
      <c r="K13" s="236">
        <f t="shared" si="6"/>
        <v>49535.566643798084</v>
      </c>
      <c r="L13" s="342">
        <f t="shared" si="7"/>
        <v>123666.59704379812</v>
      </c>
      <c r="M13" s="231"/>
      <c r="N13" s="130"/>
      <c r="O13" s="127"/>
      <c r="Q13" s="131"/>
      <c r="T13" s="125"/>
    </row>
    <row r="14" spans="1:20" x14ac:dyDescent="0.25">
      <c r="A14" s="175">
        <f>Données!A14</f>
        <v>5409</v>
      </c>
      <c r="B14" s="353" t="str">
        <f>Données!B14</f>
        <v>Ollon</v>
      </c>
      <c r="C14" s="175">
        <f>Données!AR14</f>
        <v>1</v>
      </c>
      <c r="D14" s="354">
        <f>Données!Z14</f>
        <v>7971</v>
      </c>
      <c r="E14" s="128">
        <f>Données!X14</f>
        <v>68</v>
      </c>
      <c r="F14" s="31">
        <f>VPI!L14</f>
        <v>24218238.079999998</v>
      </c>
      <c r="G14" s="8">
        <f t="shared" si="3"/>
        <v>712301.12</v>
      </c>
      <c r="H14" s="213">
        <f t="shared" si="4"/>
        <v>711516.76434005436</v>
      </c>
      <c r="I14" s="8">
        <f t="shared" si="5"/>
        <v>0</v>
      </c>
      <c r="J14" s="8">
        <f>VPI!R14</f>
        <v>405938.29721719451</v>
      </c>
      <c r="K14" s="236">
        <f t="shared" si="6"/>
        <v>479074.67858170654</v>
      </c>
      <c r="L14" s="342">
        <f t="shared" si="7"/>
        <v>479074.67858170654</v>
      </c>
      <c r="M14" s="231"/>
      <c r="N14" s="130"/>
      <c r="O14" s="127"/>
      <c r="Q14" s="131"/>
      <c r="T14" s="125"/>
    </row>
    <row r="15" spans="1:20" x14ac:dyDescent="0.25">
      <c r="A15" s="175">
        <f>Données!A15</f>
        <v>5410</v>
      </c>
      <c r="B15" s="353" t="str">
        <f>Données!B15</f>
        <v>Ormont-Dessous</v>
      </c>
      <c r="C15" s="175">
        <f>Données!AR15</f>
        <v>0</v>
      </c>
      <c r="D15" s="354">
        <f>Données!Z15</f>
        <v>1178</v>
      </c>
      <c r="E15" s="128">
        <f>Données!X15</f>
        <v>77</v>
      </c>
      <c r="F15" s="31">
        <f>VPI!L15</f>
        <v>2548246.77</v>
      </c>
      <c r="G15" s="8">
        <f t="shared" si="3"/>
        <v>66188.227792207792</v>
      </c>
      <c r="H15" s="26">
        <f t="shared" si="4"/>
        <v>105152.01962019622</v>
      </c>
      <c r="I15" s="8">
        <f t="shared" si="5"/>
        <v>66188.227792207792</v>
      </c>
      <c r="J15" s="8">
        <f>VPI!R15</f>
        <v>38418.577099567097</v>
      </c>
      <c r="K15" s="236">
        <f t="shared" si="6"/>
        <v>45340.308124941344</v>
      </c>
      <c r="L15" s="342">
        <f t="shared" si="7"/>
        <v>111528.53591714913</v>
      </c>
      <c r="M15" s="129"/>
      <c r="N15" s="130"/>
      <c r="O15" s="127"/>
      <c r="Q15" s="131"/>
      <c r="T15" s="125"/>
    </row>
    <row r="16" spans="1:20" x14ac:dyDescent="0.25">
      <c r="A16" s="175">
        <f>Données!A16</f>
        <v>5411</v>
      </c>
      <c r="B16" s="353" t="str">
        <f>Données!B16</f>
        <v>Ormont-Dessus</v>
      </c>
      <c r="C16" s="175">
        <f>Données!AR16</f>
        <v>0</v>
      </c>
      <c r="D16" s="354">
        <f>Données!Z16</f>
        <v>1425</v>
      </c>
      <c r="E16" s="128">
        <f>Données!X16</f>
        <v>76</v>
      </c>
      <c r="F16" s="31">
        <f>VPI!L16</f>
        <v>4909866.74</v>
      </c>
      <c r="G16" s="8">
        <f t="shared" si="3"/>
        <v>129207.01947368421</v>
      </c>
      <c r="H16" s="26">
        <f t="shared" si="4"/>
        <v>127200.02373410834</v>
      </c>
      <c r="I16" s="8">
        <f t="shared" si="5"/>
        <v>127200.02373410834</v>
      </c>
      <c r="J16" s="8">
        <f>VPI!R16</f>
        <v>76161.465657894747</v>
      </c>
      <c r="K16" s="236">
        <f t="shared" si="6"/>
        <v>89883.191436962326</v>
      </c>
      <c r="L16" s="342">
        <f t="shared" si="7"/>
        <v>217083.21517107065</v>
      </c>
      <c r="M16" s="232"/>
      <c r="N16" s="130"/>
      <c r="O16" s="127"/>
      <c r="Q16" s="131"/>
      <c r="T16" s="125"/>
    </row>
    <row r="17" spans="1:20" x14ac:dyDescent="0.25">
      <c r="A17" s="175">
        <f>Données!A17</f>
        <v>5412</v>
      </c>
      <c r="B17" s="353" t="str">
        <f>Données!B17</f>
        <v>Rennaz</v>
      </c>
      <c r="C17" s="175">
        <f>Données!AR17</f>
        <v>0</v>
      </c>
      <c r="D17" s="354">
        <f>Données!Z17</f>
        <v>929</v>
      </c>
      <c r="E17" s="128">
        <f>Données!X17</f>
        <v>69</v>
      </c>
      <c r="F17" s="31">
        <f>VPI!L17</f>
        <v>1886707.35</v>
      </c>
      <c r="G17" s="8">
        <f t="shared" si="3"/>
        <v>54687.169565217395</v>
      </c>
      <c r="H17" s="26">
        <f t="shared" si="4"/>
        <v>82925.489157183605</v>
      </c>
      <c r="I17" s="8">
        <f t="shared" si="5"/>
        <v>54687.169565217395</v>
      </c>
      <c r="J17" s="8">
        <f>VPI!R17</f>
        <v>32240.440579710143</v>
      </c>
      <c r="K17" s="236">
        <f t="shared" si="6"/>
        <v>38049.07990682435</v>
      </c>
      <c r="L17" s="342">
        <f t="shared" si="7"/>
        <v>92736.249472041745</v>
      </c>
      <c r="M17" s="129"/>
      <c r="N17" s="130"/>
      <c r="O17" s="127"/>
      <c r="Q17" s="131"/>
      <c r="T17" s="125"/>
    </row>
    <row r="18" spans="1:20" x14ac:dyDescent="0.25">
      <c r="A18" s="175">
        <f>Données!A18</f>
        <v>5413</v>
      </c>
      <c r="B18" s="353" t="str">
        <f>Données!B18</f>
        <v>Roche</v>
      </c>
      <c r="C18" s="175">
        <f>Données!AR18</f>
        <v>0</v>
      </c>
      <c r="D18" s="354">
        <f>Données!Z18</f>
        <v>1943</v>
      </c>
      <c r="E18" s="128">
        <f>Données!X18</f>
        <v>68</v>
      </c>
      <c r="F18" s="31">
        <f>VPI!L18</f>
        <v>2563625.0000000005</v>
      </c>
      <c r="G18" s="8">
        <f t="shared" si="3"/>
        <v>75400.735294117665</v>
      </c>
      <c r="H18" s="26">
        <f t="shared" si="4"/>
        <v>173438.34815113861</v>
      </c>
      <c r="I18" s="8">
        <f t="shared" si="5"/>
        <v>75400.735294117665</v>
      </c>
      <c r="J18" s="8">
        <f>VPI!R18</f>
        <v>42596.643504901964</v>
      </c>
      <c r="K18" s="236">
        <f t="shared" si="6"/>
        <v>50271.121093193717</v>
      </c>
      <c r="L18" s="342">
        <f t="shared" si="7"/>
        <v>125671.85638731139</v>
      </c>
      <c r="M18" s="129"/>
      <c r="N18" s="130"/>
      <c r="O18" s="127"/>
      <c r="Q18" s="131"/>
      <c r="T18" s="125"/>
    </row>
    <row r="19" spans="1:20" x14ac:dyDescent="0.25">
      <c r="A19" s="175">
        <f>Données!A19</f>
        <v>5414</v>
      </c>
      <c r="B19" s="353" t="str">
        <f>Données!B19</f>
        <v>Villeneuve</v>
      </c>
      <c r="C19" s="175">
        <f>Données!AR19</f>
        <v>0</v>
      </c>
      <c r="D19" s="354">
        <f>Données!Z19</f>
        <v>5980</v>
      </c>
      <c r="E19" s="128">
        <f>Données!X19</f>
        <v>67.5</v>
      </c>
      <c r="F19" s="31">
        <f>VPI!L19</f>
        <v>9702823.629999999</v>
      </c>
      <c r="G19" s="8">
        <f t="shared" si="3"/>
        <v>287491.07051851851</v>
      </c>
      <c r="H19" s="26">
        <f t="shared" si="4"/>
        <v>533793.78381050378</v>
      </c>
      <c r="I19" s="8">
        <f t="shared" si="5"/>
        <v>287491.07051851851</v>
      </c>
      <c r="J19" s="8">
        <f>VPI!R19</f>
        <v>165881.46711111109</v>
      </c>
      <c r="K19" s="236">
        <f t="shared" si="6"/>
        <v>195767.7092398055</v>
      </c>
      <c r="L19" s="342">
        <f t="shared" si="7"/>
        <v>483258.77975832403</v>
      </c>
      <c r="M19" s="129"/>
      <c r="N19" s="130"/>
      <c r="O19" s="127"/>
      <c r="Q19" s="131"/>
      <c r="T19" s="125"/>
    </row>
    <row r="20" spans="1:20" x14ac:dyDescent="0.25">
      <c r="A20" s="175">
        <f>Données!A20</f>
        <v>5415</v>
      </c>
      <c r="B20" s="353" t="str">
        <f>Données!B20</f>
        <v>Yvorne</v>
      </c>
      <c r="C20" s="175">
        <f>Données!AR20</f>
        <v>0</v>
      </c>
      <c r="D20" s="354">
        <f>Données!Z20</f>
        <v>1088</v>
      </c>
      <c r="E20" s="128">
        <f>Données!X20</f>
        <v>71.5</v>
      </c>
      <c r="F20" s="31">
        <f>VPI!L20</f>
        <v>2167302.31</v>
      </c>
      <c r="G20" s="8">
        <f t="shared" si="3"/>
        <v>60623.840839160839</v>
      </c>
      <c r="H20" s="26">
        <f t="shared" si="4"/>
        <v>97118.333910673595</v>
      </c>
      <c r="I20" s="8">
        <f t="shared" si="5"/>
        <v>60623.840839160839</v>
      </c>
      <c r="J20" s="8">
        <f>VPI!R20</f>
        <v>33675.515990675995</v>
      </c>
      <c r="K20" s="236">
        <f t="shared" si="6"/>
        <v>39742.707475255345</v>
      </c>
      <c r="L20" s="342">
        <f t="shared" si="7"/>
        <v>100366.54831441618</v>
      </c>
      <c r="M20" s="129"/>
      <c r="N20" s="130"/>
      <c r="O20" s="127"/>
      <c r="Q20" s="131"/>
      <c r="T20" s="125"/>
    </row>
    <row r="21" spans="1:20" x14ac:dyDescent="0.25">
      <c r="A21" s="175">
        <f>Données!A21</f>
        <v>5422</v>
      </c>
      <c r="B21" s="353" t="str">
        <f>Données!B21</f>
        <v>Aubonne</v>
      </c>
      <c r="C21" s="175">
        <f>Données!AR21</f>
        <v>0</v>
      </c>
      <c r="D21" s="354">
        <f>Données!Z21</f>
        <v>3794</v>
      </c>
      <c r="E21" s="128">
        <f>Données!X21</f>
        <v>70</v>
      </c>
      <c r="F21" s="31">
        <f>VPI!L21</f>
        <v>19850018.060000002</v>
      </c>
      <c r="G21" s="8">
        <f t="shared" si="3"/>
        <v>567143.37314285722</v>
      </c>
      <c r="H21" s="26">
        <f t="shared" si="4"/>
        <v>338664.48424365406</v>
      </c>
      <c r="I21" s="8">
        <f t="shared" si="5"/>
        <v>338664.48424365406</v>
      </c>
      <c r="J21" s="8">
        <f>VPI!R21</f>
        <v>297608.37742857152</v>
      </c>
      <c r="K21" s="236">
        <f t="shared" si="6"/>
        <v>351227.36321557622</v>
      </c>
      <c r="L21" s="342">
        <f t="shared" si="7"/>
        <v>689891.84745923034</v>
      </c>
      <c r="M21" s="129"/>
      <c r="N21" s="130"/>
      <c r="O21" s="127"/>
      <c r="Q21" s="131"/>
      <c r="T21" s="125"/>
    </row>
    <row r="22" spans="1:20" x14ac:dyDescent="0.25">
      <c r="A22" s="175">
        <f>Données!A22</f>
        <v>5423</v>
      </c>
      <c r="B22" s="353" t="str">
        <f>Données!B22</f>
        <v>Ballens</v>
      </c>
      <c r="C22" s="175">
        <f>Données!AR22</f>
        <v>0</v>
      </c>
      <c r="D22" s="354">
        <f>Données!Z22</f>
        <v>590</v>
      </c>
      <c r="E22" s="128">
        <f>Données!X22</f>
        <v>73</v>
      </c>
      <c r="F22" s="31">
        <f>VPI!L22</f>
        <v>1180256.5600000003</v>
      </c>
      <c r="G22" s="8">
        <f t="shared" si="3"/>
        <v>32335.79616438357</v>
      </c>
      <c r="H22" s="26">
        <f t="shared" si="4"/>
        <v>52665.272984648363</v>
      </c>
      <c r="I22" s="8">
        <f t="shared" si="5"/>
        <v>32335.79616438357</v>
      </c>
      <c r="J22" s="8">
        <f>VPI!R22</f>
        <v>17345.890547945211</v>
      </c>
      <c r="K22" s="236">
        <f t="shared" si="6"/>
        <v>20471.034627521527</v>
      </c>
      <c r="L22" s="342">
        <f t="shared" si="7"/>
        <v>52806.8307919051</v>
      </c>
      <c r="M22" s="129"/>
      <c r="N22" s="130"/>
      <c r="O22" s="127"/>
      <c r="Q22" s="131"/>
      <c r="T22" s="125"/>
    </row>
    <row r="23" spans="1:20" x14ac:dyDescent="0.25">
      <c r="A23" s="175">
        <f>Données!A23</f>
        <v>5424</v>
      </c>
      <c r="B23" s="353" t="str">
        <f>Données!B23</f>
        <v>Berolle</v>
      </c>
      <c r="C23" s="175">
        <f>Données!AR23</f>
        <v>0</v>
      </c>
      <c r="D23" s="354">
        <f>Données!Z23</f>
        <v>305</v>
      </c>
      <c r="E23" s="128">
        <f>Données!X23</f>
        <v>75.5</v>
      </c>
      <c r="F23" s="31">
        <f>VPI!L23</f>
        <v>720622.20000000007</v>
      </c>
      <c r="G23" s="8">
        <f t="shared" si="3"/>
        <v>19089.329801324504</v>
      </c>
      <c r="H23" s="26">
        <f t="shared" si="4"/>
        <v>27225.268237826695</v>
      </c>
      <c r="I23" s="8">
        <f t="shared" si="5"/>
        <v>19089.329801324504</v>
      </c>
      <c r="J23" s="8">
        <f>VPI!R23</f>
        <v>10263.254304635762</v>
      </c>
      <c r="K23" s="236">
        <f t="shared" si="6"/>
        <v>12112.346361262285</v>
      </c>
      <c r="L23" s="342">
        <f t="shared" si="7"/>
        <v>31201.676162586788</v>
      </c>
      <c r="M23" s="129"/>
      <c r="N23" s="130"/>
      <c r="O23" s="127"/>
      <c r="Q23" s="131"/>
      <c r="T23" s="125"/>
    </row>
    <row r="24" spans="1:20" s="126" customFormat="1" x14ac:dyDescent="0.25">
      <c r="A24" s="175">
        <f>Données!A24</f>
        <v>5425</v>
      </c>
      <c r="B24" s="353" t="str">
        <f>Données!B24</f>
        <v>Bière</v>
      </c>
      <c r="C24" s="175">
        <f>Données!AR24</f>
        <v>0</v>
      </c>
      <c r="D24" s="354">
        <f>Données!Z24</f>
        <v>1688</v>
      </c>
      <c r="E24" s="128">
        <f>Données!X24</f>
        <v>69</v>
      </c>
      <c r="F24" s="31">
        <f>VPI!L24</f>
        <v>2675602.8400000003</v>
      </c>
      <c r="G24" s="8">
        <f t="shared" si="3"/>
        <v>77553.705507246385</v>
      </c>
      <c r="H24" s="26">
        <f t="shared" si="4"/>
        <v>150676.23864082448</v>
      </c>
      <c r="I24" s="8">
        <f t="shared" si="5"/>
        <v>77553.705507246385</v>
      </c>
      <c r="J24" s="8">
        <f>VPI!R24</f>
        <v>42247.955252373817</v>
      </c>
      <c r="K24" s="236">
        <f t="shared" si="6"/>
        <v>49859.610985252948</v>
      </c>
      <c r="L24" s="342">
        <f t="shared" si="7"/>
        <v>127413.31649249933</v>
      </c>
      <c r="M24" s="129"/>
      <c r="N24" s="130"/>
      <c r="O24" s="127"/>
      <c r="P24" s="127"/>
      <c r="Q24" s="131"/>
    </row>
    <row r="25" spans="1:20" s="126" customFormat="1" x14ac:dyDescent="0.25">
      <c r="A25" s="175">
        <f>Données!A25</f>
        <v>5426</v>
      </c>
      <c r="B25" s="353" t="str">
        <f>Données!B25</f>
        <v>Bougy-Villars</v>
      </c>
      <c r="C25" s="175">
        <f>Données!AR25</f>
        <v>0</v>
      </c>
      <c r="D25" s="354">
        <f>Données!Z25</f>
        <v>506</v>
      </c>
      <c r="E25" s="128">
        <f>Données!X25</f>
        <v>64.5</v>
      </c>
      <c r="F25" s="31">
        <f>VPI!L25</f>
        <v>3720578.9699999993</v>
      </c>
      <c r="G25" s="8">
        <f t="shared" si="3"/>
        <v>115366.78976744183</v>
      </c>
      <c r="H25" s="26">
        <f t="shared" si="4"/>
        <v>45167.166322427242</v>
      </c>
      <c r="I25" s="8">
        <f t="shared" si="5"/>
        <v>45167.166322427242</v>
      </c>
      <c r="J25" s="8">
        <f>VPI!R25</f>
        <v>61985.534935400508</v>
      </c>
      <c r="K25" s="236">
        <f t="shared" si="6"/>
        <v>73153.236414162864</v>
      </c>
      <c r="L25" s="342">
        <f t="shared" si="7"/>
        <v>118320.4027365901</v>
      </c>
      <c r="M25" s="129"/>
      <c r="N25" s="130"/>
      <c r="O25" s="127"/>
      <c r="P25" s="127"/>
      <c r="Q25" s="131"/>
    </row>
    <row r="26" spans="1:20" s="126" customFormat="1" x14ac:dyDescent="0.25">
      <c r="A26" s="175">
        <f>Données!A26</f>
        <v>5427</v>
      </c>
      <c r="B26" s="353" t="str">
        <f>Données!B26</f>
        <v>Féchy</v>
      </c>
      <c r="C26" s="175">
        <f>Données!AR26</f>
        <v>0</v>
      </c>
      <c r="D26" s="354">
        <f>Données!Z26</f>
        <v>887</v>
      </c>
      <c r="E26" s="128">
        <f>Données!X26</f>
        <v>64</v>
      </c>
      <c r="F26" s="31">
        <f>VPI!L26</f>
        <v>5191348.879999999</v>
      </c>
      <c r="G26" s="8">
        <f t="shared" si="3"/>
        <v>162229.65249999997</v>
      </c>
      <c r="H26" s="26">
        <f t="shared" si="4"/>
        <v>79176.435826073051</v>
      </c>
      <c r="I26" s="8">
        <f t="shared" si="5"/>
        <v>79176.435826073051</v>
      </c>
      <c r="J26" s="8">
        <f>VPI!R26</f>
        <v>86972.782199519221</v>
      </c>
      <c r="K26" s="236">
        <f t="shared" si="6"/>
        <v>102642.34235405999</v>
      </c>
      <c r="L26" s="342">
        <f t="shared" si="7"/>
        <v>181818.77818013303</v>
      </c>
      <c r="M26" s="129"/>
      <c r="N26" s="130"/>
      <c r="O26" s="127"/>
      <c r="P26" s="127"/>
      <c r="Q26" s="131"/>
    </row>
    <row r="27" spans="1:20" s="126" customFormat="1" x14ac:dyDescent="0.25">
      <c r="A27" s="175">
        <f>Données!A27</f>
        <v>5428</v>
      </c>
      <c r="B27" s="353" t="str">
        <f>Données!B27</f>
        <v>Gimel</v>
      </c>
      <c r="C27" s="175">
        <f>Données!AR27</f>
        <v>0</v>
      </c>
      <c r="D27" s="354">
        <f>Données!Z27</f>
        <v>2414</v>
      </c>
      <c r="E27" s="128">
        <f>Données!X27</f>
        <v>74.5</v>
      </c>
      <c r="F27" s="31">
        <f>VPI!L27</f>
        <v>4865319.8299999991</v>
      </c>
      <c r="G27" s="8">
        <f t="shared" si="3"/>
        <v>130612.61288590601</v>
      </c>
      <c r="H27" s="26">
        <f t="shared" si="4"/>
        <v>215481.30336430704</v>
      </c>
      <c r="I27" s="8">
        <f t="shared" si="5"/>
        <v>130612.61288590601</v>
      </c>
      <c r="J27" s="8">
        <f>VPI!R27</f>
        <v>71357.587986577171</v>
      </c>
      <c r="K27" s="236">
        <f t="shared" si="6"/>
        <v>84213.817132766169</v>
      </c>
      <c r="L27" s="342">
        <f t="shared" si="7"/>
        <v>214826.4300186722</v>
      </c>
      <c r="M27" s="129"/>
      <c r="N27" s="130"/>
      <c r="O27" s="127"/>
      <c r="P27" s="127"/>
      <c r="Q27" s="131"/>
    </row>
    <row r="28" spans="1:20" s="126" customFormat="1" x14ac:dyDescent="0.25">
      <c r="A28" s="175">
        <f>Données!A28</f>
        <v>5429</v>
      </c>
      <c r="B28" s="353" t="str">
        <f>Données!B28</f>
        <v>Longirod</v>
      </c>
      <c r="C28" s="175">
        <f>Données!AR28</f>
        <v>0</v>
      </c>
      <c r="D28" s="354">
        <f>Données!Z28</f>
        <v>542</v>
      </c>
      <c r="E28" s="128">
        <f>Données!X28</f>
        <v>77.5</v>
      </c>
      <c r="F28" s="31">
        <f>VPI!L28</f>
        <v>1216042.9500000002</v>
      </c>
      <c r="G28" s="8">
        <f t="shared" si="3"/>
        <v>31381.753548387103</v>
      </c>
      <c r="H28" s="26">
        <f t="shared" si="4"/>
        <v>48380.640606236295</v>
      </c>
      <c r="I28" s="8">
        <f t="shared" si="5"/>
        <v>31381.753548387103</v>
      </c>
      <c r="J28" s="8">
        <f>VPI!R28</f>
        <v>17142.381290322584</v>
      </c>
      <c r="K28" s="236">
        <f t="shared" si="6"/>
        <v>20230.859869800166</v>
      </c>
      <c r="L28" s="342">
        <f t="shared" si="7"/>
        <v>51612.613418187269</v>
      </c>
      <c r="M28" s="129"/>
      <c r="N28" s="130"/>
      <c r="O28" s="127"/>
      <c r="P28" s="127"/>
      <c r="Q28" s="131"/>
    </row>
    <row r="29" spans="1:20" s="126" customFormat="1" x14ac:dyDescent="0.25">
      <c r="A29" s="175">
        <f>Données!A29</f>
        <v>5430</v>
      </c>
      <c r="B29" s="353" t="str">
        <f>Données!B29</f>
        <v>Marchissy</v>
      </c>
      <c r="C29" s="175">
        <f>Données!AR29</f>
        <v>0</v>
      </c>
      <c r="D29" s="354">
        <f>Données!Z29</f>
        <v>501</v>
      </c>
      <c r="E29" s="128">
        <f>Données!X29</f>
        <v>77.5</v>
      </c>
      <c r="F29" s="31">
        <f>VPI!L29</f>
        <v>1233280.9500000002</v>
      </c>
      <c r="G29" s="8">
        <f t="shared" si="3"/>
        <v>31826.605161290328</v>
      </c>
      <c r="H29" s="213">
        <f t="shared" si="4"/>
        <v>44720.850449675985</v>
      </c>
      <c r="I29" s="8">
        <f t="shared" si="5"/>
        <v>31826.605161290328</v>
      </c>
      <c r="J29" s="8">
        <f>VPI!R29</f>
        <v>17121.715483870968</v>
      </c>
      <c r="K29" s="236">
        <f t="shared" si="6"/>
        <v>20206.470782465192</v>
      </c>
      <c r="L29" s="342">
        <f t="shared" si="7"/>
        <v>52033.075943755524</v>
      </c>
      <c r="M29" s="129"/>
      <c r="N29" s="130"/>
      <c r="O29" s="127"/>
      <c r="P29" s="127"/>
      <c r="Q29" s="131"/>
    </row>
    <row r="30" spans="1:20" s="126" customFormat="1" x14ac:dyDescent="0.25">
      <c r="A30" s="175">
        <f>Données!A30</f>
        <v>5431</v>
      </c>
      <c r="B30" s="353" t="str">
        <f>Données!B30</f>
        <v>Mollens</v>
      </c>
      <c r="C30" s="175">
        <f>Données!AR30</f>
        <v>0</v>
      </c>
      <c r="D30" s="354">
        <f>Données!Z30</f>
        <v>324</v>
      </c>
      <c r="E30" s="128">
        <f>Données!X30</f>
        <v>74</v>
      </c>
      <c r="F30" s="31">
        <f>VPI!L30</f>
        <v>645875.77</v>
      </c>
      <c r="G30" s="8">
        <f t="shared" si="3"/>
        <v>17456.101891891893</v>
      </c>
      <c r="H30" s="26">
        <f t="shared" si="4"/>
        <v>28921.268554281472</v>
      </c>
      <c r="I30" s="8">
        <f t="shared" si="5"/>
        <v>17456.101891891893</v>
      </c>
      <c r="J30" s="8">
        <f>VPI!R30</f>
        <v>9475.049594594595</v>
      </c>
      <c r="K30" s="236">
        <f t="shared" si="6"/>
        <v>11182.133763170013</v>
      </c>
      <c r="L30" s="342">
        <f t="shared" si="7"/>
        <v>28638.235655061908</v>
      </c>
      <c r="M30" s="129"/>
      <c r="N30" s="130"/>
      <c r="O30" s="127"/>
      <c r="P30" s="127"/>
      <c r="Q30" s="131"/>
    </row>
    <row r="31" spans="1:20" s="126" customFormat="1" x14ac:dyDescent="0.25">
      <c r="A31" s="175">
        <f>Données!A31</f>
        <v>5434</v>
      </c>
      <c r="B31" s="353" t="str">
        <f>Données!B31</f>
        <v>Saint-George</v>
      </c>
      <c r="C31" s="175">
        <f>Données!AR31</f>
        <v>0</v>
      </c>
      <c r="D31" s="354">
        <f>Données!Z31</f>
        <v>1069</v>
      </c>
      <c r="E31" s="128">
        <f>Données!X31</f>
        <v>69.5</v>
      </c>
      <c r="F31" s="31">
        <f>VPI!L31</f>
        <v>2606402.4399999995</v>
      </c>
      <c r="G31" s="8">
        <f t="shared" si="3"/>
        <v>75004.386762589915</v>
      </c>
      <c r="H31" s="26">
        <f t="shared" si="4"/>
        <v>95422.333594218813</v>
      </c>
      <c r="I31" s="8">
        <f t="shared" si="5"/>
        <v>75004.386762589915</v>
      </c>
      <c r="J31" s="8">
        <f>VPI!R31</f>
        <v>41109.419880095913</v>
      </c>
      <c r="K31" s="236">
        <f t="shared" si="6"/>
        <v>48515.949962710634</v>
      </c>
      <c r="L31" s="342">
        <f t="shared" si="7"/>
        <v>123520.33672530056</v>
      </c>
      <c r="M31" s="129"/>
      <c r="N31" s="130"/>
      <c r="O31" s="127"/>
      <c r="P31" s="127"/>
      <c r="Q31" s="131"/>
    </row>
    <row r="32" spans="1:20" s="126" customFormat="1" x14ac:dyDescent="0.25">
      <c r="A32" s="175">
        <f>Données!A32</f>
        <v>5435</v>
      </c>
      <c r="B32" s="353" t="str">
        <f>Données!B32</f>
        <v>Saint-Livres</v>
      </c>
      <c r="C32" s="175">
        <f>Données!AR32</f>
        <v>0</v>
      </c>
      <c r="D32" s="354">
        <f>Données!Z32</f>
        <v>698</v>
      </c>
      <c r="E32" s="128">
        <f>Données!X32</f>
        <v>69</v>
      </c>
      <c r="F32" s="31">
        <f>VPI!L32</f>
        <v>1622961.14</v>
      </c>
      <c r="G32" s="8">
        <f t="shared" si="3"/>
        <v>47042.351884057971</v>
      </c>
      <c r="H32" s="26">
        <f t="shared" si="4"/>
        <v>62305.695836075523</v>
      </c>
      <c r="I32" s="8">
        <f t="shared" si="5"/>
        <v>47042.351884057971</v>
      </c>
      <c r="J32" s="8">
        <f>VPI!R32</f>
        <v>25462.29188405797</v>
      </c>
      <c r="K32" s="236">
        <f t="shared" si="6"/>
        <v>30049.737568323169</v>
      </c>
      <c r="L32" s="342">
        <f t="shared" si="7"/>
        <v>77092.089452381144</v>
      </c>
      <c r="M32" s="129"/>
      <c r="N32" s="130"/>
      <c r="O32" s="127"/>
      <c r="P32" s="127"/>
      <c r="Q32" s="131"/>
    </row>
    <row r="33" spans="1:17" s="126" customFormat="1" x14ac:dyDescent="0.25">
      <c r="A33" s="175">
        <f>Données!A33</f>
        <v>5436</v>
      </c>
      <c r="B33" s="353" t="str">
        <f>Données!B33</f>
        <v>Saint-Oyens</v>
      </c>
      <c r="C33" s="175">
        <f>Données!AR33</f>
        <v>0</v>
      </c>
      <c r="D33" s="354">
        <f>Données!Z33</f>
        <v>456</v>
      </c>
      <c r="E33" s="128">
        <f>Données!X33</f>
        <v>79</v>
      </c>
      <c r="F33" s="31">
        <f>VPI!L33</f>
        <v>1205384.8699999999</v>
      </c>
      <c r="G33" s="8">
        <f t="shared" si="3"/>
        <v>30516.072658227844</v>
      </c>
      <c r="H33" s="26">
        <f t="shared" si="4"/>
        <v>40704.00759491467</v>
      </c>
      <c r="I33" s="8">
        <f t="shared" si="5"/>
        <v>30516.072658227844</v>
      </c>
      <c r="J33" s="8">
        <f>VPI!R33</f>
        <v>16425.371772151899</v>
      </c>
      <c r="K33" s="236">
        <f t="shared" si="6"/>
        <v>19384.669434425061</v>
      </c>
      <c r="L33" s="342">
        <f t="shared" si="7"/>
        <v>49900.742092652901</v>
      </c>
      <c r="M33" s="129"/>
      <c r="N33" s="130"/>
      <c r="O33" s="127"/>
      <c r="P33" s="127"/>
      <c r="Q33" s="131"/>
    </row>
    <row r="34" spans="1:17" s="126" customFormat="1" x14ac:dyDescent="0.25">
      <c r="A34" s="175">
        <f>Données!A34</f>
        <v>5437</v>
      </c>
      <c r="B34" s="353" t="str">
        <f>Données!B34</f>
        <v>Saubraz</v>
      </c>
      <c r="C34" s="175">
        <f>Données!AR34</f>
        <v>0</v>
      </c>
      <c r="D34" s="354">
        <f>Données!Z34</f>
        <v>449</v>
      </c>
      <c r="E34" s="128">
        <f>Données!X34</f>
        <v>80</v>
      </c>
      <c r="F34" s="31">
        <f>VPI!L34</f>
        <v>890536.73</v>
      </c>
      <c r="G34" s="8">
        <f t="shared" si="3"/>
        <v>22263.418249999999</v>
      </c>
      <c r="H34" s="26">
        <f t="shared" si="4"/>
        <v>40079.165373062904</v>
      </c>
      <c r="I34" s="8">
        <f t="shared" si="5"/>
        <v>22263.418249999999</v>
      </c>
      <c r="J34" s="8">
        <f>VPI!R34</f>
        <v>12127.91725</v>
      </c>
      <c r="K34" s="236">
        <f t="shared" si="6"/>
        <v>14312.9586398708</v>
      </c>
      <c r="L34" s="342">
        <f t="shared" si="7"/>
        <v>36576.3768898708</v>
      </c>
      <c r="M34" s="129"/>
      <c r="N34" s="130"/>
      <c r="O34" s="127"/>
      <c r="P34" s="127"/>
      <c r="Q34" s="131"/>
    </row>
    <row r="35" spans="1:17" s="126" customFormat="1" x14ac:dyDescent="0.25">
      <c r="A35" s="175">
        <f>Données!A35</f>
        <v>5451</v>
      </c>
      <c r="B35" s="353" t="str">
        <f>Données!B35</f>
        <v>Avenches</v>
      </c>
      <c r="C35" s="175">
        <f>Données!AR35</f>
        <v>0</v>
      </c>
      <c r="D35" s="354">
        <f>Données!Z35</f>
        <v>4699</v>
      </c>
      <c r="E35" s="128">
        <f>Données!X35</f>
        <v>66.5</v>
      </c>
      <c r="F35" s="31">
        <f>VPI!L35</f>
        <v>8355754.4299999978</v>
      </c>
      <c r="G35" s="8">
        <f t="shared" si="3"/>
        <v>251300.88511278189</v>
      </c>
      <c r="H35" s="26">
        <f t="shared" si="4"/>
        <v>419447.65721163165</v>
      </c>
      <c r="I35" s="8">
        <f t="shared" si="5"/>
        <v>251300.88511278189</v>
      </c>
      <c r="J35" s="8">
        <f>VPI!R35</f>
        <v>142633.11649122802</v>
      </c>
      <c r="K35" s="236">
        <f t="shared" si="6"/>
        <v>168330.79043434438</v>
      </c>
      <c r="L35" s="342">
        <f t="shared" si="7"/>
        <v>419631.67554712627</v>
      </c>
      <c r="M35" s="129"/>
      <c r="N35" s="130"/>
      <c r="O35" s="127"/>
      <c r="P35" s="127"/>
      <c r="Q35" s="131"/>
    </row>
    <row r="36" spans="1:17" s="126" customFormat="1" x14ac:dyDescent="0.25">
      <c r="A36" s="175">
        <f>Données!A36</f>
        <v>5456</v>
      </c>
      <c r="B36" s="353" t="str">
        <f>Données!B36</f>
        <v>Cudrefin</v>
      </c>
      <c r="C36" s="175">
        <f>Données!AR36</f>
        <v>0</v>
      </c>
      <c r="D36" s="354">
        <f>Données!Z36</f>
        <v>1876</v>
      </c>
      <c r="E36" s="128">
        <f>Données!X36</f>
        <v>59</v>
      </c>
      <c r="F36" s="31">
        <f>VPI!L36</f>
        <v>3400131.32</v>
      </c>
      <c r="G36" s="8">
        <f t="shared" si="3"/>
        <v>115258.68881355932</v>
      </c>
      <c r="H36" s="26">
        <f t="shared" si="4"/>
        <v>167457.71545627175</v>
      </c>
      <c r="I36" s="8">
        <f t="shared" si="5"/>
        <v>115258.68881355932</v>
      </c>
      <c r="J36" s="8">
        <f>VPI!R36</f>
        <v>64060.385932203382</v>
      </c>
      <c r="K36" s="236">
        <f t="shared" si="6"/>
        <v>75601.905537555358</v>
      </c>
      <c r="L36" s="342">
        <f t="shared" si="7"/>
        <v>190860.59435111468</v>
      </c>
      <c r="M36" s="129"/>
      <c r="N36" s="130"/>
      <c r="O36" s="127"/>
      <c r="P36" s="127"/>
      <c r="Q36" s="131"/>
    </row>
    <row r="37" spans="1:17" s="126" customFormat="1" x14ac:dyDescent="0.25">
      <c r="A37" s="175">
        <f>Données!A37</f>
        <v>5458</v>
      </c>
      <c r="B37" s="353" t="str">
        <f>Données!B37</f>
        <v>Faoug</v>
      </c>
      <c r="C37" s="175">
        <f>Données!AR37</f>
        <v>0</v>
      </c>
      <c r="D37" s="354">
        <f>Données!Z37</f>
        <v>904</v>
      </c>
      <c r="E37" s="128">
        <f>Données!X37</f>
        <v>65</v>
      </c>
      <c r="F37" s="31">
        <f>VPI!L37</f>
        <v>1914548.15</v>
      </c>
      <c r="G37" s="8">
        <f t="shared" si="3"/>
        <v>58909.173846153841</v>
      </c>
      <c r="H37" s="26">
        <f t="shared" si="4"/>
        <v>80693.909793427316</v>
      </c>
      <c r="I37" s="8">
        <f t="shared" si="5"/>
        <v>58909.173846153841</v>
      </c>
      <c r="J37" s="8">
        <f>VPI!R37</f>
        <v>32630.920512820507</v>
      </c>
      <c r="K37" s="236">
        <f t="shared" si="6"/>
        <v>38509.911145783219</v>
      </c>
      <c r="L37" s="342">
        <f t="shared" si="7"/>
        <v>97419.084991937067</v>
      </c>
      <c r="M37" s="129"/>
      <c r="N37" s="130"/>
      <c r="O37" s="127"/>
      <c r="P37" s="127"/>
      <c r="Q37" s="131"/>
    </row>
    <row r="38" spans="1:17" s="126" customFormat="1" x14ac:dyDescent="0.25">
      <c r="A38" s="175">
        <f>Données!A38</f>
        <v>5464</v>
      </c>
      <c r="B38" s="353" t="str">
        <f>Données!B38</f>
        <v>Vully-les-Lacs</v>
      </c>
      <c r="C38" s="175">
        <f>Données!AR38</f>
        <v>0</v>
      </c>
      <c r="D38" s="354">
        <f>Données!Z38</f>
        <v>3543</v>
      </c>
      <c r="E38" s="128">
        <f>Données!X38</f>
        <v>67</v>
      </c>
      <c r="F38" s="31">
        <f>VPI!L38</f>
        <v>7144846.4700000007</v>
      </c>
      <c r="G38" s="8">
        <f t="shared" si="3"/>
        <v>213278.99910447764</v>
      </c>
      <c r="H38" s="26">
        <f t="shared" si="4"/>
        <v>316259.42743154091</v>
      </c>
      <c r="I38" s="8">
        <f t="shared" si="5"/>
        <v>213278.99910447764</v>
      </c>
      <c r="J38" s="8">
        <f>VPI!R38</f>
        <v>117933.44731343284</v>
      </c>
      <c r="K38" s="236">
        <f t="shared" si="6"/>
        <v>139181.07444660758</v>
      </c>
      <c r="L38" s="342">
        <f t="shared" si="7"/>
        <v>352460.0735510852</v>
      </c>
      <c r="M38" s="129"/>
      <c r="N38" s="130"/>
      <c r="O38" s="127"/>
      <c r="P38" s="127"/>
      <c r="Q38" s="131"/>
    </row>
    <row r="39" spans="1:17" s="126" customFormat="1" x14ac:dyDescent="0.25">
      <c r="A39" s="175">
        <f>Données!A39</f>
        <v>5471</v>
      </c>
      <c r="B39" s="353" t="str">
        <f>Données!B39</f>
        <v>Bettens</v>
      </c>
      <c r="C39" s="175">
        <f>Données!AR39</f>
        <v>0</v>
      </c>
      <c r="D39" s="354">
        <f>Données!Z39</f>
        <v>650</v>
      </c>
      <c r="E39" s="128">
        <f>Données!X39</f>
        <v>70</v>
      </c>
      <c r="F39" s="31">
        <f>VPI!L39</f>
        <v>1447047.48</v>
      </c>
      <c r="G39" s="8">
        <f t="shared" si="3"/>
        <v>41344.213714285717</v>
      </c>
      <c r="H39" s="26">
        <f t="shared" si="4"/>
        <v>58021.063457663455</v>
      </c>
      <c r="I39" s="8">
        <f t="shared" si="5"/>
        <v>41344.213714285717</v>
      </c>
      <c r="J39" s="8">
        <f>VPI!R39</f>
        <v>22692.287412698413</v>
      </c>
      <c r="K39" s="236">
        <f t="shared" si="6"/>
        <v>26780.671774620918</v>
      </c>
      <c r="L39" s="342">
        <f t="shared" si="7"/>
        <v>68124.885488906642</v>
      </c>
      <c r="M39" s="129"/>
      <c r="N39" s="130"/>
      <c r="O39" s="127"/>
      <c r="P39" s="127"/>
      <c r="Q39" s="131"/>
    </row>
    <row r="40" spans="1:17" s="126" customFormat="1" x14ac:dyDescent="0.25">
      <c r="A40" s="175">
        <f>Données!A40</f>
        <v>5472</v>
      </c>
      <c r="B40" s="353" t="str">
        <f>Données!B40</f>
        <v>Bournens</v>
      </c>
      <c r="C40" s="175">
        <f>Données!AR40</f>
        <v>0</v>
      </c>
      <c r="D40" s="354">
        <f>Données!Z40</f>
        <v>514</v>
      </c>
      <c r="E40" s="128">
        <f>Données!X40</f>
        <v>68</v>
      </c>
      <c r="F40" s="31">
        <f>VPI!L40</f>
        <v>1241860.04</v>
      </c>
      <c r="G40" s="8">
        <f t="shared" si="3"/>
        <v>36525.295294117648</v>
      </c>
      <c r="H40" s="26">
        <f t="shared" si="4"/>
        <v>45881.271718829252</v>
      </c>
      <c r="I40" s="8">
        <f t="shared" si="5"/>
        <v>36525.295294117648</v>
      </c>
      <c r="J40" s="8">
        <f>VPI!R40</f>
        <v>19974.836617647059</v>
      </c>
      <c r="K40" s="236">
        <f t="shared" si="6"/>
        <v>23573.628056091748</v>
      </c>
      <c r="L40" s="342">
        <f t="shared" si="7"/>
        <v>60098.923350209399</v>
      </c>
      <c r="M40" s="129"/>
      <c r="N40" s="130"/>
      <c r="O40" s="127"/>
      <c r="P40" s="127"/>
      <c r="Q40" s="131"/>
    </row>
    <row r="41" spans="1:17" s="126" customFormat="1" x14ac:dyDescent="0.25">
      <c r="A41" s="175">
        <f>Données!A41</f>
        <v>5473</v>
      </c>
      <c r="B41" s="353" t="str">
        <f>Données!B41</f>
        <v>Boussens</v>
      </c>
      <c r="C41" s="175">
        <f>Données!AR41</f>
        <v>0</v>
      </c>
      <c r="D41" s="354">
        <f>Données!Z41</f>
        <v>1010</v>
      </c>
      <c r="E41" s="128">
        <f>Données!X41</f>
        <v>66</v>
      </c>
      <c r="F41" s="31">
        <f>VPI!L41</f>
        <v>2570632.71</v>
      </c>
      <c r="G41" s="8">
        <f t="shared" si="3"/>
        <v>77897.960909090907</v>
      </c>
      <c r="H41" s="26">
        <f t="shared" si="4"/>
        <v>90155.806295753981</v>
      </c>
      <c r="I41" s="8">
        <f t="shared" si="5"/>
        <v>77897.960909090907</v>
      </c>
      <c r="J41" s="8">
        <f>VPI!R41</f>
        <v>42017.076666666668</v>
      </c>
      <c r="K41" s="236">
        <f t="shared" si="6"/>
        <v>49587.135870199018</v>
      </c>
      <c r="L41" s="342">
        <f t="shared" si="7"/>
        <v>127485.09677928992</v>
      </c>
      <c r="M41" s="129"/>
      <c r="N41" s="130"/>
      <c r="O41" s="127"/>
      <c r="P41" s="127"/>
      <c r="Q41" s="131"/>
    </row>
    <row r="42" spans="1:17" s="126" customFormat="1" x14ac:dyDescent="0.25">
      <c r="A42" s="175">
        <f>Données!A42</f>
        <v>5474</v>
      </c>
      <c r="B42" s="353" t="str">
        <f>Données!B42</f>
        <v>La Chaux (Cossonay)</v>
      </c>
      <c r="C42" s="175">
        <f>Données!AR42</f>
        <v>0</v>
      </c>
      <c r="D42" s="354">
        <f>Données!Z42</f>
        <v>412</v>
      </c>
      <c r="E42" s="128">
        <f>Données!X42</f>
        <v>76</v>
      </c>
      <c r="F42" s="31">
        <f>VPI!L42</f>
        <v>978949.78999999992</v>
      </c>
      <c r="G42" s="8">
        <f t="shared" si="3"/>
        <v>25761.836578947365</v>
      </c>
      <c r="H42" s="26">
        <f t="shared" si="4"/>
        <v>36776.4279147036</v>
      </c>
      <c r="I42" s="8">
        <f t="shared" si="5"/>
        <v>25761.836578947365</v>
      </c>
      <c r="J42" s="8">
        <f>VPI!R42</f>
        <v>13862.516425438596</v>
      </c>
      <c r="K42" s="236">
        <f t="shared" si="6"/>
        <v>16360.074046665533</v>
      </c>
      <c r="L42" s="342">
        <f t="shared" si="7"/>
        <v>42121.910625612902</v>
      </c>
      <c r="M42" s="129"/>
      <c r="N42" s="130"/>
      <c r="O42" s="127"/>
      <c r="P42" s="127"/>
      <c r="Q42" s="131"/>
    </row>
    <row r="43" spans="1:17" s="126" customFormat="1" x14ac:dyDescent="0.25">
      <c r="A43" s="175">
        <f>Données!A43</f>
        <v>5475</v>
      </c>
      <c r="B43" s="353" t="str">
        <f>Données!B43</f>
        <v>Chavannes-le-Veyron</v>
      </c>
      <c r="C43" s="175">
        <f>Données!AR43</f>
        <v>0</v>
      </c>
      <c r="D43" s="354">
        <f>Données!Z43</f>
        <v>163</v>
      </c>
      <c r="E43" s="128">
        <f>Données!X43</f>
        <v>75</v>
      </c>
      <c r="F43" s="31">
        <f>VPI!L43</f>
        <v>296665.06000000006</v>
      </c>
      <c r="G43" s="8">
        <f t="shared" si="3"/>
        <v>7911.068266666668</v>
      </c>
      <c r="H43" s="26">
        <f t="shared" si="4"/>
        <v>14549.897451690989</v>
      </c>
      <c r="I43" s="8">
        <f t="shared" si="5"/>
        <v>7911.068266666668</v>
      </c>
      <c r="J43" s="8">
        <f>VPI!R43</f>
        <v>4297.2048000000004</v>
      </c>
      <c r="K43" s="236">
        <f t="shared" si="6"/>
        <v>5071.4160808983315</v>
      </c>
      <c r="L43" s="342">
        <f t="shared" si="7"/>
        <v>12982.484347565</v>
      </c>
      <c r="M43" s="129"/>
      <c r="N43" s="130"/>
      <c r="O43" s="127"/>
      <c r="P43" s="127"/>
      <c r="Q43" s="131"/>
    </row>
    <row r="44" spans="1:17" s="126" customFormat="1" x14ac:dyDescent="0.25">
      <c r="A44" s="175">
        <f>Données!A44</f>
        <v>5476</v>
      </c>
      <c r="B44" s="353" t="str">
        <f>Données!B44</f>
        <v>Chevilly</v>
      </c>
      <c r="C44" s="175">
        <f>Données!AR44</f>
        <v>0</v>
      </c>
      <c r="D44" s="354">
        <f>Données!Z44</f>
        <v>331</v>
      </c>
      <c r="E44" s="128">
        <f>Données!X44</f>
        <v>72.5</v>
      </c>
      <c r="F44" s="31">
        <f>VPI!L44</f>
        <v>920750.04</v>
      </c>
      <c r="G44" s="8">
        <f t="shared" si="3"/>
        <v>25400.001103448278</v>
      </c>
      <c r="H44" s="26">
        <f t="shared" si="4"/>
        <v>29546.110776133235</v>
      </c>
      <c r="I44" s="8">
        <f t="shared" si="5"/>
        <v>25400.001103448278</v>
      </c>
      <c r="J44" s="8">
        <f>VPI!R44</f>
        <v>13558.452965517243</v>
      </c>
      <c r="K44" s="236">
        <f t="shared" si="6"/>
        <v>16001.228612941095</v>
      </c>
      <c r="L44" s="342">
        <f t="shared" si="7"/>
        <v>41401.229716389375</v>
      </c>
      <c r="M44" s="129"/>
      <c r="N44" s="130"/>
      <c r="O44" s="127"/>
      <c r="P44" s="127"/>
      <c r="Q44" s="131"/>
    </row>
    <row r="45" spans="1:17" s="126" customFormat="1" x14ac:dyDescent="0.25">
      <c r="A45" s="175">
        <f>Données!A45</f>
        <v>5477</v>
      </c>
      <c r="B45" s="353" t="str">
        <f>Données!B45</f>
        <v>Cossonay</v>
      </c>
      <c r="C45" s="175">
        <f>Données!AR45</f>
        <v>0</v>
      </c>
      <c r="D45" s="354">
        <f>Données!Z45</f>
        <v>4390</v>
      </c>
      <c r="E45" s="128">
        <f>Données!X45</f>
        <v>68</v>
      </c>
      <c r="F45" s="31">
        <f>VPI!L45</f>
        <v>9498166.1599999983</v>
      </c>
      <c r="G45" s="8">
        <f t="shared" si="3"/>
        <v>279357.82823529409</v>
      </c>
      <c r="H45" s="26">
        <f t="shared" si="4"/>
        <v>391865.33627560391</v>
      </c>
      <c r="I45" s="8">
        <f t="shared" si="5"/>
        <v>279357.82823529409</v>
      </c>
      <c r="J45" s="8">
        <f>VPI!R45</f>
        <v>151490.5288235294</v>
      </c>
      <c r="K45" s="236">
        <f t="shared" si="6"/>
        <v>178784.00954486488</v>
      </c>
      <c r="L45" s="342">
        <f t="shared" si="7"/>
        <v>458141.83778015897</v>
      </c>
      <c r="M45" s="129"/>
      <c r="N45" s="130"/>
      <c r="O45" s="127"/>
      <c r="P45" s="127"/>
      <c r="Q45" s="131"/>
    </row>
    <row r="46" spans="1:17" s="126" customFormat="1" x14ac:dyDescent="0.25">
      <c r="A46" s="175">
        <f>Données!A46</f>
        <v>5479</v>
      </c>
      <c r="B46" s="353" t="str">
        <f>Données!B46</f>
        <v>Cuarnens</v>
      </c>
      <c r="C46" s="175">
        <f>Données!AR46</f>
        <v>0</v>
      </c>
      <c r="D46" s="354">
        <f>Données!Z46</f>
        <v>545</v>
      </c>
      <c r="E46" s="128">
        <f>Données!X46</f>
        <v>77</v>
      </c>
      <c r="F46" s="31">
        <f>VPI!L46</f>
        <v>1005507.51</v>
      </c>
      <c r="G46" s="8">
        <f t="shared" si="3"/>
        <v>26117.078181818182</v>
      </c>
      <c r="H46" s="26">
        <f t="shared" si="4"/>
        <v>48648.430129887049</v>
      </c>
      <c r="I46" s="8">
        <f t="shared" si="5"/>
        <v>26117.078181818182</v>
      </c>
      <c r="J46" s="8">
        <f>VPI!R46</f>
        <v>14331.337792207793</v>
      </c>
      <c r="K46" s="236">
        <f t="shared" si="6"/>
        <v>16913.3612017255</v>
      </c>
      <c r="L46" s="342">
        <f t="shared" si="7"/>
        <v>43030.439383543679</v>
      </c>
      <c r="M46" s="129"/>
      <c r="N46" s="130"/>
      <c r="O46" s="127"/>
      <c r="P46" s="127"/>
      <c r="Q46" s="131"/>
    </row>
    <row r="47" spans="1:17" s="126" customFormat="1" x14ac:dyDescent="0.25">
      <c r="A47" s="175">
        <f>Données!A47</f>
        <v>5480</v>
      </c>
      <c r="B47" s="353" t="str">
        <f>Données!B47</f>
        <v>Daillens</v>
      </c>
      <c r="C47" s="175">
        <f>Données!AR47</f>
        <v>0</v>
      </c>
      <c r="D47" s="354">
        <f>Données!Z47</f>
        <v>1057</v>
      </c>
      <c r="E47" s="128">
        <f>Données!X47</f>
        <v>66</v>
      </c>
      <c r="F47" s="31">
        <f>VPI!L47</f>
        <v>2475024.7399999998</v>
      </c>
      <c r="G47" s="8">
        <f t="shared" si="3"/>
        <v>75000.749696969695</v>
      </c>
      <c r="H47" s="26">
        <f t="shared" si="4"/>
        <v>94351.175499615798</v>
      </c>
      <c r="I47" s="8">
        <f t="shared" si="5"/>
        <v>75000.749696969695</v>
      </c>
      <c r="J47" s="8">
        <f>VPI!R47</f>
        <v>42720.265505050505</v>
      </c>
      <c r="K47" s="236">
        <f t="shared" si="6"/>
        <v>50417.015605716399</v>
      </c>
      <c r="L47" s="342">
        <f t="shared" si="7"/>
        <v>125417.76530268609</v>
      </c>
      <c r="M47" s="129"/>
      <c r="N47" s="130"/>
      <c r="O47" s="127"/>
      <c r="P47" s="127"/>
      <c r="Q47" s="131"/>
    </row>
    <row r="48" spans="1:17" s="126" customFormat="1" x14ac:dyDescent="0.25">
      <c r="A48" s="175">
        <f>Données!A48</f>
        <v>5481</v>
      </c>
      <c r="B48" s="353" t="str">
        <f>Données!B48</f>
        <v>Dizy</v>
      </c>
      <c r="C48" s="175">
        <f>Données!AR48</f>
        <v>0</v>
      </c>
      <c r="D48" s="354">
        <f>Données!Z48</f>
        <v>232</v>
      </c>
      <c r="E48" s="128">
        <f>Données!X48</f>
        <v>75</v>
      </c>
      <c r="F48" s="31">
        <f>VPI!L48</f>
        <v>602287.52</v>
      </c>
      <c r="G48" s="8">
        <f t="shared" si="3"/>
        <v>16061.000533333334</v>
      </c>
      <c r="H48" s="26">
        <f t="shared" si="4"/>
        <v>20709.05649565834</v>
      </c>
      <c r="I48" s="8">
        <f t="shared" si="5"/>
        <v>16061.000533333334</v>
      </c>
      <c r="J48" s="8">
        <f>VPI!R48</f>
        <v>8552.7156000000014</v>
      </c>
      <c r="K48" s="236">
        <f t="shared" si="6"/>
        <v>10093.626310105125</v>
      </c>
      <c r="L48" s="342">
        <f t="shared" si="7"/>
        <v>26154.626843438458</v>
      </c>
      <c r="M48" s="129"/>
      <c r="N48" s="130"/>
      <c r="O48" s="127"/>
      <c r="P48" s="127"/>
      <c r="Q48" s="131"/>
    </row>
    <row r="49" spans="1:17" s="126" customFormat="1" x14ac:dyDescent="0.25">
      <c r="A49" s="175">
        <f>Données!A49</f>
        <v>5482</v>
      </c>
      <c r="B49" s="353" t="str">
        <f>Données!B49</f>
        <v>Eclépens</v>
      </c>
      <c r="C49" s="175">
        <f>Données!AR49</f>
        <v>0</v>
      </c>
      <c r="D49" s="354">
        <f>Données!Z49</f>
        <v>1199</v>
      </c>
      <c r="E49" s="128">
        <f>Données!X49</f>
        <v>46</v>
      </c>
      <c r="F49" s="31">
        <f>VPI!L49</f>
        <v>1759693.6300000001</v>
      </c>
      <c r="G49" s="8">
        <f t="shared" si="3"/>
        <v>76508.418695652173</v>
      </c>
      <c r="H49" s="26">
        <f t="shared" si="4"/>
        <v>107026.54628575151</v>
      </c>
      <c r="I49" s="8">
        <f t="shared" si="5"/>
        <v>76508.418695652173</v>
      </c>
      <c r="J49" s="8">
        <f>VPI!R49</f>
        <v>48314.544130434791</v>
      </c>
      <c r="K49" s="236">
        <f t="shared" si="6"/>
        <v>57019.194441083906</v>
      </c>
      <c r="L49" s="342">
        <f t="shared" si="7"/>
        <v>133527.61313673609</v>
      </c>
      <c r="M49" s="129"/>
      <c r="N49" s="130"/>
      <c r="O49" s="127"/>
      <c r="P49" s="127"/>
      <c r="Q49" s="131"/>
    </row>
    <row r="50" spans="1:17" s="126" customFormat="1" x14ac:dyDescent="0.25">
      <c r="A50" s="175">
        <f>Données!A50</f>
        <v>5483</v>
      </c>
      <c r="B50" s="353" t="str">
        <f>Données!B50</f>
        <v>Ferreyres</v>
      </c>
      <c r="C50" s="175">
        <f>Données!AR50</f>
        <v>0</v>
      </c>
      <c r="D50" s="354">
        <f>Données!Z50</f>
        <v>308</v>
      </c>
      <c r="E50" s="128">
        <f>Données!X50</f>
        <v>76</v>
      </c>
      <c r="F50" s="31">
        <f>VPI!L50</f>
        <v>721369.63</v>
      </c>
      <c r="G50" s="8">
        <f t="shared" si="3"/>
        <v>18983.411315789475</v>
      </c>
      <c r="H50" s="26">
        <f t="shared" si="4"/>
        <v>27493.057761477452</v>
      </c>
      <c r="I50" s="8">
        <f t="shared" si="5"/>
        <v>18983.411315789475</v>
      </c>
      <c r="J50" s="8">
        <f>VPI!R50</f>
        <v>10284.283289473684</v>
      </c>
      <c r="K50" s="236">
        <f t="shared" si="6"/>
        <v>12137.164059472061</v>
      </c>
      <c r="L50" s="342">
        <f t="shared" si="7"/>
        <v>31120.575375261535</v>
      </c>
      <c r="M50" s="129"/>
      <c r="N50" s="130"/>
      <c r="O50" s="127"/>
      <c r="P50" s="127"/>
      <c r="Q50" s="131"/>
    </row>
    <row r="51" spans="1:17" s="126" customFormat="1" x14ac:dyDescent="0.25">
      <c r="A51" s="175">
        <f>Données!A51</f>
        <v>5484</v>
      </c>
      <c r="B51" s="353" t="str">
        <f>Données!B51</f>
        <v>Gollion</v>
      </c>
      <c r="C51" s="175">
        <f>Données!AR51</f>
        <v>0</v>
      </c>
      <c r="D51" s="354">
        <f>Données!Z51</f>
        <v>1037</v>
      </c>
      <c r="E51" s="128">
        <f>Données!X51</f>
        <v>74</v>
      </c>
      <c r="F51" s="31">
        <f>VPI!L51</f>
        <v>2209434.7000000002</v>
      </c>
      <c r="G51" s="8">
        <f t="shared" si="3"/>
        <v>59714.451351351359</v>
      </c>
      <c r="H51" s="26">
        <f t="shared" si="4"/>
        <v>92565.912008610772</v>
      </c>
      <c r="I51" s="8">
        <f t="shared" si="5"/>
        <v>59714.451351351359</v>
      </c>
      <c r="J51" s="8">
        <f>VPI!R51</f>
        <v>32601.670945945945</v>
      </c>
      <c r="K51" s="236">
        <f t="shared" si="6"/>
        <v>38475.391794085815</v>
      </c>
      <c r="L51" s="342">
        <f t="shared" si="7"/>
        <v>98189.843145437175</v>
      </c>
      <c r="M51" s="129"/>
      <c r="N51" s="130"/>
      <c r="O51" s="127"/>
      <c r="P51" s="127"/>
      <c r="Q51" s="131"/>
    </row>
    <row r="52" spans="1:17" s="126" customFormat="1" x14ac:dyDescent="0.25">
      <c r="A52" s="175">
        <f>Données!A52</f>
        <v>5485</v>
      </c>
      <c r="B52" s="353" t="str">
        <f>Données!B52</f>
        <v>Grancy</v>
      </c>
      <c r="C52" s="175">
        <f>Données!AR52</f>
        <v>0</v>
      </c>
      <c r="D52" s="354">
        <f>Données!Z52</f>
        <v>490</v>
      </c>
      <c r="E52" s="128">
        <f>Données!X52</f>
        <v>70</v>
      </c>
      <c r="F52" s="31">
        <f>VPI!L52</f>
        <v>1235952.73</v>
      </c>
      <c r="G52" s="8">
        <f t="shared" si="3"/>
        <v>35312.935142857139</v>
      </c>
      <c r="H52" s="26">
        <f t="shared" si="4"/>
        <v>43738.955529623214</v>
      </c>
      <c r="I52" s="8">
        <f t="shared" si="5"/>
        <v>35312.935142857139</v>
      </c>
      <c r="J52" s="8">
        <f>VPI!R52</f>
        <v>18961.380428571429</v>
      </c>
      <c r="K52" s="236">
        <f t="shared" si="6"/>
        <v>22377.581264334443</v>
      </c>
      <c r="L52" s="342">
        <f t="shared" si="7"/>
        <v>57690.516407191579</v>
      </c>
      <c r="M52" s="129"/>
      <c r="N52" s="130"/>
      <c r="O52" s="127"/>
      <c r="P52" s="127"/>
      <c r="Q52" s="131"/>
    </row>
    <row r="53" spans="1:17" s="126" customFormat="1" x14ac:dyDescent="0.25">
      <c r="A53" s="175">
        <f>Données!A53</f>
        <v>5486</v>
      </c>
      <c r="B53" s="353" t="str">
        <f>Données!B53</f>
        <v>L'Isle</v>
      </c>
      <c r="C53" s="175">
        <f>Données!AR53</f>
        <v>0</v>
      </c>
      <c r="D53" s="354">
        <f>Données!Z53</f>
        <v>1095</v>
      </c>
      <c r="E53" s="128">
        <f>Données!X53</f>
        <v>75</v>
      </c>
      <c r="F53" s="31">
        <f>VPI!L53</f>
        <v>2391361.8600000003</v>
      </c>
      <c r="G53" s="8">
        <f t="shared" si="3"/>
        <v>63769.649600000012</v>
      </c>
      <c r="H53" s="26">
        <f t="shared" si="4"/>
        <v>97743.176132525346</v>
      </c>
      <c r="I53" s="8">
        <f t="shared" si="5"/>
        <v>63769.649600000012</v>
      </c>
      <c r="J53" s="8">
        <f>VPI!R53</f>
        <v>34756.215466666676</v>
      </c>
      <c r="K53" s="236">
        <f t="shared" si="6"/>
        <v>41018.112524872144</v>
      </c>
      <c r="L53" s="342">
        <f t="shared" si="7"/>
        <v>104787.76212487216</v>
      </c>
      <c r="M53" s="129"/>
      <c r="N53" s="130"/>
      <c r="O53" s="127"/>
      <c r="P53" s="127"/>
      <c r="Q53" s="131"/>
    </row>
    <row r="54" spans="1:17" s="126" customFormat="1" x14ac:dyDescent="0.25">
      <c r="A54" s="175">
        <f>Données!A54</f>
        <v>5487</v>
      </c>
      <c r="B54" s="353" t="str">
        <f>Données!B54</f>
        <v>Lussery-Villars</v>
      </c>
      <c r="C54" s="175">
        <f>Données!AR54</f>
        <v>0</v>
      </c>
      <c r="D54" s="354">
        <f>Données!Z54</f>
        <v>482</v>
      </c>
      <c r="E54" s="128">
        <f>Données!X54</f>
        <v>75</v>
      </c>
      <c r="F54" s="31">
        <f>VPI!L54</f>
        <v>819547.89</v>
      </c>
      <c r="G54" s="8">
        <f t="shared" si="3"/>
        <v>21854.610400000001</v>
      </c>
      <c r="H54" s="26">
        <f t="shared" si="4"/>
        <v>43024.850133221204</v>
      </c>
      <c r="I54" s="8">
        <f t="shared" si="5"/>
        <v>21854.610400000001</v>
      </c>
      <c r="J54" s="8">
        <f>VPI!R54</f>
        <v>12042.619866666666</v>
      </c>
      <c r="K54" s="236">
        <f t="shared" si="6"/>
        <v>14212.293546716472</v>
      </c>
      <c r="L54" s="342">
        <f t="shared" si="7"/>
        <v>36066.903946716469</v>
      </c>
      <c r="M54" s="129"/>
      <c r="N54" s="130"/>
      <c r="O54" s="127"/>
      <c r="P54" s="127"/>
      <c r="Q54" s="131"/>
    </row>
    <row r="55" spans="1:17" s="126" customFormat="1" x14ac:dyDescent="0.25">
      <c r="A55" s="175">
        <f>Données!A55</f>
        <v>5488</v>
      </c>
      <c r="B55" s="353" t="str">
        <f>Données!B55</f>
        <v>Mauraz</v>
      </c>
      <c r="C55" s="175">
        <f>Données!AR55</f>
        <v>0</v>
      </c>
      <c r="D55" s="354">
        <f>Données!Z55</f>
        <v>65</v>
      </c>
      <c r="E55" s="128">
        <f>Données!X55</f>
        <v>77</v>
      </c>
      <c r="F55" s="31">
        <f>VPI!L55</f>
        <v>155146.68000000002</v>
      </c>
      <c r="G55" s="8">
        <f t="shared" si="3"/>
        <v>4029.7838961038965</v>
      </c>
      <c r="H55" s="26">
        <f t="shared" si="4"/>
        <v>5802.1063457663449</v>
      </c>
      <c r="I55" s="8">
        <f t="shared" si="5"/>
        <v>4029.7838961038965</v>
      </c>
      <c r="J55" s="8">
        <f>VPI!R55</f>
        <v>2131.6062337662343</v>
      </c>
      <c r="K55" s="236">
        <f t="shared" si="6"/>
        <v>2515.6497386545802</v>
      </c>
      <c r="L55" s="342">
        <f t="shared" si="7"/>
        <v>6545.4336347584767</v>
      </c>
      <c r="M55" s="129"/>
      <c r="N55" s="130"/>
      <c r="O55" s="127"/>
      <c r="P55" s="127"/>
      <c r="Q55" s="131"/>
    </row>
    <row r="56" spans="1:17" s="126" customFormat="1" x14ac:dyDescent="0.25">
      <c r="A56" s="175">
        <f>Données!A56</f>
        <v>5489</v>
      </c>
      <c r="B56" s="353" t="str">
        <f>Données!B56</f>
        <v>Mex</v>
      </c>
      <c r="C56" s="175">
        <f>Données!AR56</f>
        <v>0</v>
      </c>
      <c r="D56" s="354">
        <f>Données!Z56</f>
        <v>817</v>
      </c>
      <c r="E56" s="128">
        <f>Données!X56</f>
        <v>59.5</v>
      </c>
      <c r="F56" s="31">
        <f>VPI!L56</f>
        <v>3303697.5000000005</v>
      </c>
      <c r="G56" s="8">
        <f t="shared" si="3"/>
        <v>111048.65546218489</v>
      </c>
      <c r="H56" s="26">
        <f t="shared" si="4"/>
        <v>72928.013607555447</v>
      </c>
      <c r="I56" s="8">
        <f t="shared" si="5"/>
        <v>72928.013607555447</v>
      </c>
      <c r="J56" s="8">
        <f>VPI!R56</f>
        <v>60740.368067226897</v>
      </c>
      <c r="K56" s="236">
        <f t="shared" si="6"/>
        <v>71683.732498813639</v>
      </c>
      <c r="L56" s="342">
        <f t="shared" si="7"/>
        <v>144611.74610636907</v>
      </c>
      <c r="M56" s="129"/>
      <c r="N56" s="130"/>
      <c r="O56" s="127"/>
      <c r="P56" s="127"/>
      <c r="Q56" s="131"/>
    </row>
    <row r="57" spans="1:17" s="126" customFormat="1" x14ac:dyDescent="0.25">
      <c r="A57" s="175">
        <f>Données!A57</f>
        <v>5490</v>
      </c>
      <c r="B57" s="353" t="str">
        <f>Données!B57</f>
        <v>Moiry</v>
      </c>
      <c r="C57" s="175">
        <f>Données!AR57</f>
        <v>0</v>
      </c>
      <c r="D57" s="354">
        <f>Données!Z57</f>
        <v>296</v>
      </c>
      <c r="E57" s="128">
        <f>Données!X57</f>
        <v>77</v>
      </c>
      <c r="F57" s="31">
        <f>VPI!L57</f>
        <v>603537.33000000007</v>
      </c>
      <c r="G57" s="8">
        <f t="shared" si="3"/>
        <v>15676.294285714288</v>
      </c>
      <c r="H57" s="26">
        <f t="shared" si="4"/>
        <v>26421.899666874433</v>
      </c>
      <c r="I57" s="8">
        <f t="shared" si="5"/>
        <v>15676.294285714288</v>
      </c>
      <c r="J57" s="8">
        <f>VPI!R57</f>
        <v>8460.9523376623383</v>
      </c>
      <c r="K57" s="236">
        <f t="shared" si="6"/>
        <v>9985.3304047633737</v>
      </c>
      <c r="L57" s="342">
        <f t="shared" si="7"/>
        <v>25661.624690477664</v>
      </c>
      <c r="M57" s="129"/>
      <c r="N57" s="130"/>
      <c r="O57" s="127"/>
      <c r="P57" s="127"/>
      <c r="Q57" s="131"/>
    </row>
    <row r="58" spans="1:17" s="126" customFormat="1" x14ac:dyDescent="0.25">
      <c r="A58" s="175">
        <f>Données!A58</f>
        <v>5491</v>
      </c>
      <c r="B58" s="353" t="str">
        <f>Données!B58</f>
        <v>Mont-la-Ville</v>
      </c>
      <c r="C58" s="175">
        <f>Données!AR58</f>
        <v>0</v>
      </c>
      <c r="D58" s="354">
        <f>Données!Z58</f>
        <v>502</v>
      </c>
      <c r="E58" s="128">
        <f>Données!X58</f>
        <v>76</v>
      </c>
      <c r="F58" s="31">
        <f>VPI!L58</f>
        <v>955864.46000000008</v>
      </c>
      <c r="G58" s="8">
        <f t="shared" si="3"/>
        <v>25154.327894736845</v>
      </c>
      <c r="H58" s="26">
        <f t="shared" si="4"/>
        <v>44810.113624226236</v>
      </c>
      <c r="I58" s="8">
        <f t="shared" si="5"/>
        <v>25154.327894736845</v>
      </c>
      <c r="J58" s="8">
        <f>VPI!R58</f>
        <v>13842.217236842105</v>
      </c>
      <c r="K58" s="236">
        <f t="shared" si="6"/>
        <v>16336.11762935039</v>
      </c>
      <c r="L58" s="342">
        <f t="shared" si="7"/>
        <v>41490.445524087234</v>
      </c>
      <c r="M58" s="129"/>
      <c r="N58" s="130"/>
      <c r="O58" s="127"/>
      <c r="P58" s="127"/>
      <c r="Q58" s="131"/>
    </row>
    <row r="59" spans="1:17" s="126" customFormat="1" x14ac:dyDescent="0.25">
      <c r="A59" s="175">
        <f>Données!A59</f>
        <v>5492</v>
      </c>
      <c r="B59" s="353" t="str">
        <f>Données!B59</f>
        <v>Montricher</v>
      </c>
      <c r="C59" s="175">
        <f>Données!AR59</f>
        <v>0</v>
      </c>
      <c r="D59" s="354">
        <f>Données!Z59</f>
        <v>979</v>
      </c>
      <c r="E59" s="128">
        <f>Données!X59</f>
        <v>64</v>
      </c>
      <c r="F59" s="31">
        <f>VPI!L59</f>
        <v>9339619.2099999972</v>
      </c>
      <c r="G59" s="8">
        <f t="shared" si="3"/>
        <v>291863.10031249991</v>
      </c>
      <c r="H59" s="26">
        <f t="shared" si="4"/>
        <v>87388.647884696184</v>
      </c>
      <c r="I59" s="8">
        <f t="shared" si="5"/>
        <v>87388.647884696184</v>
      </c>
      <c r="J59" s="8">
        <f>VPI!R59</f>
        <v>149907.58062499994</v>
      </c>
      <c r="K59" s="236">
        <f t="shared" si="6"/>
        <v>176915.86750303078</v>
      </c>
      <c r="L59" s="342">
        <f t="shared" si="7"/>
        <v>264304.51538772695</v>
      </c>
      <c r="M59" s="129"/>
      <c r="N59" s="130"/>
      <c r="O59" s="127"/>
      <c r="P59" s="127"/>
      <c r="Q59" s="131"/>
    </row>
    <row r="60" spans="1:17" s="126" customFormat="1" x14ac:dyDescent="0.25">
      <c r="A60" s="175">
        <f>Données!A60</f>
        <v>5493</v>
      </c>
      <c r="B60" s="353" t="str">
        <f>Données!B60</f>
        <v>Orny</v>
      </c>
      <c r="C60" s="175">
        <f>Données!AR60</f>
        <v>0</v>
      </c>
      <c r="D60" s="354">
        <f>Données!Z60</f>
        <v>484</v>
      </c>
      <c r="E60" s="128">
        <f>Données!X60</f>
        <v>73</v>
      </c>
      <c r="F60" s="31">
        <f>VPI!L60</f>
        <v>984903.59000000008</v>
      </c>
      <c r="G60" s="8">
        <f t="shared" si="3"/>
        <v>26983.660000000003</v>
      </c>
      <c r="H60" s="26">
        <f t="shared" si="4"/>
        <v>43203.376482321706</v>
      </c>
      <c r="I60" s="8">
        <f t="shared" si="5"/>
        <v>26983.660000000003</v>
      </c>
      <c r="J60" s="8">
        <f>VPI!R60</f>
        <v>14635.830579557431</v>
      </c>
      <c r="K60" s="236">
        <f t="shared" si="6"/>
        <v>17272.71331319166</v>
      </c>
      <c r="L60" s="342">
        <f t="shared" si="7"/>
        <v>44256.373313191667</v>
      </c>
      <c r="M60" s="129"/>
      <c r="N60" s="130"/>
      <c r="O60" s="127"/>
      <c r="P60" s="127"/>
      <c r="Q60" s="131"/>
    </row>
    <row r="61" spans="1:17" s="126" customFormat="1" x14ac:dyDescent="0.25">
      <c r="A61" s="175">
        <f>Données!A61</f>
        <v>5495</v>
      </c>
      <c r="B61" s="353" t="str">
        <f>Données!B61</f>
        <v>Penthalaz</v>
      </c>
      <c r="C61" s="175">
        <f>Données!AR61</f>
        <v>0</v>
      </c>
      <c r="D61" s="354">
        <f>Données!Z61</f>
        <v>3216</v>
      </c>
      <c r="E61" s="128">
        <f>Données!X61</f>
        <v>74</v>
      </c>
      <c r="F61" s="31">
        <f>VPI!L61</f>
        <v>7035035.2800000003</v>
      </c>
      <c r="G61" s="8">
        <f t="shared" si="3"/>
        <v>190136.08864864864</v>
      </c>
      <c r="H61" s="26">
        <f t="shared" si="4"/>
        <v>287070.36935360869</v>
      </c>
      <c r="I61" s="8">
        <f t="shared" si="5"/>
        <v>190136.08864864864</v>
      </c>
      <c r="J61" s="8">
        <f>VPI!R61</f>
        <v>103056.57202702702</v>
      </c>
      <c r="K61" s="236">
        <f t="shared" si="6"/>
        <v>121623.88830528207</v>
      </c>
      <c r="L61" s="342">
        <f t="shared" si="7"/>
        <v>311759.97695393069</v>
      </c>
      <c r="M61" s="129"/>
      <c r="N61" s="130"/>
      <c r="O61" s="127"/>
      <c r="P61" s="127"/>
      <c r="Q61" s="131"/>
    </row>
    <row r="62" spans="1:17" s="126" customFormat="1" x14ac:dyDescent="0.25">
      <c r="A62" s="175">
        <f>Données!A62</f>
        <v>5496</v>
      </c>
      <c r="B62" s="353" t="str">
        <f>Données!B62</f>
        <v>Penthaz</v>
      </c>
      <c r="C62" s="175">
        <f>Données!AR62</f>
        <v>0</v>
      </c>
      <c r="D62" s="354">
        <f>Données!Z62</f>
        <v>1923</v>
      </c>
      <c r="E62" s="128">
        <f>Données!X62</f>
        <v>69.5</v>
      </c>
      <c r="F62" s="31">
        <f>VPI!L62</f>
        <v>3890530.75</v>
      </c>
      <c r="G62" s="8">
        <f t="shared" si="3"/>
        <v>111957.71942446043</v>
      </c>
      <c r="H62" s="26">
        <f t="shared" si="4"/>
        <v>171653.08466013355</v>
      </c>
      <c r="I62" s="8">
        <f t="shared" si="5"/>
        <v>111957.71942446043</v>
      </c>
      <c r="J62" s="8">
        <f>VPI!R62</f>
        <v>61651.518705035967</v>
      </c>
      <c r="K62" s="236">
        <f t="shared" si="6"/>
        <v>72759.041731621372</v>
      </c>
      <c r="L62" s="342">
        <f t="shared" si="7"/>
        <v>184716.7611560818</v>
      </c>
      <c r="M62" s="129"/>
      <c r="N62" s="130"/>
      <c r="O62" s="127"/>
      <c r="P62" s="127"/>
      <c r="Q62" s="131"/>
    </row>
    <row r="63" spans="1:17" s="126" customFormat="1" x14ac:dyDescent="0.25">
      <c r="A63" s="175">
        <f>Données!A63</f>
        <v>5497</v>
      </c>
      <c r="B63" s="353" t="str">
        <f>Données!B63</f>
        <v>Pompaples</v>
      </c>
      <c r="C63" s="175">
        <f>Données!AR63</f>
        <v>0</v>
      </c>
      <c r="D63" s="354">
        <f>Données!Z63</f>
        <v>860</v>
      </c>
      <c r="E63" s="128">
        <f>Données!X63</f>
        <v>66</v>
      </c>
      <c r="F63" s="31">
        <f>VPI!L63</f>
        <v>1371589.02</v>
      </c>
      <c r="G63" s="8">
        <f t="shared" si="3"/>
        <v>41563.303636363635</v>
      </c>
      <c r="H63" s="26">
        <f t="shared" si="4"/>
        <v>76766.33011321626</v>
      </c>
      <c r="I63" s="8">
        <f t="shared" si="5"/>
        <v>41563.303636363635</v>
      </c>
      <c r="J63" s="8">
        <f>VPI!R63</f>
        <v>22949.830606060608</v>
      </c>
      <c r="K63" s="236">
        <f t="shared" si="6"/>
        <v>27084.615559739781</v>
      </c>
      <c r="L63" s="342">
        <f t="shared" si="7"/>
        <v>68647.919196103408</v>
      </c>
      <c r="M63" s="129"/>
      <c r="N63" s="130"/>
      <c r="O63" s="127"/>
      <c r="P63" s="127"/>
      <c r="Q63" s="131"/>
    </row>
    <row r="64" spans="1:17" s="126" customFormat="1" x14ac:dyDescent="0.25">
      <c r="A64" s="175">
        <f>Données!A64</f>
        <v>5498</v>
      </c>
      <c r="B64" s="353" t="str">
        <f>Données!B64</f>
        <v>La Sarraz</v>
      </c>
      <c r="C64" s="175">
        <f>Données!AR64</f>
        <v>0</v>
      </c>
      <c r="D64" s="354">
        <f>Données!Z64</f>
        <v>2609</v>
      </c>
      <c r="E64" s="128">
        <f>Données!X64</f>
        <v>66</v>
      </c>
      <c r="F64" s="31">
        <f>VPI!L64</f>
        <v>4423484.4700000007</v>
      </c>
      <c r="G64" s="8">
        <f t="shared" si="3"/>
        <v>134044.98393939395</v>
      </c>
      <c r="H64" s="26">
        <f t="shared" si="4"/>
        <v>232887.62240160606</v>
      </c>
      <c r="I64" s="8">
        <f t="shared" si="5"/>
        <v>134044.98393939395</v>
      </c>
      <c r="J64" s="8">
        <f>VPI!R64</f>
        <v>73743.655606060609</v>
      </c>
      <c r="K64" s="236">
        <f t="shared" si="6"/>
        <v>87029.773611163269</v>
      </c>
      <c r="L64" s="342">
        <f t="shared" si="7"/>
        <v>221074.7575505572</v>
      </c>
      <c r="M64" s="129"/>
      <c r="N64" s="130"/>
      <c r="O64" s="127"/>
      <c r="P64" s="127"/>
      <c r="Q64" s="131"/>
    </row>
    <row r="65" spans="1:17" s="126" customFormat="1" x14ac:dyDescent="0.25">
      <c r="A65" s="175">
        <f>Données!A65</f>
        <v>5499</v>
      </c>
      <c r="B65" s="353" t="str">
        <f>Données!B65</f>
        <v>Senarclens</v>
      </c>
      <c r="C65" s="175">
        <f>Données!AR65</f>
        <v>0</v>
      </c>
      <c r="D65" s="354">
        <f>Données!Z65</f>
        <v>496</v>
      </c>
      <c r="E65" s="128">
        <f>Données!X65</f>
        <v>68.5</v>
      </c>
      <c r="F65" s="31">
        <f>VPI!L65</f>
        <v>1300254.1099999999</v>
      </c>
      <c r="G65" s="8">
        <f t="shared" si="3"/>
        <v>37963.623649635032</v>
      </c>
      <c r="H65" s="26">
        <f t="shared" si="4"/>
        <v>44274.534576924729</v>
      </c>
      <c r="I65" s="8">
        <f t="shared" si="5"/>
        <v>37963.623649635032</v>
      </c>
      <c r="J65" s="8">
        <f>VPI!R65</f>
        <v>20491.103065693427</v>
      </c>
      <c r="K65" s="236">
        <f t="shared" si="6"/>
        <v>24182.908294876415</v>
      </c>
      <c r="L65" s="342">
        <f t="shared" si="7"/>
        <v>62146.531944511444</v>
      </c>
      <c r="M65" s="129"/>
      <c r="N65" s="130"/>
      <c r="O65" s="127"/>
      <c r="P65" s="127"/>
      <c r="Q65" s="131"/>
    </row>
    <row r="66" spans="1:17" s="126" customFormat="1" x14ac:dyDescent="0.25">
      <c r="A66" s="175">
        <f>Données!A66</f>
        <v>5501</v>
      </c>
      <c r="B66" s="353" t="str">
        <f>Données!B66</f>
        <v>Sullens</v>
      </c>
      <c r="C66" s="175">
        <f>Données!AR66</f>
        <v>0</v>
      </c>
      <c r="D66" s="354">
        <f>Données!Z66</f>
        <v>1170</v>
      </c>
      <c r="E66" s="128">
        <f>Données!X66</f>
        <v>64</v>
      </c>
      <c r="F66" s="31">
        <f>VPI!L66</f>
        <v>3193280.6799999997</v>
      </c>
      <c r="G66" s="8">
        <f t="shared" si="3"/>
        <v>99790.021249999991</v>
      </c>
      <c r="H66" s="26">
        <f t="shared" si="4"/>
        <v>104437.91422379421</v>
      </c>
      <c r="I66" s="8">
        <f t="shared" si="5"/>
        <v>99790.021249999991</v>
      </c>
      <c r="J66" s="8">
        <f>VPI!R66</f>
        <v>53840.673124999994</v>
      </c>
      <c r="K66" s="236">
        <f t="shared" si="6"/>
        <v>63540.945382104102</v>
      </c>
      <c r="L66" s="342">
        <f t="shared" si="7"/>
        <v>163330.9666321041</v>
      </c>
      <c r="M66" s="129"/>
      <c r="N66" s="130"/>
      <c r="O66" s="127"/>
      <c r="P66" s="127"/>
      <c r="Q66" s="131"/>
    </row>
    <row r="67" spans="1:17" s="126" customFormat="1" x14ac:dyDescent="0.25">
      <c r="A67" s="175">
        <f>Données!A67</f>
        <v>5503</v>
      </c>
      <c r="B67" s="353" t="str">
        <f>Données!B67</f>
        <v>Vufflens-la-Ville</v>
      </c>
      <c r="C67" s="175">
        <f>Données!AR67</f>
        <v>0</v>
      </c>
      <c r="D67" s="354">
        <f>Données!Z67</f>
        <v>1334</v>
      </c>
      <c r="E67" s="128">
        <f>Données!X67</f>
        <v>67</v>
      </c>
      <c r="F67" s="31">
        <f>VPI!L67</f>
        <v>4490133.4700000007</v>
      </c>
      <c r="G67" s="8">
        <f t="shared" si="3"/>
        <v>134033.83492537314</v>
      </c>
      <c r="H67" s="26">
        <f t="shared" si="4"/>
        <v>119077.07485003545</v>
      </c>
      <c r="I67" s="8">
        <f t="shared" si="5"/>
        <v>119077.07485003545</v>
      </c>
      <c r="J67" s="8">
        <f>VPI!R67</f>
        <v>75222.663980099518</v>
      </c>
      <c r="K67" s="236">
        <f t="shared" si="6"/>
        <v>88775.249379943067</v>
      </c>
      <c r="L67" s="342">
        <f t="shared" si="7"/>
        <v>207852.32422997852</v>
      </c>
      <c r="M67" s="129"/>
      <c r="N67" s="130"/>
      <c r="O67" s="127"/>
      <c r="P67" s="127"/>
      <c r="Q67" s="131"/>
    </row>
    <row r="68" spans="1:17" s="126" customFormat="1" x14ac:dyDescent="0.25">
      <c r="A68" s="175">
        <f>Données!A68</f>
        <v>5511</v>
      </c>
      <c r="B68" s="353" t="str">
        <f>Données!B68</f>
        <v>Assens</v>
      </c>
      <c r="C68" s="175">
        <f>Données!AR68</f>
        <v>0</v>
      </c>
      <c r="D68" s="354">
        <f>Données!Z68</f>
        <v>1669</v>
      </c>
      <c r="E68" s="128">
        <f>Données!X68</f>
        <v>70</v>
      </c>
      <c r="F68" s="31">
        <f>VPI!L68</f>
        <v>4685821.2700000005</v>
      </c>
      <c r="G68" s="8">
        <f t="shared" si="3"/>
        <v>133880.60771428572</v>
      </c>
      <c r="H68" s="26">
        <f t="shared" si="4"/>
        <v>148980.23832436968</v>
      </c>
      <c r="I68" s="8">
        <f t="shared" si="5"/>
        <v>133880.60771428572</v>
      </c>
      <c r="J68" s="8">
        <f>VPI!R68</f>
        <v>72835.778857142868</v>
      </c>
      <c r="K68" s="236">
        <f t="shared" si="6"/>
        <v>85958.328111536364</v>
      </c>
      <c r="L68" s="342">
        <f t="shared" si="7"/>
        <v>219838.93582582209</v>
      </c>
      <c r="M68" s="129"/>
      <c r="N68" s="130"/>
      <c r="O68" s="127"/>
      <c r="P68" s="127"/>
      <c r="Q68" s="131"/>
    </row>
    <row r="69" spans="1:17" s="126" customFormat="1" x14ac:dyDescent="0.25">
      <c r="A69" s="175">
        <f>Données!A69</f>
        <v>5512</v>
      </c>
      <c r="B69" s="353" t="str">
        <f>Données!B69</f>
        <v>Bercher</v>
      </c>
      <c r="C69" s="175">
        <f>Données!AR69</f>
        <v>0</v>
      </c>
      <c r="D69" s="354">
        <f>Données!Z69</f>
        <v>1359</v>
      </c>
      <c r="E69" s="128">
        <f>Données!X69</f>
        <v>79</v>
      </c>
      <c r="F69" s="31">
        <f>VPI!L69</f>
        <v>2974279.63</v>
      </c>
      <c r="G69" s="8">
        <f t="shared" si="3"/>
        <v>75298.218481012649</v>
      </c>
      <c r="H69" s="26">
        <f t="shared" si="4"/>
        <v>121308.65421379174</v>
      </c>
      <c r="I69" s="8">
        <f t="shared" si="5"/>
        <v>75298.218481012649</v>
      </c>
      <c r="J69" s="8">
        <f>VPI!R69</f>
        <v>41198.7282278481</v>
      </c>
      <c r="K69" s="236">
        <f t="shared" si="6"/>
        <v>48621.348660708201</v>
      </c>
      <c r="L69" s="342">
        <f t="shared" si="7"/>
        <v>123919.56714172085</v>
      </c>
      <c r="M69" s="129"/>
      <c r="N69" s="130"/>
      <c r="O69" s="127"/>
      <c r="P69" s="127"/>
      <c r="Q69" s="131"/>
    </row>
    <row r="70" spans="1:17" s="126" customFormat="1" x14ac:dyDescent="0.25">
      <c r="A70" s="175">
        <f>Données!A70</f>
        <v>5514</v>
      </c>
      <c r="B70" s="353" t="str">
        <f>Données!B70</f>
        <v>Bottens</v>
      </c>
      <c r="C70" s="175">
        <f>Données!AR70</f>
        <v>0</v>
      </c>
      <c r="D70" s="354">
        <f>Données!Z70</f>
        <v>1356</v>
      </c>
      <c r="E70" s="128">
        <f>Données!X70</f>
        <v>72.5</v>
      </c>
      <c r="F70" s="31">
        <f>VPI!L70</f>
        <v>3060278.5799999996</v>
      </c>
      <c r="G70" s="8">
        <f t="shared" si="3"/>
        <v>84421.478068965502</v>
      </c>
      <c r="H70" s="26">
        <f t="shared" si="4"/>
        <v>121040.86469014098</v>
      </c>
      <c r="I70" s="8">
        <f t="shared" si="5"/>
        <v>84421.478068965502</v>
      </c>
      <c r="J70" s="8">
        <f>VPI!R70</f>
        <v>45712.235586206894</v>
      </c>
      <c r="K70" s="236">
        <f t="shared" si="6"/>
        <v>53948.037721102475</v>
      </c>
      <c r="L70" s="342">
        <f t="shared" si="7"/>
        <v>138369.51579006796</v>
      </c>
      <c r="M70" s="129"/>
      <c r="N70" s="130"/>
      <c r="O70" s="127"/>
      <c r="P70" s="127"/>
      <c r="Q70" s="131"/>
    </row>
    <row r="71" spans="1:17" s="126" customFormat="1" x14ac:dyDescent="0.25">
      <c r="A71" s="175">
        <f>Données!A71</f>
        <v>5515</v>
      </c>
      <c r="B71" s="353" t="str">
        <f>Données!B71</f>
        <v>Bretigny-sur-Morrens</v>
      </c>
      <c r="C71" s="175">
        <f>Données!AR71</f>
        <v>0</v>
      </c>
      <c r="D71" s="354">
        <f>Données!Z71</f>
        <v>878</v>
      </c>
      <c r="E71" s="128">
        <f>Données!X71</f>
        <v>78</v>
      </c>
      <c r="F71" s="31">
        <f>VPI!L71</f>
        <v>2074313.8800000001</v>
      </c>
      <c r="G71" s="8">
        <f t="shared" ref="G71:G134" si="8">F71/E71*2</f>
        <v>53187.535384615388</v>
      </c>
      <c r="H71" s="26">
        <f t="shared" ref="H71:H134" si="9">+$G$306/$D$306*D71</f>
        <v>78373.067255120783</v>
      </c>
      <c r="I71" s="8">
        <f t="shared" ref="I71:I134" si="10">IF(C71=1,0,IF(H71&gt;G71,G71,H71))</f>
        <v>53187.535384615388</v>
      </c>
      <c r="J71" s="8">
        <f>VPI!R71</f>
        <v>29285.295897435899</v>
      </c>
      <c r="K71" s="236">
        <f t="shared" ref="K71:K134" si="11">+$K$5*J71</f>
        <v>34561.51788439833</v>
      </c>
      <c r="L71" s="342">
        <f t="shared" ref="L71:L134" si="12">+K71+I71</f>
        <v>87749.053269013719</v>
      </c>
      <c r="M71" s="129"/>
      <c r="N71" s="130"/>
      <c r="O71" s="127"/>
      <c r="P71" s="127"/>
      <c r="Q71" s="131"/>
    </row>
    <row r="72" spans="1:17" s="126" customFormat="1" x14ac:dyDescent="0.25">
      <c r="A72" s="175">
        <f>Données!A72</f>
        <v>5516</v>
      </c>
      <c r="B72" s="353" t="str">
        <f>Données!B72</f>
        <v>Cugy</v>
      </c>
      <c r="C72" s="175">
        <f>Données!AR72</f>
        <v>0</v>
      </c>
      <c r="D72" s="354">
        <f>Données!Z72</f>
        <v>2699</v>
      </c>
      <c r="E72" s="128">
        <f>Données!X72</f>
        <v>76</v>
      </c>
      <c r="F72" s="31">
        <f>VPI!L72</f>
        <v>7733575.6499999985</v>
      </c>
      <c r="G72" s="8">
        <f t="shared" si="8"/>
        <v>203515.14868421049</v>
      </c>
      <c r="H72" s="26">
        <f t="shared" si="9"/>
        <v>240921.30811112869</v>
      </c>
      <c r="I72" s="8">
        <f t="shared" si="10"/>
        <v>203515.14868421049</v>
      </c>
      <c r="J72" s="8">
        <f>VPI!R72</f>
        <v>110290.24758771928</v>
      </c>
      <c r="K72" s="236">
        <f t="shared" si="11"/>
        <v>130160.82807657153</v>
      </c>
      <c r="L72" s="342">
        <f t="shared" si="12"/>
        <v>333675.97676078201</v>
      </c>
      <c r="M72" s="129"/>
      <c r="N72" s="130"/>
      <c r="O72" s="127"/>
      <c r="P72" s="127"/>
      <c r="Q72" s="131"/>
    </row>
    <row r="73" spans="1:17" s="126" customFormat="1" x14ac:dyDescent="0.25">
      <c r="A73" s="175">
        <f>Données!A73</f>
        <v>5518</v>
      </c>
      <c r="B73" s="353" t="str">
        <f>Données!B73</f>
        <v>Echallens</v>
      </c>
      <c r="C73" s="175">
        <f>Données!AR73</f>
        <v>0</v>
      </c>
      <c r="D73" s="354">
        <f>Données!Z73</f>
        <v>5817</v>
      </c>
      <c r="E73" s="128">
        <f>Données!X73</f>
        <v>72.5</v>
      </c>
      <c r="F73" s="31">
        <f>VPI!L73</f>
        <v>12797277.230000002</v>
      </c>
      <c r="G73" s="8">
        <f t="shared" si="8"/>
        <v>353028.3373793104</v>
      </c>
      <c r="H73" s="26">
        <f t="shared" si="9"/>
        <v>519243.88635881274</v>
      </c>
      <c r="I73" s="8">
        <f t="shared" si="10"/>
        <v>353028.3373793104</v>
      </c>
      <c r="J73" s="8">
        <f>VPI!R73</f>
        <v>193282.28662068967</v>
      </c>
      <c r="K73" s="236">
        <f t="shared" si="11"/>
        <v>228105.23168943822</v>
      </c>
      <c r="L73" s="342">
        <f t="shared" si="12"/>
        <v>581133.56906874862</v>
      </c>
      <c r="M73" s="129"/>
      <c r="N73" s="130"/>
      <c r="O73" s="127"/>
      <c r="P73" s="127"/>
      <c r="Q73" s="131"/>
    </row>
    <row r="74" spans="1:17" s="126" customFormat="1" x14ac:dyDescent="0.25">
      <c r="A74" s="175">
        <f>Données!A74</f>
        <v>5520</v>
      </c>
      <c r="B74" s="353" t="str">
        <f>Données!B74</f>
        <v>Essertines-sur-Yverdon</v>
      </c>
      <c r="C74" s="175">
        <f>Données!AR74</f>
        <v>0</v>
      </c>
      <c r="D74" s="354">
        <f>Données!Z74</f>
        <v>1081</v>
      </c>
      <c r="E74" s="128">
        <f>Données!X74</f>
        <v>74</v>
      </c>
      <c r="F74" s="31">
        <f>VPI!L74</f>
        <v>2119931.5099999998</v>
      </c>
      <c r="G74" s="8">
        <f t="shared" si="8"/>
        <v>57295.446216216209</v>
      </c>
      <c r="H74" s="26">
        <f t="shared" si="9"/>
        <v>96493.491688821829</v>
      </c>
      <c r="I74" s="8">
        <f t="shared" si="10"/>
        <v>57295.446216216209</v>
      </c>
      <c r="J74" s="8">
        <f>VPI!R74</f>
        <v>31422.035945945943</v>
      </c>
      <c r="K74" s="236">
        <f t="shared" si="11"/>
        <v>37083.226377955194</v>
      </c>
      <c r="L74" s="342">
        <f t="shared" si="12"/>
        <v>94378.672594171396</v>
      </c>
      <c r="M74" s="129"/>
      <c r="N74" s="130"/>
      <c r="O74" s="127"/>
      <c r="P74" s="127"/>
      <c r="Q74" s="131"/>
    </row>
    <row r="75" spans="1:17" s="126" customFormat="1" x14ac:dyDescent="0.25">
      <c r="A75" s="175">
        <f>Données!A75</f>
        <v>5521</v>
      </c>
      <c r="B75" s="353" t="str">
        <f>Données!B75</f>
        <v>Etagnières</v>
      </c>
      <c r="C75" s="175">
        <f>Données!AR75</f>
        <v>0</v>
      </c>
      <c r="D75" s="354">
        <f>Données!Z75</f>
        <v>1151</v>
      </c>
      <c r="E75" s="128">
        <f>Données!X75</f>
        <v>73</v>
      </c>
      <c r="F75" s="31">
        <f>VPI!L75</f>
        <v>3146456.4100000006</v>
      </c>
      <c r="G75" s="8">
        <f t="shared" si="8"/>
        <v>86204.285205479464</v>
      </c>
      <c r="H75" s="26">
        <f t="shared" si="9"/>
        <v>102741.91390733943</v>
      </c>
      <c r="I75" s="8">
        <f t="shared" si="10"/>
        <v>86204.285205479464</v>
      </c>
      <c r="J75" s="8">
        <f>VPI!R75</f>
        <v>47189.665890410972</v>
      </c>
      <c r="K75" s="236">
        <f t="shared" si="11"/>
        <v>55691.651105120633</v>
      </c>
      <c r="L75" s="342">
        <f t="shared" si="12"/>
        <v>141895.93631060008</v>
      </c>
      <c r="M75" s="129"/>
      <c r="N75" s="130"/>
      <c r="O75" s="127"/>
      <c r="P75" s="127"/>
      <c r="Q75" s="131"/>
    </row>
    <row r="76" spans="1:17" s="126" customFormat="1" x14ac:dyDescent="0.25">
      <c r="A76" s="175">
        <f>Données!A76</f>
        <v>5522</v>
      </c>
      <c r="B76" s="353" t="str">
        <f>Données!B76</f>
        <v>Fey</v>
      </c>
      <c r="C76" s="175">
        <f>Données!AR76</f>
        <v>0</v>
      </c>
      <c r="D76" s="354">
        <f>Données!Z76</f>
        <v>736</v>
      </c>
      <c r="E76" s="128">
        <f>Données!X76</f>
        <v>75</v>
      </c>
      <c r="F76" s="31">
        <f>VPI!L76</f>
        <v>1664863.93</v>
      </c>
      <c r="G76" s="8">
        <f t="shared" si="8"/>
        <v>44396.371466666664</v>
      </c>
      <c r="H76" s="213">
        <f t="shared" si="9"/>
        <v>65697.696468985072</v>
      </c>
      <c r="I76" s="8">
        <f t="shared" si="10"/>
        <v>44396.371466666664</v>
      </c>
      <c r="J76" s="8">
        <f>VPI!R76</f>
        <v>24172.463733333334</v>
      </c>
      <c r="K76" s="236">
        <f t="shared" si="11"/>
        <v>28527.525914556918</v>
      </c>
      <c r="L76" s="342">
        <f t="shared" si="12"/>
        <v>72923.897381223578</v>
      </c>
      <c r="M76" s="129"/>
      <c r="N76" s="130"/>
      <c r="O76" s="127"/>
      <c r="P76" s="127"/>
      <c r="Q76" s="131"/>
    </row>
    <row r="77" spans="1:17" s="126" customFormat="1" x14ac:dyDescent="0.25">
      <c r="A77" s="175">
        <f>Données!A77</f>
        <v>5523</v>
      </c>
      <c r="B77" s="353" t="str">
        <f>Données!B77</f>
        <v>Froideville</v>
      </c>
      <c r="C77" s="175">
        <f>Données!AR77</f>
        <v>0</v>
      </c>
      <c r="D77" s="354">
        <f>Données!Z77</f>
        <v>2720</v>
      </c>
      <c r="E77" s="128">
        <f>Données!X77</f>
        <v>72</v>
      </c>
      <c r="F77" s="31">
        <f>VPI!L77</f>
        <v>6055247.1199999992</v>
      </c>
      <c r="G77" s="8">
        <f t="shared" si="8"/>
        <v>168201.30888888886</v>
      </c>
      <c r="H77" s="26">
        <f t="shared" si="9"/>
        <v>242795.83477668397</v>
      </c>
      <c r="I77" s="8">
        <f t="shared" si="10"/>
        <v>168201.30888888886</v>
      </c>
      <c r="J77" s="8">
        <f>VPI!R77</f>
        <v>92231.307222222211</v>
      </c>
      <c r="K77" s="236">
        <f t="shared" si="11"/>
        <v>108848.27611871142</v>
      </c>
      <c r="L77" s="342">
        <f t="shared" si="12"/>
        <v>277049.58500760025</v>
      </c>
      <c r="M77" s="129"/>
      <c r="N77" s="130"/>
      <c r="O77" s="127"/>
      <c r="P77" s="127"/>
      <c r="Q77" s="131"/>
    </row>
    <row r="78" spans="1:17" s="126" customFormat="1" x14ac:dyDescent="0.25">
      <c r="A78" s="175">
        <f>Données!A78</f>
        <v>5527</v>
      </c>
      <c r="B78" s="353" t="str">
        <f>Données!B78</f>
        <v>Morrens</v>
      </c>
      <c r="C78" s="175">
        <f>Données!AR78</f>
        <v>0</v>
      </c>
      <c r="D78" s="354">
        <f>Données!Z78</f>
        <v>1172</v>
      </c>
      <c r="E78" s="128">
        <f>Données!X78</f>
        <v>74</v>
      </c>
      <c r="F78" s="31">
        <f>VPI!L78</f>
        <v>2757521.5200000005</v>
      </c>
      <c r="G78" s="8">
        <f t="shared" si="8"/>
        <v>74527.60864864866</v>
      </c>
      <c r="H78" s="26">
        <f t="shared" si="9"/>
        <v>104616.44057289472</v>
      </c>
      <c r="I78" s="8">
        <f t="shared" si="10"/>
        <v>74527.60864864866</v>
      </c>
      <c r="J78" s="8">
        <f>VPI!R78</f>
        <v>40722.505675675682</v>
      </c>
      <c r="K78" s="236">
        <f t="shared" si="11"/>
        <v>48059.326876413994</v>
      </c>
      <c r="L78" s="342">
        <f t="shared" si="12"/>
        <v>122586.93552506265</v>
      </c>
      <c r="M78" s="129"/>
      <c r="N78" s="130"/>
      <c r="O78" s="127"/>
      <c r="P78" s="127"/>
      <c r="Q78" s="131"/>
    </row>
    <row r="79" spans="1:17" s="126" customFormat="1" x14ac:dyDescent="0.25">
      <c r="A79" s="175">
        <f>Données!A79</f>
        <v>5529</v>
      </c>
      <c r="B79" s="353" t="str">
        <f>Données!B79</f>
        <v>Oulens-sous-Echallens</v>
      </c>
      <c r="C79" s="175">
        <f>Données!AR79</f>
        <v>0</v>
      </c>
      <c r="D79" s="354">
        <f>Données!Z79</f>
        <v>606</v>
      </c>
      <c r="E79" s="128">
        <f>Données!X79</f>
        <v>71</v>
      </c>
      <c r="F79" s="31">
        <f>VPI!L79</f>
        <v>1471375.1</v>
      </c>
      <c r="G79" s="8">
        <f t="shared" si="8"/>
        <v>41447.185915492963</v>
      </c>
      <c r="H79" s="26">
        <f t="shared" si="9"/>
        <v>54093.483777452384</v>
      </c>
      <c r="I79" s="8">
        <f t="shared" si="10"/>
        <v>41447.185915492963</v>
      </c>
      <c r="J79" s="8">
        <f>VPI!R79</f>
        <v>22677.013380281693</v>
      </c>
      <c r="K79" s="236">
        <f t="shared" si="11"/>
        <v>26762.645877037838</v>
      </c>
      <c r="L79" s="342">
        <f t="shared" si="12"/>
        <v>68209.831792530807</v>
      </c>
      <c r="M79" s="129"/>
      <c r="N79" s="130"/>
      <c r="O79" s="127"/>
      <c r="P79" s="127"/>
      <c r="Q79" s="131"/>
    </row>
    <row r="80" spans="1:17" s="126" customFormat="1" x14ac:dyDescent="0.25">
      <c r="A80" s="175">
        <f>Données!A80</f>
        <v>5530</v>
      </c>
      <c r="B80" s="353" t="str">
        <f>Données!B80</f>
        <v>Pailly</v>
      </c>
      <c r="C80" s="175">
        <f>Données!AR80</f>
        <v>0</v>
      </c>
      <c r="D80" s="354">
        <f>Données!Z80</f>
        <v>566</v>
      </c>
      <c r="E80" s="128">
        <f>Données!X80</f>
        <v>76</v>
      </c>
      <c r="F80" s="31">
        <f>VPI!L80</f>
        <v>1433385.0499999998</v>
      </c>
      <c r="G80" s="8">
        <f t="shared" si="8"/>
        <v>37720.659210526312</v>
      </c>
      <c r="H80" s="26">
        <f t="shared" si="9"/>
        <v>50522.956795442326</v>
      </c>
      <c r="I80" s="8">
        <f t="shared" si="10"/>
        <v>37720.659210526312</v>
      </c>
      <c r="J80" s="8">
        <f>VPI!R80</f>
        <v>20112.17390350877</v>
      </c>
      <c r="K80" s="236">
        <f t="shared" si="11"/>
        <v>23735.708885943288</v>
      </c>
      <c r="L80" s="342">
        <f t="shared" si="12"/>
        <v>61456.368096469596</v>
      </c>
      <c r="M80" s="129"/>
      <c r="N80" s="130"/>
      <c r="O80" s="127"/>
      <c r="P80" s="127"/>
      <c r="Q80" s="131"/>
    </row>
    <row r="81" spans="1:17" s="126" customFormat="1" x14ac:dyDescent="0.25">
      <c r="A81" s="175">
        <f>Données!A81</f>
        <v>5531</v>
      </c>
      <c r="B81" s="353" t="str">
        <f>Données!B81</f>
        <v>Penthéréaz</v>
      </c>
      <c r="C81" s="175">
        <f>Données!AR81</f>
        <v>0</v>
      </c>
      <c r="D81" s="354">
        <f>Données!Z81</f>
        <v>433</v>
      </c>
      <c r="E81" s="128">
        <f>Données!X81</f>
        <v>74</v>
      </c>
      <c r="F81" s="31">
        <f>VPI!L81</f>
        <v>1195268.0099999998</v>
      </c>
      <c r="G81" s="8">
        <f t="shared" si="8"/>
        <v>32304.540810810806</v>
      </c>
      <c r="H81" s="26">
        <f t="shared" si="9"/>
        <v>38650.954580258884</v>
      </c>
      <c r="I81" s="8">
        <f t="shared" si="10"/>
        <v>32304.540810810806</v>
      </c>
      <c r="J81" s="8">
        <f>VPI!R81</f>
        <v>17299.306216216217</v>
      </c>
      <c r="K81" s="236">
        <f t="shared" si="11"/>
        <v>20416.057371364612</v>
      </c>
      <c r="L81" s="342">
        <f t="shared" si="12"/>
        <v>52720.598182175418</v>
      </c>
      <c r="M81" s="129"/>
      <c r="N81" s="130"/>
      <c r="O81" s="127"/>
      <c r="P81" s="127"/>
      <c r="Q81" s="131"/>
    </row>
    <row r="82" spans="1:17" s="126" customFormat="1" x14ac:dyDescent="0.25">
      <c r="A82" s="175">
        <f>Données!A82</f>
        <v>5533</v>
      </c>
      <c r="B82" s="353" t="str">
        <f>Données!B82</f>
        <v>Poliez-Pittet</v>
      </c>
      <c r="C82" s="175">
        <f>Données!AR82</f>
        <v>0</v>
      </c>
      <c r="D82" s="354">
        <f>Données!Z82</f>
        <v>847</v>
      </c>
      <c r="E82" s="128">
        <f>Données!X82</f>
        <v>73</v>
      </c>
      <c r="F82" s="31">
        <f>VPI!L82</f>
        <v>1874960.07</v>
      </c>
      <c r="G82" s="8">
        <f t="shared" si="8"/>
        <v>51368.769041095889</v>
      </c>
      <c r="H82" s="26">
        <f t="shared" si="9"/>
        <v>75605.908844062986</v>
      </c>
      <c r="I82" s="8">
        <f t="shared" si="10"/>
        <v>51368.769041095889</v>
      </c>
      <c r="J82" s="8">
        <f>VPI!R82</f>
        <v>28012.381095890411</v>
      </c>
      <c r="K82" s="236">
        <f t="shared" si="11"/>
        <v>33059.266794533753</v>
      </c>
      <c r="L82" s="342">
        <f t="shared" si="12"/>
        <v>84428.035835629649</v>
      </c>
      <c r="M82" s="129"/>
      <c r="N82" s="130"/>
      <c r="O82" s="127"/>
      <c r="P82" s="127"/>
      <c r="Q82" s="131"/>
    </row>
    <row r="83" spans="1:17" s="126" customFormat="1" x14ac:dyDescent="0.25">
      <c r="A83" s="175">
        <f>Données!A83</f>
        <v>5534</v>
      </c>
      <c r="B83" s="353" t="str">
        <f>Données!B83</f>
        <v>Rueyres</v>
      </c>
      <c r="C83" s="175">
        <f>Données!AR83</f>
        <v>0</v>
      </c>
      <c r="D83" s="354">
        <f>Données!Z83</f>
        <v>303</v>
      </c>
      <c r="E83" s="128">
        <f>Données!X83</f>
        <v>73</v>
      </c>
      <c r="F83" s="31">
        <f>VPI!L83</f>
        <v>1012932.74</v>
      </c>
      <c r="G83" s="8">
        <f t="shared" si="8"/>
        <v>27751.58191780822</v>
      </c>
      <c r="H83" s="26">
        <f t="shared" si="9"/>
        <v>27046.741888726192</v>
      </c>
      <c r="I83" s="8">
        <f t="shared" si="10"/>
        <v>27046.741888726192</v>
      </c>
      <c r="J83" s="8">
        <f>VPI!R83</f>
        <v>15042.055228310503</v>
      </c>
      <c r="K83" s="236">
        <f t="shared" si="11"/>
        <v>17752.125934192081</v>
      </c>
      <c r="L83" s="342">
        <f t="shared" si="12"/>
        <v>44798.86782291827</v>
      </c>
      <c r="M83" s="129"/>
      <c r="N83" s="130"/>
      <c r="O83" s="127"/>
      <c r="P83" s="127"/>
      <c r="Q83" s="131"/>
    </row>
    <row r="84" spans="1:17" s="126" customFormat="1" x14ac:dyDescent="0.25">
      <c r="A84" s="175">
        <f>Données!A84</f>
        <v>5535</v>
      </c>
      <c r="B84" s="353" t="str">
        <f>Données!B84</f>
        <v>Saint-Barthélemy</v>
      </c>
      <c r="C84" s="175">
        <f>Données!AR84</f>
        <v>0</v>
      </c>
      <c r="D84" s="354">
        <f>Données!Z84</f>
        <v>814</v>
      </c>
      <c r="E84" s="128">
        <f>Données!X84</f>
        <v>75</v>
      </c>
      <c r="F84" s="31">
        <f>VPI!L84</f>
        <v>1761567.5799999998</v>
      </c>
      <c r="G84" s="8">
        <f t="shared" si="8"/>
        <v>46975.135466666659</v>
      </c>
      <c r="H84" s="26">
        <f t="shared" si="9"/>
        <v>72660.224083904686</v>
      </c>
      <c r="I84" s="8">
        <f t="shared" si="10"/>
        <v>46975.135466666659</v>
      </c>
      <c r="J84" s="8">
        <f>VPI!R84</f>
        <v>25488.94373333333</v>
      </c>
      <c r="K84" s="236">
        <f t="shared" si="11"/>
        <v>30081.191181378974</v>
      </c>
      <c r="L84" s="342">
        <f t="shared" si="12"/>
        <v>77056.326648045637</v>
      </c>
      <c r="M84" s="129"/>
      <c r="N84" s="130"/>
      <c r="O84" s="127"/>
      <c r="P84" s="127"/>
      <c r="Q84" s="131"/>
    </row>
    <row r="85" spans="1:17" s="126" customFormat="1" x14ac:dyDescent="0.25">
      <c r="A85" s="175">
        <f>Données!A85</f>
        <v>5537</v>
      </c>
      <c r="B85" s="353" t="str">
        <f>Données!B85</f>
        <v>Villars-le-Terroir</v>
      </c>
      <c r="C85" s="175">
        <f>Données!AR85</f>
        <v>0</v>
      </c>
      <c r="D85" s="354">
        <f>Données!Z85</f>
        <v>1310</v>
      </c>
      <c r="E85" s="128">
        <f>Données!X85</f>
        <v>76</v>
      </c>
      <c r="F85" s="31">
        <f>VPI!L85</f>
        <v>2702565.8800000004</v>
      </c>
      <c r="G85" s="8">
        <f t="shared" si="8"/>
        <v>71120.154736842116</v>
      </c>
      <c r="H85" s="26">
        <f t="shared" si="9"/>
        <v>116934.75866082942</v>
      </c>
      <c r="I85" s="8">
        <f t="shared" si="10"/>
        <v>71120.154736842116</v>
      </c>
      <c r="J85" s="8">
        <f>VPI!R85</f>
        <v>39164.122763157902</v>
      </c>
      <c r="K85" s="236">
        <f t="shared" si="11"/>
        <v>46220.175956090192</v>
      </c>
      <c r="L85" s="342">
        <f t="shared" si="12"/>
        <v>117340.3306929323</v>
      </c>
      <c r="M85" s="129"/>
      <c r="N85" s="130"/>
      <c r="O85" s="127"/>
      <c r="P85" s="127"/>
      <c r="Q85" s="131"/>
    </row>
    <row r="86" spans="1:17" s="126" customFormat="1" x14ac:dyDescent="0.25">
      <c r="A86" s="175">
        <f>Données!A86</f>
        <v>5539</v>
      </c>
      <c r="B86" s="353" t="str">
        <f>Données!B86</f>
        <v>Vuarrens</v>
      </c>
      <c r="C86" s="175">
        <f>Données!AR86</f>
        <v>0</v>
      </c>
      <c r="D86" s="354">
        <f>Données!Z86</f>
        <v>1106</v>
      </c>
      <c r="E86" s="128">
        <f>Données!X86</f>
        <v>73.5</v>
      </c>
      <c r="F86" s="31">
        <f>VPI!L86</f>
        <v>2323835.4699999997</v>
      </c>
      <c r="G86" s="8">
        <f t="shared" si="8"/>
        <v>63233.618231292508</v>
      </c>
      <c r="H86" s="26">
        <f t="shared" si="9"/>
        <v>98725.071052578118</v>
      </c>
      <c r="I86" s="8">
        <f t="shared" si="10"/>
        <v>63233.618231292508</v>
      </c>
      <c r="J86" s="8">
        <f>VPI!R86</f>
        <v>34442.458945578233</v>
      </c>
      <c r="K86" s="236">
        <f t="shared" si="11"/>
        <v>40647.827667484227</v>
      </c>
      <c r="L86" s="342">
        <f t="shared" si="12"/>
        <v>103881.44589877673</v>
      </c>
      <c r="M86" s="129"/>
      <c r="N86" s="130"/>
      <c r="O86" s="127"/>
      <c r="P86" s="127"/>
      <c r="Q86" s="131"/>
    </row>
    <row r="87" spans="1:17" s="126" customFormat="1" x14ac:dyDescent="0.25">
      <c r="A87" s="175">
        <f>Données!A87</f>
        <v>5540</v>
      </c>
      <c r="B87" s="353" t="str">
        <f>Données!B87</f>
        <v>Montilliez</v>
      </c>
      <c r="C87" s="175">
        <f>Données!AR87</f>
        <v>0</v>
      </c>
      <c r="D87" s="354">
        <f>Données!Z87</f>
        <v>1895</v>
      </c>
      <c r="E87" s="128">
        <f>Données!X87</f>
        <v>72.5</v>
      </c>
      <c r="F87" s="31">
        <f>VPI!L87</f>
        <v>4519718.2200000007</v>
      </c>
      <c r="G87" s="8">
        <f t="shared" si="8"/>
        <v>124681.8819310345</v>
      </c>
      <c r="H87" s="26">
        <f t="shared" si="9"/>
        <v>169153.71577272651</v>
      </c>
      <c r="I87" s="8">
        <f t="shared" si="10"/>
        <v>124681.8819310345</v>
      </c>
      <c r="J87" s="8">
        <f>VPI!R87</f>
        <v>67464.467689655183</v>
      </c>
      <c r="K87" s="236">
        <f t="shared" si="11"/>
        <v>79619.287945169199</v>
      </c>
      <c r="L87" s="342">
        <f t="shared" si="12"/>
        <v>204301.1698762037</v>
      </c>
      <c r="M87" s="129"/>
      <c r="N87" s="130"/>
      <c r="O87" s="127"/>
      <c r="P87" s="127"/>
      <c r="Q87" s="131"/>
    </row>
    <row r="88" spans="1:17" s="126" customFormat="1" x14ac:dyDescent="0.25">
      <c r="A88" s="175">
        <f>Données!A88</f>
        <v>5541</v>
      </c>
      <c r="B88" s="353" t="str">
        <f>Données!B88</f>
        <v>Goumoëns</v>
      </c>
      <c r="C88" s="175">
        <f>Données!AR88</f>
        <v>0</v>
      </c>
      <c r="D88" s="354">
        <f>Données!Z88</f>
        <v>1175</v>
      </c>
      <c r="E88" s="128">
        <f>Données!X88</f>
        <v>75.5</v>
      </c>
      <c r="F88" s="31">
        <f>VPI!L88</f>
        <v>2920597.1</v>
      </c>
      <c r="G88" s="8">
        <f t="shared" si="8"/>
        <v>77366.810596026495</v>
      </c>
      <c r="H88" s="26">
        <f t="shared" si="9"/>
        <v>104884.23009654546</v>
      </c>
      <c r="I88" s="8">
        <f t="shared" si="10"/>
        <v>77366.810596026495</v>
      </c>
      <c r="J88" s="8">
        <f>VPI!R88</f>
        <v>41726.211258278148</v>
      </c>
      <c r="K88" s="236">
        <f t="shared" si="11"/>
        <v>49243.866331479665</v>
      </c>
      <c r="L88" s="342">
        <f t="shared" si="12"/>
        <v>126610.67692750617</v>
      </c>
      <c r="M88" s="129"/>
      <c r="N88" s="130"/>
      <c r="O88" s="127"/>
      <c r="P88" s="127"/>
      <c r="Q88" s="131"/>
    </row>
    <row r="89" spans="1:17" s="126" customFormat="1" x14ac:dyDescent="0.25">
      <c r="A89" s="175">
        <f>Données!A89</f>
        <v>5551</v>
      </c>
      <c r="B89" s="353" t="str">
        <f>Données!B89</f>
        <v>Bonvillars</v>
      </c>
      <c r="C89" s="175">
        <f>Données!AR89</f>
        <v>0</v>
      </c>
      <c r="D89" s="354">
        <f>Données!Z89</f>
        <v>501</v>
      </c>
      <c r="E89" s="128">
        <f>Données!X89</f>
        <v>56</v>
      </c>
      <c r="F89" s="31">
        <f>VPI!L89</f>
        <v>910514.19</v>
      </c>
      <c r="G89" s="8">
        <f t="shared" si="8"/>
        <v>32518.363928571427</v>
      </c>
      <c r="H89" s="26">
        <f t="shared" si="9"/>
        <v>44720.850449675985</v>
      </c>
      <c r="I89" s="8">
        <f t="shared" si="10"/>
        <v>32518.363928571427</v>
      </c>
      <c r="J89" s="8">
        <f>VPI!R89</f>
        <v>18575.023035714283</v>
      </c>
      <c r="K89" s="236">
        <f t="shared" si="11"/>
        <v>21921.615308253018</v>
      </c>
      <c r="L89" s="342">
        <f t="shared" si="12"/>
        <v>54439.979236824445</v>
      </c>
      <c r="M89" s="129"/>
      <c r="N89" s="130"/>
      <c r="O89" s="127"/>
      <c r="P89" s="127"/>
      <c r="Q89" s="131"/>
    </row>
    <row r="90" spans="1:17" s="126" customFormat="1" x14ac:dyDescent="0.25">
      <c r="A90" s="175">
        <f>Données!A90</f>
        <v>5552</v>
      </c>
      <c r="B90" s="353" t="str">
        <f>Données!B90</f>
        <v>Bullet</v>
      </c>
      <c r="C90" s="175">
        <f>Données!AR90</f>
        <v>0</v>
      </c>
      <c r="D90" s="354">
        <f>Données!Z90</f>
        <v>651</v>
      </c>
      <c r="E90" s="128">
        <f>Données!X90</f>
        <v>71.5</v>
      </c>
      <c r="F90" s="31">
        <f>VPI!L90</f>
        <v>1223549.0299999998</v>
      </c>
      <c r="G90" s="8">
        <f t="shared" si="8"/>
        <v>34225.147692307684</v>
      </c>
      <c r="H90" s="26">
        <f t="shared" si="9"/>
        <v>58110.326632213706</v>
      </c>
      <c r="I90" s="8">
        <f t="shared" si="10"/>
        <v>34225.147692307684</v>
      </c>
      <c r="J90" s="8">
        <f>VPI!R90</f>
        <v>19038.952167832165</v>
      </c>
      <c r="K90" s="236">
        <f t="shared" si="11"/>
        <v>22469.128813082913</v>
      </c>
      <c r="L90" s="342">
        <f t="shared" si="12"/>
        <v>56694.276505390597</v>
      </c>
      <c r="M90" s="129"/>
      <c r="N90" s="130"/>
      <c r="O90" s="127"/>
      <c r="P90" s="127"/>
      <c r="Q90" s="131"/>
    </row>
    <row r="91" spans="1:17" s="126" customFormat="1" x14ac:dyDescent="0.25">
      <c r="A91" s="175">
        <f>Données!A91</f>
        <v>5553</v>
      </c>
      <c r="B91" s="353" t="str">
        <f>Données!B91</f>
        <v>Champagne</v>
      </c>
      <c r="C91" s="175">
        <f>Données!AR91</f>
        <v>0</v>
      </c>
      <c r="D91" s="354">
        <f>Données!Z91</f>
        <v>1077</v>
      </c>
      <c r="E91" s="128">
        <f>Données!X91</f>
        <v>65</v>
      </c>
      <c r="F91" s="31">
        <f>VPI!L91</f>
        <v>2227135.1</v>
      </c>
      <c r="G91" s="8">
        <f t="shared" si="8"/>
        <v>68527.233846153846</v>
      </c>
      <c r="H91" s="26">
        <f t="shared" si="9"/>
        <v>96136.438990620823</v>
      </c>
      <c r="I91" s="8">
        <f t="shared" si="10"/>
        <v>68527.233846153846</v>
      </c>
      <c r="J91" s="8">
        <f>VPI!R91</f>
        <v>38263.796923076923</v>
      </c>
      <c r="K91" s="236">
        <f t="shared" si="11"/>
        <v>45157.641784240863</v>
      </c>
      <c r="L91" s="342">
        <f t="shared" si="12"/>
        <v>113684.8756303947</v>
      </c>
      <c r="M91" s="129"/>
      <c r="N91" s="130"/>
      <c r="O91" s="127"/>
      <c r="P91" s="127"/>
      <c r="Q91" s="131"/>
    </row>
    <row r="92" spans="1:17" s="126" customFormat="1" x14ac:dyDescent="0.25">
      <c r="A92" s="175">
        <f>Données!A92</f>
        <v>5554</v>
      </c>
      <c r="B92" s="353" t="str">
        <f>Données!B92</f>
        <v>Concise</v>
      </c>
      <c r="C92" s="175">
        <f>Données!AR92</f>
        <v>0</v>
      </c>
      <c r="D92" s="354">
        <f>Données!Z92</f>
        <v>1002</v>
      </c>
      <c r="E92" s="128">
        <f>Données!X92</f>
        <v>75</v>
      </c>
      <c r="F92" s="31">
        <f>VPI!L92</f>
        <v>2348372.3000000003</v>
      </c>
      <c r="G92" s="8">
        <f t="shared" si="8"/>
        <v>62623.261333333343</v>
      </c>
      <c r="H92" s="26">
        <f t="shared" si="9"/>
        <v>89441.70089935197</v>
      </c>
      <c r="I92" s="8">
        <f t="shared" si="10"/>
        <v>62623.261333333343</v>
      </c>
      <c r="J92" s="8">
        <f>VPI!R92</f>
        <v>33907.166000000005</v>
      </c>
      <c r="K92" s="236">
        <f t="shared" si="11"/>
        <v>40016.092998427528</v>
      </c>
      <c r="L92" s="342">
        <f t="shared" si="12"/>
        <v>102639.35433176087</v>
      </c>
      <c r="M92" s="129"/>
      <c r="N92" s="130"/>
      <c r="O92" s="127"/>
      <c r="P92" s="127"/>
      <c r="Q92" s="131"/>
    </row>
    <row r="93" spans="1:17" s="126" customFormat="1" x14ac:dyDescent="0.25">
      <c r="A93" s="175">
        <f>Données!A93</f>
        <v>5555</v>
      </c>
      <c r="B93" s="353" t="str">
        <f>Données!B93</f>
        <v>Corcelles-près-Concise</v>
      </c>
      <c r="C93" s="175">
        <f>Données!AR93</f>
        <v>0</v>
      </c>
      <c r="D93" s="354">
        <f>Données!Z93</f>
        <v>412</v>
      </c>
      <c r="E93" s="128">
        <f>Données!X93</f>
        <v>69</v>
      </c>
      <c r="F93" s="31">
        <f>VPI!L93</f>
        <v>825488.06</v>
      </c>
      <c r="G93" s="8">
        <f t="shared" si="8"/>
        <v>23927.190144927539</v>
      </c>
      <c r="H93" s="26">
        <f t="shared" si="9"/>
        <v>36776.4279147036</v>
      </c>
      <c r="I93" s="8">
        <f t="shared" si="10"/>
        <v>23927.190144927539</v>
      </c>
      <c r="J93" s="8">
        <f>VPI!R93</f>
        <v>13425.201594202899</v>
      </c>
      <c r="K93" s="236">
        <f t="shared" si="11"/>
        <v>15843.96984154502</v>
      </c>
      <c r="L93" s="342">
        <f t="shared" si="12"/>
        <v>39771.159986472558</v>
      </c>
      <c r="M93" s="129"/>
      <c r="N93" s="130"/>
      <c r="O93" s="127"/>
      <c r="P93" s="127"/>
      <c r="Q93" s="131"/>
    </row>
    <row r="94" spans="1:17" s="126" customFormat="1" x14ac:dyDescent="0.25">
      <c r="A94" s="175">
        <f>Données!A94</f>
        <v>5556</v>
      </c>
      <c r="B94" s="353" t="str">
        <f>Données!B94</f>
        <v>Fiez</v>
      </c>
      <c r="C94" s="175">
        <f>Données!AR94</f>
        <v>0</v>
      </c>
      <c r="D94" s="354">
        <f>Données!Z94</f>
        <v>436</v>
      </c>
      <c r="E94" s="128">
        <f>Données!X94</f>
        <v>69</v>
      </c>
      <c r="F94" s="31">
        <f>VPI!L94</f>
        <v>839709.89999999991</v>
      </c>
      <c r="G94" s="8">
        <f t="shared" si="8"/>
        <v>24339.417391304345</v>
      </c>
      <c r="H94" s="26">
        <f t="shared" si="9"/>
        <v>38918.744103909637</v>
      </c>
      <c r="I94" s="8">
        <f t="shared" si="10"/>
        <v>24339.417391304345</v>
      </c>
      <c r="J94" s="8">
        <f>VPI!R94</f>
        <v>13304.241787439612</v>
      </c>
      <c r="K94" s="236">
        <f t="shared" si="11"/>
        <v>15701.217159810678</v>
      </c>
      <c r="L94" s="342">
        <f t="shared" si="12"/>
        <v>40040.634551115021</v>
      </c>
      <c r="M94" s="129"/>
      <c r="N94" s="130"/>
      <c r="O94" s="127"/>
      <c r="P94" s="127"/>
      <c r="Q94" s="131"/>
    </row>
    <row r="95" spans="1:17" s="126" customFormat="1" x14ac:dyDescent="0.25">
      <c r="A95" s="175">
        <f>Données!A95</f>
        <v>5557</v>
      </c>
      <c r="B95" s="353" t="str">
        <f>Données!B95</f>
        <v>Fontaines-sur-Grandson</v>
      </c>
      <c r="C95" s="175">
        <f>Données!AR95</f>
        <v>0</v>
      </c>
      <c r="D95" s="354">
        <f>Données!Z95</f>
        <v>214</v>
      </c>
      <c r="E95" s="128">
        <f>Données!X95</f>
        <v>69</v>
      </c>
      <c r="F95" s="31">
        <f>VPI!L95</f>
        <v>312803.83999999997</v>
      </c>
      <c r="G95" s="8">
        <f t="shared" si="8"/>
        <v>9066.7779710144914</v>
      </c>
      <c r="H95" s="26">
        <f t="shared" si="9"/>
        <v>19102.319353753814</v>
      </c>
      <c r="I95" s="8">
        <f t="shared" si="10"/>
        <v>9066.7779710144914</v>
      </c>
      <c r="J95" s="8">
        <f>VPI!R95</f>
        <v>5098.7534782608691</v>
      </c>
      <c r="K95" s="236">
        <f t="shared" si="11"/>
        <v>6017.3767799450634</v>
      </c>
      <c r="L95" s="342">
        <f t="shared" si="12"/>
        <v>15084.154750959555</v>
      </c>
      <c r="M95" s="129"/>
      <c r="N95" s="130"/>
      <c r="O95" s="127"/>
      <c r="P95" s="127"/>
      <c r="Q95" s="131"/>
    </row>
    <row r="96" spans="1:17" s="126" customFormat="1" x14ac:dyDescent="0.25">
      <c r="A96" s="175">
        <f>Données!A96</f>
        <v>5559</v>
      </c>
      <c r="B96" s="353" t="str">
        <f>Données!B96</f>
        <v>Giez</v>
      </c>
      <c r="C96" s="175">
        <f>Données!AR96</f>
        <v>0</v>
      </c>
      <c r="D96" s="354">
        <f>Données!Z96</f>
        <v>450</v>
      </c>
      <c r="E96" s="128">
        <f>Données!X96</f>
        <v>66</v>
      </c>
      <c r="F96" s="31">
        <f>VPI!L96</f>
        <v>1291437.92</v>
      </c>
      <c r="G96" s="8">
        <f t="shared" si="8"/>
        <v>39134.482424242422</v>
      </c>
      <c r="H96" s="26">
        <f t="shared" si="9"/>
        <v>40168.428547613155</v>
      </c>
      <c r="I96" s="8">
        <f t="shared" si="10"/>
        <v>39134.482424242422</v>
      </c>
      <c r="J96" s="8">
        <f>VPI!R96</f>
        <v>21011.030606060605</v>
      </c>
      <c r="K96" s="236">
        <f t="shared" si="11"/>
        <v>24796.509231261858</v>
      </c>
      <c r="L96" s="342">
        <f t="shared" si="12"/>
        <v>63930.99165550428</v>
      </c>
      <c r="M96" s="129"/>
      <c r="N96" s="130"/>
      <c r="O96" s="127"/>
      <c r="P96" s="127"/>
      <c r="Q96" s="131"/>
    </row>
    <row r="97" spans="1:17" s="126" customFormat="1" x14ac:dyDescent="0.25">
      <c r="A97" s="175">
        <f>Données!A97</f>
        <v>5560</v>
      </c>
      <c r="B97" s="353" t="str">
        <f>Données!B97</f>
        <v>Grandevent</v>
      </c>
      <c r="C97" s="175">
        <f>Données!AR97</f>
        <v>0</v>
      </c>
      <c r="D97" s="354">
        <f>Données!Z97</f>
        <v>237</v>
      </c>
      <c r="E97" s="128">
        <f>Données!X97</f>
        <v>71</v>
      </c>
      <c r="F97" s="31">
        <f>VPI!L97</f>
        <v>593639.84000000008</v>
      </c>
      <c r="G97" s="8">
        <f t="shared" si="8"/>
        <v>16722.249014084511</v>
      </c>
      <c r="H97" s="26">
        <f t="shared" si="9"/>
        <v>21155.372368409597</v>
      </c>
      <c r="I97" s="8">
        <f t="shared" si="10"/>
        <v>16722.249014084511</v>
      </c>
      <c r="J97" s="8">
        <f>VPI!R97</f>
        <v>8996.1449295774655</v>
      </c>
      <c r="K97" s="236">
        <f t="shared" si="11"/>
        <v>10616.946639813663</v>
      </c>
      <c r="L97" s="342">
        <f t="shared" si="12"/>
        <v>27339.195653898176</v>
      </c>
      <c r="M97" s="129"/>
      <c r="N97" s="130"/>
      <c r="O97" s="127"/>
      <c r="P97" s="127"/>
      <c r="Q97" s="131"/>
    </row>
    <row r="98" spans="1:17" s="126" customFormat="1" x14ac:dyDescent="0.25">
      <c r="A98" s="175">
        <f>Données!A98</f>
        <v>5561</v>
      </c>
      <c r="B98" s="353" t="str">
        <f>Données!B98</f>
        <v>Grandson</v>
      </c>
      <c r="C98" s="175">
        <f>Données!AR98</f>
        <v>0</v>
      </c>
      <c r="D98" s="354">
        <f>Données!Z98</f>
        <v>3359</v>
      </c>
      <c r="E98" s="128">
        <f>Données!X98</f>
        <v>69</v>
      </c>
      <c r="F98" s="31">
        <f>VPI!L98</f>
        <v>8429084.0799999982</v>
      </c>
      <c r="G98" s="8">
        <f t="shared" si="8"/>
        <v>244321.27768115938</v>
      </c>
      <c r="H98" s="26">
        <f t="shared" si="9"/>
        <v>299835.00331429468</v>
      </c>
      <c r="I98" s="8">
        <f t="shared" si="10"/>
        <v>244321.27768115938</v>
      </c>
      <c r="J98" s="8">
        <f>VPI!R98</f>
        <v>132376.08594202899</v>
      </c>
      <c r="K98" s="236">
        <f t="shared" si="11"/>
        <v>156225.78913920635</v>
      </c>
      <c r="L98" s="342">
        <f t="shared" si="12"/>
        <v>400547.06682036573</v>
      </c>
      <c r="M98" s="129"/>
      <c r="N98" s="130"/>
      <c r="O98" s="127"/>
      <c r="P98" s="127"/>
      <c r="Q98" s="131"/>
    </row>
    <row r="99" spans="1:17" s="126" customFormat="1" x14ac:dyDescent="0.25">
      <c r="A99" s="175">
        <f>Données!A99</f>
        <v>5562</v>
      </c>
      <c r="B99" s="353" t="str">
        <f>Données!B99</f>
        <v>Mauborget</v>
      </c>
      <c r="C99" s="175">
        <f>Données!AR99</f>
        <v>0</v>
      </c>
      <c r="D99" s="354">
        <f>Données!Z99</f>
        <v>138</v>
      </c>
      <c r="E99" s="128">
        <f>Données!X99</f>
        <v>70</v>
      </c>
      <c r="F99" s="31">
        <f>VPI!L99</f>
        <v>290239.32999999996</v>
      </c>
      <c r="G99" s="8">
        <f t="shared" si="8"/>
        <v>8292.5522857142842</v>
      </c>
      <c r="H99" s="26">
        <f t="shared" si="9"/>
        <v>12318.318087934702</v>
      </c>
      <c r="I99" s="8">
        <f t="shared" si="10"/>
        <v>8292.5522857142842</v>
      </c>
      <c r="J99" s="8">
        <f>VPI!R99</f>
        <v>4559.8505476190467</v>
      </c>
      <c r="K99" s="236">
        <f t="shared" si="11"/>
        <v>5381.3817283477611</v>
      </c>
      <c r="L99" s="342">
        <f t="shared" si="12"/>
        <v>13673.934014062044</v>
      </c>
      <c r="M99" s="129"/>
      <c r="N99" s="130"/>
      <c r="O99" s="127"/>
      <c r="P99" s="127"/>
      <c r="Q99" s="131"/>
    </row>
    <row r="100" spans="1:17" s="126" customFormat="1" x14ac:dyDescent="0.25">
      <c r="A100" s="175">
        <f>Données!A100</f>
        <v>5563</v>
      </c>
      <c r="B100" s="353" t="str">
        <f>Données!B100</f>
        <v>Mutrux</v>
      </c>
      <c r="C100" s="175">
        <f>Données!AR100</f>
        <v>0</v>
      </c>
      <c r="D100" s="354">
        <f>Données!Z100</f>
        <v>151</v>
      </c>
      <c r="E100" s="128">
        <f>Données!X100</f>
        <v>80</v>
      </c>
      <c r="F100" s="31">
        <f>VPI!L100</f>
        <v>160100.59</v>
      </c>
      <c r="G100" s="8">
        <f t="shared" si="8"/>
        <v>4002.5147499999998</v>
      </c>
      <c r="H100" s="26">
        <f t="shared" si="9"/>
        <v>13478.73935708797</v>
      </c>
      <c r="I100" s="8">
        <f t="shared" si="10"/>
        <v>4002.5147499999998</v>
      </c>
      <c r="J100" s="8">
        <f>VPI!R100</f>
        <v>2282.3142499999999</v>
      </c>
      <c r="K100" s="236">
        <f t="shared" si="11"/>
        <v>2693.5102532496039</v>
      </c>
      <c r="L100" s="342">
        <f t="shared" si="12"/>
        <v>6696.0250032496042</v>
      </c>
      <c r="M100" s="129"/>
      <c r="N100" s="130"/>
      <c r="O100" s="127"/>
      <c r="P100" s="127"/>
      <c r="Q100" s="131"/>
    </row>
    <row r="101" spans="1:17" s="126" customFormat="1" x14ac:dyDescent="0.25">
      <c r="A101" s="175">
        <f>Données!A101</f>
        <v>5564</v>
      </c>
      <c r="B101" s="353" t="str">
        <f>Données!B101</f>
        <v>Novalles</v>
      </c>
      <c r="C101" s="175">
        <f>Données!AR101</f>
        <v>0</v>
      </c>
      <c r="D101" s="354">
        <f>Données!Z101</f>
        <v>99</v>
      </c>
      <c r="E101" s="128">
        <f>Données!X101</f>
        <v>76</v>
      </c>
      <c r="F101" s="31">
        <f>VPI!L101</f>
        <v>179446.25000000003</v>
      </c>
      <c r="G101" s="8">
        <f t="shared" si="8"/>
        <v>4722.2697368421059</v>
      </c>
      <c r="H101" s="26">
        <f t="shared" si="9"/>
        <v>8837.0542804748948</v>
      </c>
      <c r="I101" s="8">
        <f t="shared" si="10"/>
        <v>4722.2697368421059</v>
      </c>
      <c r="J101" s="8">
        <f>VPI!R101</f>
        <v>2548.8725328947371</v>
      </c>
      <c r="K101" s="236">
        <f t="shared" si="11"/>
        <v>3008.0933427893478</v>
      </c>
      <c r="L101" s="342">
        <f t="shared" si="12"/>
        <v>7730.3630796314537</v>
      </c>
      <c r="M101" s="129"/>
      <c r="N101" s="130"/>
      <c r="O101" s="127"/>
      <c r="P101" s="127"/>
      <c r="Q101" s="131"/>
    </row>
    <row r="102" spans="1:17" s="126" customFormat="1" x14ac:dyDescent="0.25">
      <c r="A102" s="175">
        <f>Données!A102</f>
        <v>5565</v>
      </c>
      <c r="B102" s="353" t="str">
        <f>Données!B102</f>
        <v>Onnens</v>
      </c>
      <c r="C102" s="175">
        <f>Données!AR102</f>
        <v>0</v>
      </c>
      <c r="D102" s="354">
        <f>Données!Z102</f>
        <v>496</v>
      </c>
      <c r="E102" s="128">
        <f>Données!X102</f>
        <v>63.5</v>
      </c>
      <c r="F102" s="31">
        <f>VPI!L102</f>
        <v>585481.21</v>
      </c>
      <c r="G102" s="8">
        <f t="shared" si="8"/>
        <v>18440.353070866142</v>
      </c>
      <c r="H102" s="26">
        <f t="shared" si="9"/>
        <v>44274.534576924729</v>
      </c>
      <c r="I102" s="8">
        <f t="shared" si="10"/>
        <v>18440.353070866142</v>
      </c>
      <c r="J102" s="8">
        <f>VPI!R102</f>
        <v>11658.700944881888</v>
      </c>
      <c r="K102" s="236">
        <f t="shared" si="11"/>
        <v>13759.205391900005</v>
      </c>
      <c r="L102" s="342">
        <f t="shared" si="12"/>
        <v>32199.558462766145</v>
      </c>
      <c r="M102" s="129"/>
      <c r="N102" s="130"/>
      <c r="O102" s="127"/>
      <c r="P102" s="127"/>
      <c r="Q102" s="131"/>
    </row>
    <row r="103" spans="1:17" s="126" customFormat="1" x14ac:dyDescent="0.25">
      <c r="A103" s="175">
        <f>Données!A103</f>
        <v>5566</v>
      </c>
      <c r="B103" s="353" t="str">
        <f>Données!B103</f>
        <v>Provence</v>
      </c>
      <c r="C103" s="175">
        <f>Données!AR103</f>
        <v>0</v>
      </c>
      <c r="D103" s="354">
        <f>Données!Z103</f>
        <v>403</v>
      </c>
      <c r="E103" s="128">
        <f>Données!X103</f>
        <v>81</v>
      </c>
      <c r="F103" s="31">
        <f>VPI!L103</f>
        <v>628754.81999999995</v>
      </c>
      <c r="G103" s="8">
        <f t="shared" si="8"/>
        <v>15524.810370370369</v>
      </c>
      <c r="H103" s="26">
        <f t="shared" si="9"/>
        <v>35973.059343751338</v>
      </c>
      <c r="I103" s="8">
        <f t="shared" si="10"/>
        <v>15524.810370370369</v>
      </c>
      <c r="J103" s="8">
        <f>VPI!R103</f>
        <v>8528.9197942386818</v>
      </c>
      <c r="K103" s="236">
        <f t="shared" si="11"/>
        <v>10065.54330321751</v>
      </c>
      <c r="L103" s="342">
        <f t="shared" si="12"/>
        <v>25590.353673587881</v>
      </c>
      <c r="M103" s="129"/>
      <c r="N103" s="130"/>
      <c r="O103" s="127"/>
      <c r="P103" s="127"/>
      <c r="Q103" s="131"/>
    </row>
    <row r="104" spans="1:17" s="126" customFormat="1" x14ac:dyDescent="0.25">
      <c r="A104" s="175">
        <f>Données!A104</f>
        <v>5568</v>
      </c>
      <c r="B104" s="353" t="str">
        <f>Données!B104</f>
        <v>Sainte-Croix</v>
      </c>
      <c r="C104" s="175">
        <f>Données!AR104</f>
        <v>0</v>
      </c>
      <c r="D104" s="354">
        <f>Données!Z104</f>
        <v>4869</v>
      </c>
      <c r="E104" s="128">
        <f>Données!X104</f>
        <v>70</v>
      </c>
      <c r="F104" s="31">
        <f>VPI!L104</f>
        <v>6718328.709999999</v>
      </c>
      <c r="G104" s="8">
        <f t="shared" si="8"/>
        <v>191952.24885714284</v>
      </c>
      <c r="H104" s="26">
        <f t="shared" si="9"/>
        <v>434622.39688517438</v>
      </c>
      <c r="I104" s="8">
        <f t="shared" si="10"/>
        <v>191952.24885714284</v>
      </c>
      <c r="J104" s="8">
        <f>VPI!R104</f>
        <v>106004.96942857141</v>
      </c>
      <c r="K104" s="236">
        <f t="shared" si="11"/>
        <v>125103.48741470107</v>
      </c>
      <c r="L104" s="342">
        <f t="shared" si="12"/>
        <v>317055.7362718439</v>
      </c>
      <c r="M104" s="129"/>
      <c r="N104" s="130"/>
      <c r="O104" s="127"/>
      <c r="P104" s="127"/>
      <c r="Q104" s="131"/>
    </row>
    <row r="105" spans="1:17" s="126" customFormat="1" x14ac:dyDescent="0.25">
      <c r="A105" s="175">
        <f>Données!A105</f>
        <v>5571</v>
      </c>
      <c r="B105" s="353" t="str">
        <f>Données!B105</f>
        <v>Tévenon</v>
      </c>
      <c r="C105" s="175">
        <f>Données!AR105</f>
        <v>0</v>
      </c>
      <c r="D105" s="354">
        <f>Données!Z105</f>
        <v>867</v>
      </c>
      <c r="E105" s="128">
        <f>Données!X105</f>
        <v>71.5</v>
      </c>
      <c r="F105" s="31">
        <f>VPI!L105</f>
        <v>1672752.83</v>
      </c>
      <c r="G105" s="8">
        <f t="shared" si="8"/>
        <v>46790.288951048955</v>
      </c>
      <c r="H105" s="26">
        <f t="shared" si="9"/>
        <v>77391.172335068026</v>
      </c>
      <c r="I105" s="8">
        <f t="shared" si="10"/>
        <v>46790.288951048955</v>
      </c>
      <c r="J105" s="8">
        <f>VPI!R105</f>
        <v>25907.008578088578</v>
      </c>
      <c r="K105" s="236">
        <f t="shared" si="11"/>
        <v>30574.577202112738</v>
      </c>
      <c r="L105" s="342">
        <f t="shared" si="12"/>
        <v>77364.866153161696</v>
      </c>
      <c r="M105" s="129"/>
      <c r="N105" s="130"/>
      <c r="O105" s="127"/>
      <c r="P105" s="127"/>
      <c r="Q105" s="131"/>
    </row>
    <row r="106" spans="1:17" s="126" customFormat="1" x14ac:dyDescent="0.25">
      <c r="A106" s="175">
        <f>Données!A106</f>
        <v>5581</v>
      </c>
      <c r="B106" s="353" t="str">
        <f>Données!B106</f>
        <v>Belmont-sur-Lausanne</v>
      </c>
      <c r="C106" s="175">
        <f>Données!AR106</f>
        <v>1</v>
      </c>
      <c r="D106" s="354">
        <f>Données!Z106</f>
        <v>3838</v>
      </c>
      <c r="E106" s="128">
        <f>Données!X106</f>
        <v>72</v>
      </c>
      <c r="F106" s="31">
        <f>VPI!L106</f>
        <v>15792455.15</v>
      </c>
      <c r="G106" s="8">
        <f t="shared" si="8"/>
        <v>438679.30972222221</v>
      </c>
      <c r="H106" s="26">
        <f t="shared" si="9"/>
        <v>342592.06392386509</v>
      </c>
      <c r="I106" s="8">
        <f t="shared" si="10"/>
        <v>0</v>
      </c>
      <c r="J106" s="8">
        <f>VPI!R106</f>
        <v>233711.86319444442</v>
      </c>
      <c r="K106" s="236">
        <f t="shared" si="11"/>
        <v>275818.8535256724</v>
      </c>
      <c r="L106" s="342">
        <f t="shared" si="12"/>
        <v>275818.8535256724</v>
      </c>
      <c r="M106" s="129"/>
      <c r="N106" s="130"/>
      <c r="O106" s="127"/>
      <c r="P106" s="127"/>
      <c r="Q106" s="131"/>
    </row>
    <row r="107" spans="1:17" s="126" customFormat="1" x14ac:dyDescent="0.25">
      <c r="A107" s="175">
        <f>Données!A107</f>
        <v>5582</v>
      </c>
      <c r="B107" s="353" t="str">
        <f>Données!B107</f>
        <v>Cheseaux-sur-Lausanne</v>
      </c>
      <c r="C107" s="175">
        <f>Données!AR107</f>
        <v>0</v>
      </c>
      <c r="D107" s="354">
        <f>Données!Z107</f>
        <v>4527</v>
      </c>
      <c r="E107" s="128">
        <f>Données!X107</f>
        <v>73</v>
      </c>
      <c r="F107" s="31">
        <f>VPI!L107</f>
        <v>11321637.429999998</v>
      </c>
      <c r="G107" s="8">
        <f t="shared" si="8"/>
        <v>310181.84739726019</v>
      </c>
      <c r="H107" s="26">
        <f t="shared" si="9"/>
        <v>404094.39118898835</v>
      </c>
      <c r="I107" s="8">
        <f t="shared" si="10"/>
        <v>310181.84739726019</v>
      </c>
      <c r="J107" s="8">
        <f>VPI!R107</f>
        <v>170428.79082191776</v>
      </c>
      <c r="K107" s="236">
        <f t="shared" si="11"/>
        <v>201134.30721810876</v>
      </c>
      <c r="L107" s="342">
        <f t="shared" si="12"/>
        <v>511316.15461536893</v>
      </c>
      <c r="M107" s="129"/>
      <c r="N107" s="130"/>
      <c r="O107" s="127"/>
      <c r="P107" s="127"/>
      <c r="Q107" s="131"/>
    </row>
    <row r="108" spans="1:17" s="126" customFormat="1" x14ac:dyDescent="0.25">
      <c r="A108" s="175">
        <f>Données!A108</f>
        <v>5583</v>
      </c>
      <c r="B108" s="353" t="str">
        <f>Données!B108</f>
        <v>Crissier</v>
      </c>
      <c r="C108" s="175">
        <f>Données!AR108</f>
        <v>1</v>
      </c>
      <c r="D108" s="354">
        <f>Données!Z108</f>
        <v>9165</v>
      </c>
      <c r="E108" s="128">
        <f>Données!X108</f>
        <v>63.5</v>
      </c>
      <c r="F108" s="31">
        <f>VPI!L108</f>
        <v>18664643.68</v>
      </c>
      <c r="G108" s="8">
        <f t="shared" si="8"/>
        <v>587862.79307086614</v>
      </c>
      <c r="H108" s="26">
        <f t="shared" si="9"/>
        <v>818096.99475305469</v>
      </c>
      <c r="I108" s="8">
        <f t="shared" si="10"/>
        <v>0</v>
      </c>
      <c r="J108" s="8">
        <f>VPI!R108</f>
        <v>340496.54456692917</v>
      </c>
      <c r="K108" s="236">
        <f t="shared" si="11"/>
        <v>401842.53066249948</v>
      </c>
      <c r="L108" s="342">
        <f t="shared" si="12"/>
        <v>401842.53066249948</v>
      </c>
      <c r="M108" s="129"/>
      <c r="N108" s="130"/>
      <c r="O108" s="127"/>
      <c r="P108" s="127"/>
      <c r="Q108" s="131"/>
    </row>
    <row r="109" spans="1:17" s="126" customFormat="1" x14ac:dyDescent="0.25">
      <c r="A109" s="175">
        <f>Données!A109</f>
        <v>5584</v>
      </c>
      <c r="B109" s="353" t="str">
        <f>Données!B109</f>
        <v>Epalinges</v>
      </c>
      <c r="C109" s="175">
        <f>Données!AR109</f>
        <v>0</v>
      </c>
      <c r="D109" s="354">
        <f>Données!Z109</f>
        <v>9828</v>
      </c>
      <c r="E109" s="128">
        <f>Données!X109</f>
        <v>64.5</v>
      </c>
      <c r="F109" s="31">
        <f>VPI!L109</f>
        <v>28818619.050000004</v>
      </c>
      <c r="G109" s="8">
        <f t="shared" si="8"/>
        <v>893600.59069767455</v>
      </c>
      <c r="H109" s="26">
        <f t="shared" si="9"/>
        <v>877278.47947987134</v>
      </c>
      <c r="I109" s="8">
        <f t="shared" si="10"/>
        <v>877278.47947987134</v>
      </c>
      <c r="J109" s="8">
        <f>VPI!R109</f>
        <v>489766.22341085278</v>
      </c>
      <c r="K109" s="236">
        <f t="shared" si="11"/>
        <v>578005.56801170926</v>
      </c>
      <c r="L109" s="342">
        <f t="shared" si="12"/>
        <v>1455284.0474915807</v>
      </c>
      <c r="M109" s="129"/>
      <c r="N109" s="130"/>
      <c r="O109" s="127"/>
      <c r="P109" s="127"/>
      <c r="Q109" s="131"/>
    </row>
    <row r="110" spans="1:17" s="126" customFormat="1" x14ac:dyDescent="0.25">
      <c r="A110" s="175">
        <f>Données!A110</f>
        <v>5585</v>
      </c>
      <c r="B110" s="353" t="str">
        <f>Données!B110</f>
        <v>Jouxtens-Mézery</v>
      </c>
      <c r="C110" s="175">
        <f>Données!AR110</f>
        <v>0</v>
      </c>
      <c r="D110" s="354">
        <f>Données!Z110</f>
        <v>1469</v>
      </c>
      <c r="E110" s="128">
        <f>Données!X110</f>
        <v>59</v>
      </c>
      <c r="F110" s="31">
        <f>VPI!L110</f>
        <v>14324878.479999997</v>
      </c>
      <c r="G110" s="8">
        <f t="shared" si="8"/>
        <v>485589.10101694905</v>
      </c>
      <c r="H110" s="26">
        <f t="shared" si="9"/>
        <v>131127.6034143194</v>
      </c>
      <c r="I110" s="8">
        <f t="shared" si="10"/>
        <v>131127.6034143194</v>
      </c>
      <c r="J110" s="8">
        <f>VPI!R110</f>
        <v>252946.52254237281</v>
      </c>
      <c r="K110" s="236">
        <f t="shared" si="11"/>
        <v>298518.94934788812</v>
      </c>
      <c r="L110" s="342">
        <f t="shared" si="12"/>
        <v>429646.55276220752</v>
      </c>
      <c r="M110" s="129"/>
      <c r="N110" s="130"/>
      <c r="O110" s="127"/>
      <c r="P110" s="127"/>
      <c r="Q110" s="131"/>
    </row>
    <row r="111" spans="1:17" s="126" customFormat="1" x14ac:dyDescent="0.25">
      <c r="A111" s="175">
        <f>Données!A111</f>
        <v>5586</v>
      </c>
      <c r="B111" s="353" t="str">
        <f>Données!B111</f>
        <v>Lausanne</v>
      </c>
      <c r="C111" s="175">
        <f>Données!AR111</f>
        <v>1</v>
      </c>
      <c r="D111" s="354">
        <f>Données!Z111</f>
        <v>141616</v>
      </c>
      <c r="E111" s="128">
        <f>Données!X111</f>
        <v>78.5</v>
      </c>
      <c r="F111" s="31">
        <f>VPI!L111</f>
        <v>485621974.17999995</v>
      </c>
      <c r="G111" s="8">
        <f t="shared" si="8"/>
        <v>12372534.374012737</v>
      </c>
      <c r="H111" s="26">
        <f t="shared" si="9"/>
        <v>12641093.727108411</v>
      </c>
      <c r="I111" s="8">
        <f t="shared" si="10"/>
        <v>0</v>
      </c>
      <c r="J111" s="8">
        <f>VPI!R111</f>
        <v>6671451.3923142245</v>
      </c>
      <c r="K111" s="236">
        <f t="shared" si="11"/>
        <v>7873421.7819718346</v>
      </c>
      <c r="L111" s="342">
        <f t="shared" si="12"/>
        <v>7873421.7819718346</v>
      </c>
      <c r="M111" s="129"/>
      <c r="N111" s="130"/>
      <c r="O111" s="127"/>
      <c r="P111" s="127"/>
      <c r="Q111" s="131"/>
    </row>
    <row r="112" spans="1:17" s="126" customFormat="1" x14ac:dyDescent="0.25">
      <c r="A112" s="175">
        <f>Données!A112</f>
        <v>5587</v>
      </c>
      <c r="B112" s="353" t="str">
        <f>Données!B112</f>
        <v>Le Mont-sur-Lausanne</v>
      </c>
      <c r="C112" s="175">
        <f>Données!AR112</f>
        <v>0</v>
      </c>
      <c r="D112" s="354">
        <f>Données!Z112</f>
        <v>9301</v>
      </c>
      <c r="E112" s="128">
        <f>Données!X112</f>
        <v>73.5</v>
      </c>
      <c r="F112" s="31">
        <f>VPI!L112</f>
        <v>32383889.279999994</v>
      </c>
      <c r="G112" s="8">
        <f t="shared" si="8"/>
        <v>881194.26612244884</v>
      </c>
      <c r="H112" s="26">
        <f t="shared" si="9"/>
        <v>830236.78649188881</v>
      </c>
      <c r="I112" s="8">
        <f t="shared" si="10"/>
        <v>830236.78649188881</v>
      </c>
      <c r="J112" s="8">
        <f>VPI!R112</f>
        <v>484050.33068027202</v>
      </c>
      <c r="K112" s="236">
        <f t="shared" si="11"/>
        <v>571259.86431367812</v>
      </c>
      <c r="L112" s="342">
        <f t="shared" si="12"/>
        <v>1401496.6508055669</v>
      </c>
      <c r="M112" s="129"/>
      <c r="N112" s="130"/>
      <c r="O112" s="127"/>
      <c r="P112" s="127"/>
      <c r="Q112" s="131"/>
    </row>
    <row r="113" spans="1:17" s="126" customFormat="1" x14ac:dyDescent="0.25">
      <c r="A113" s="175">
        <f>Données!A113</f>
        <v>5588</v>
      </c>
      <c r="B113" s="353" t="str">
        <f>Données!B113</f>
        <v>Paudex</v>
      </c>
      <c r="C113" s="175">
        <f>Données!AR113</f>
        <v>1</v>
      </c>
      <c r="D113" s="354">
        <f>Données!Z113</f>
        <v>1549</v>
      </c>
      <c r="E113" s="128">
        <f>Données!X113</f>
        <v>66.5</v>
      </c>
      <c r="F113" s="31">
        <f>VPI!L113</f>
        <v>8536499.4699999988</v>
      </c>
      <c r="G113" s="8">
        <f t="shared" si="8"/>
        <v>256736.82616541348</v>
      </c>
      <c r="H113" s="26">
        <f t="shared" si="9"/>
        <v>138268.65737833953</v>
      </c>
      <c r="I113" s="8">
        <f t="shared" si="10"/>
        <v>0</v>
      </c>
      <c r="J113" s="8">
        <f>VPI!R113</f>
        <v>137556.51114930178</v>
      </c>
      <c r="K113" s="236">
        <f t="shared" si="11"/>
        <v>162339.55213743585</v>
      </c>
      <c r="L113" s="342">
        <f t="shared" si="12"/>
        <v>162339.55213743585</v>
      </c>
      <c r="M113" s="129"/>
      <c r="N113" s="130"/>
      <c r="O113" s="127"/>
      <c r="P113" s="127"/>
      <c r="Q113" s="131"/>
    </row>
    <row r="114" spans="1:17" s="126" customFormat="1" x14ac:dyDescent="0.25">
      <c r="A114" s="175">
        <f>Données!A114</f>
        <v>5589</v>
      </c>
      <c r="B114" s="353" t="str">
        <f>Données!B114</f>
        <v>Prilly</v>
      </c>
      <c r="C114" s="175">
        <f>Données!AR114</f>
        <v>1</v>
      </c>
      <c r="D114" s="354">
        <f>Données!Z114</f>
        <v>12323</v>
      </c>
      <c r="E114" s="128">
        <f>Données!X114</f>
        <v>72.5</v>
      </c>
      <c r="F114" s="31">
        <f>VPI!L114</f>
        <v>26484693.790000003</v>
      </c>
      <c r="G114" s="8">
        <f t="shared" si="8"/>
        <v>730612.24248275871</v>
      </c>
      <c r="H114" s="26">
        <f t="shared" si="9"/>
        <v>1099990.0999827487</v>
      </c>
      <c r="I114" s="8">
        <f t="shared" si="10"/>
        <v>0</v>
      </c>
      <c r="J114" s="8">
        <f>VPI!R114</f>
        <v>404219.10002122016</v>
      </c>
      <c r="K114" s="236">
        <f t="shared" si="11"/>
        <v>477045.74007128237</v>
      </c>
      <c r="L114" s="342">
        <f t="shared" si="12"/>
        <v>477045.74007128237</v>
      </c>
      <c r="M114" s="129"/>
      <c r="N114" s="130"/>
      <c r="O114" s="127"/>
      <c r="P114" s="127"/>
      <c r="Q114" s="131"/>
    </row>
    <row r="115" spans="1:17" s="126" customFormat="1" x14ac:dyDescent="0.25">
      <c r="A115" s="175">
        <f>Données!A115</f>
        <v>5590</v>
      </c>
      <c r="B115" s="353" t="str">
        <f>Données!B115</f>
        <v>Pully</v>
      </c>
      <c r="C115" s="175">
        <f>Données!AR115</f>
        <v>1</v>
      </c>
      <c r="D115" s="354">
        <f>Données!Z115</f>
        <v>19014</v>
      </c>
      <c r="E115" s="128">
        <f>Données!X115</f>
        <v>61</v>
      </c>
      <c r="F115" s="31">
        <f>VPI!L115</f>
        <v>79308782.810000002</v>
      </c>
      <c r="G115" s="8">
        <f t="shared" si="8"/>
        <v>2600287.9609836065</v>
      </c>
      <c r="H115" s="26">
        <f t="shared" si="9"/>
        <v>1697250.0008984813</v>
      </c>
      <c r="I115" s="8">
        <f t="shared" si="10"/>
        <v>0</v>
      </c>
      <c r="J115" s="8">
        <f>VPI!R115</f>
        <v>1396472.1616393442</v>
      </c>
      <c r="K115" s="236">
        <f t="shared" si="11"/>
        <v>1648069.316376223</v>
      </c>
      <c r="L115" s="342">
        <f t="shared" si="12"/>
        <v>1648069.316376223</v>
      </c>
      <c r="M115" s="129"/>
      <c r="N115" s="130"/>
      <c r="O115" s="127"/>
      <c r="P115" s="127"/>
      <c r="Q115" s="131"/>
    </row>
    <row r="116" spans="1:17" s="126" customFormat="1" x14ac:dyDescent="0.25">
      <c r="A116" s="175">
        <f>Données!A116</f>
        <v>5591</v>
      </c>
      <c r="B116" s="353" t="str">
        <f>Données!B116</f>
        <v>Renens</v>
      </c>
      <c r="C116" s="175">
        <f>Données!AR116</f>
        <v>1</v>
      </c>
      <c r="D116" s="354">
        <f>Données!Z116</f>
        <v>21128</v>
      </c>
      <c r="E116" s="128">
        <f>Données!X116</f>
        <v>77</v>
      </c>
      <c r="F116" s="31">
        <f>VPI!L116</f>
        <v>40740755.189999998</v>
      </c>
      <c r="G116" s="8">
        <f t="shared" si="8"/>
        <v>1058201.4335064935</v>
      </c>
      <c r="H116" s="26">
        <f t="shared" si="9"/>
        <v>1885952.351897713</v>
      </c>
      <c r="I116" s="8">
        <f t="shared" si="10"/>
        <v>0</v>
      </c>
      <c r="J116" s="8">
        <f>VPI!R116</f>
        <v>592907.73419294995</v>
      </c>
      <c r="K116" s="236">
        <f t="shared" si="11"/>
        <v>699729.69816917263</v>
      </c>
      <c r="L116" s="342">
        <f t="shared" si="12"/>
        <v>699729.69816917263</v>
      </c>
      <c r="M116" s="129"/>
      <c r="N116" s="130"/>
      <c r="O116" s="127"/>
      <c r="P116" s="127"/>
      <c r="Q116" s="131"/>
    </row>
    <row r="117" spans="1:17" s="126" customFormat="1" x14ac:dyDescent="0.25">
      <c r="A117" s="175">
        <f>Données!A117</f>
        <v>5592</v>
      </c>
      <c r="B117" s="353" t="str">
        <f>Données!B117</f>
        <v>Romanel-sur-Lausanne</v>
      </c>
      <c r="C117" s="175">
        <f>Données!AR117</f>
        <v>0</v>
      </c>
      <c r="D117" s="354">
        <f>Données!Z117</f>
        <v>3796</v>
      </c>
      <c r="E117" s="128">
        <f>Données!X117</f>
        <v>70.5</v>
      </c>
      <c r="F117" s="31">
        <f>VPI!L117</f>
        <v>7031394.7799999993</v>
      </c>
      <c r="G117" s="8">
        <f t="shared" si="8"/>
        <v>199472.19234042551</v>
      </c>
      <c r="H117" s="26">
        <f t="shared" si="9"/>
        <v>338843.01059275458</v>
      </c>
      <c r="I117" s="8">
        <f t="shared" si="10"/>
        <v>199472.19234042551</v>
      </c>
      <c r="J117" s="8">
        <f>VPI!R117</f>
        <v>113604.64354609928</v>
      </c>
      <c r="K117" s="236">
        <f t="shared" si="11"/>
        <v>134072.36633087878</v>
      </c>
      <c r="L117" s="342">
        <f t="shared" si="12"/>
        <v>333544.55867130426</v>
      </c>
      <c r="M117" s="129"/>
      <c r="N117" s="130"/>
      <c r="O117" s="127"/>
      <c r="P117" s="127"/>
      <c r="Q117" s="131"/>
    </row>
    <row r="118" spans="1:17" s="126" customFormat="1" x14ac:dyDescent="0.25">
      <c r="A118" s="175">
        <f>Données!A118</f>
        <v>5601</v>
      </c>
      <c r="B118" s="353" t="str">
        <f>Données!B118</f>
        <v>Chexbres</v>
      </c>
      <c r="C118" s="175">
        <f>Données!AR118</f>
        <v>1</v>
      </c>
      <c r="D118" s="354">
        <f>Données!Z118</f>
        <v>2207</v>
      </c>
      <c r="E118" s="128">
        <f>Données!X118</f>
        <v>67.5</v>
      </c>
      <c r="F118" s="31">
        <f>VPI!L118</f>
        <v>6597323.7700000005</v>
      </c>
      <c r="G118" s="8">
        <f t="shared" si="8"/>
        <v>195476.25985185188</v>
      </c>
      <c r="H118" s="26">
        <f t="shared" si="9"/>
        <v>197003.82623240497</v>
      </c>
      <c r="I118" s="8">
        <f t="shared" si="10"/>
        <v>0</v>
      </c>
      <c r="J118" s="8">
        <f>VPI!R118</f>
        <v>106015.29511111112</v>
      </c>
      <c r="K118" s="236">
        <f t="shared" si="11"/>
        <v>125115.67343675852</v>
      </c>
      <c r="L118" s="342">
        <f t="shared" si="12"/>
        <v>125115.67343675852</v>
      </c>
      <c r="M118" s="129"/>
      <c r="N118" s="130"/>
      <c r="O118" s="127"/>
      <c r="P118" s="127"/>
      <c r="Q118" s="131"/>
    </row>
    <row r="119" spans="1:17" s="126" customFormat="1" x14ac:dyDescent="0.25">
      <c r="A119" s="175">
        <f>Données!A119</f>
        <v>5604</v>
      </c>
      <c r="B119" s="353" t="str">
        <f>Données!B119</f>
        <v>Forel (Lavaux)</v>
      </c>
      <c r="C119" s="175">
        <f>Données!AR119</f>
        <v>0</v>
      </c>
      <c r="D119" s="354">
        <f>Données!Z119</f>
        <v>2071</v>
      </c>
      <c r="E119" s="128">
        <f>Données!X119</f>
        <v>69</v>
      </c>
      <c r="F119" s="31">
        <f>VPI!L119</f>
        <v>4444689.6500000004</v>
      </c>
      <c r="G119" s="8">
        <f t="shared" si="8"/>
        <v>128831.58405797102</v>
      </c>
      <c r="H119" s="26">
        <f t="shared" si="9"/>
        <v>184864.03449357077</v>
      </c>
      <c r="I119" s="8">
        <f t="shared" si="10"/>
        <v>128831.58405797102</v>
      </c>
      <c r="J119" s="8">
        <f>VPI!R119</f>
        <v>70961.315942029003</v>
      </c>
      <c r="K119" s="236">
        <f t="shared" si="11"/>
        <v>83746.150239363269</v>
      </c>
      <c r="L119" s="342">
        <f t="shared" si="12"/>
        <v>212577.73429733427</v>
      </c>
      <c r="M119" s="129"/>
      <c r="N119" s="130"/>
      <c r="O119" s="127"/>
      <c r="P119" s="127"/>
      <c r="Q119" s="131"/>
    </row>
    <row r="120" spans="1:17" s="126" customFormat="1" x14ac:dyDescent="0.25">
      <c r="A120" s="175">
        <f>Données!A120</f>
        <v>5606</v>
      </c>
      <c r="B120" s="353" t="str">
        <f>Données!B120</f>
        <v>Lutry</v>
      </c>
      <c r="C120" s="175">
        <f>Données!AR120</f>
        <v>1</v>
      </c>
      <c r="D120" s="354">
        <f>Données!Z120</f>
        <v>10718</v>
      </c>
      <c r="E120" s="128">
        <f>Données!X120</f>
        <v>54</v>
      </c>
      <c r="F120" s="31">
        <f>VPI!L120</f>
        <v>61851804.209999993</v>
      </c>
      <c r="G120" s="8">
        <f t="shared" si="8"/>
        <v>2290807.563333333</v>
      </c>
      <c r="H120" s="26">
        <f t="shared" si="9"/>
        <v>956722.70482959517</v>
      </c>
      <c r="I120" s="8">
        <f t="shared" si="10"/>
        <v>0</v>
      </c>
      <c r="J120" s="8">
        <f>VPI!R120</f>
        <v>1212171.2253174603</v>
      </c>
      <c r="K120" s="236">
        <f t="shared" si="11"/>
        <v>1430563.5712026577</v>
      </c>
      <c r="L120" s="342">
        <f t="shared" si="12"/>
        <v>1430563.5712026577</v>
      </c>
      <c r="M120" s="129"/>
      <c r="N120" s="130"/>
      <c r="O120" s="127"/>
      <c r="P120" s="127"/>
      <c r="Q120" s="131"/>
    </row>
    <row r="121" spans="1:17" s="126" customFormat="1" x14ac:dyDescent="0.25">
      <c r="A121" s="175">
        <f>Données!A121</f>
        <v>5607</v>
      </c>
      <c r="B121" s="353" t="str">
        <f>Données!B121</f>
        <v>Puidoux</v>
      </c>
      <c r="C121" s="175">
        <f>Données!AR121</f>
        <v>1</v>
      </c>
      <c r="D121" s="354">
        <f>Données!Z121</f>
        <v>2994</v>
      </c>
      <c r="E121" s="128">
        <f>Données!X121</f>
        <v>68.5</v>
      </c>
      <c r="F121" s="31">
        <f>VPI!L121</f>
        <v>7252726.4299999997</v>
      </c>
      <c r="G121" s="8">
        <f t="shared" si="8"/>
        <v>211758.43591240875</v>
      </c>
      <c r="H121" s="26">
        <f t="shared" si="9"/>
        <v>267253.94460345287</v>
      </c>
      <c r="I121" s="8">
        <f t="shared" si="10"/>
        <v>0</v>
      </c>
      <c r="J121" s="8">
        <f>VPI!R121</f>
        <v>117496.04099650904</v>
      </c>
      <c r="K121" s="236">
        <f t="shared" si="11"/>
        <v>138664.86227316546</v>
      </c>
      <c r="L121" s="342">
        <f t="shared" si="12"/>
        <v>138664.86227316546</v>
      </c>
      <c r="M121" s="129"/>
      <c r="N121" s="130"/>
      <c r="O121" s="127"/>
      <c r="P121" s="127"/>
      <c r="Q121" s="131"/>
    </row>
    <row r="122" spans="1:17" s="126" customFormat="1" x14ac:dyDescent="0.25">
      <c r="A122" s="175">
        <f>Données!A122</f>
        <v>5609</v>
      </c>
      <c r="B122" s="353" t="str">
        <f>Données!B122</f>
        <v>Rivaz</v>
      </c>
      <c r="C122" s="175">
        <f>Données!AR122</f>
        <v>1</v>
      </c>
      <c r="D122" s="354">
        <f>Données!Z122</f>
        <v>332</v>
      </c>
      <c r="E122" s="128">
        <f>Données!X122</f>
        <v>62</v>
      </c>
      <c r="F122" s="31">
        <f>VPI!L122</f>
        <v>863664.20000000007</v>
      </c>
      <c r="G122" s="8">
        <f t="shared" si="8"/>
        <v>27860.13548387097</v>
      </c>
      <c r="H122" s="26">
        <f t="shared" si="9"/>
        <v>29635.373950683486</v>
      </c>
      <c r="I122" s="8">
        <f t="shared" si="10"/>
        <v>0</v>
      </c>
      <c r="J122" s="8">
        <f>VPI!R122</f>
        <v>14930.201612903227</v>
      </c>
      <c r="K122" s="236">
        <f t="shared" si="11"/>
        <v>17620.120072176134</v>
      </c>
      <c r="L122" s="342">
        <f t="shared" si="12"/>
        <v>17620.120072176134</v>
      </c>
      <c r="M122" s="129"/>
      <c r="N122" s="130"/>
      <c r="O122" s="127"/>
      <c r="P122" s="127"/>
      <c r="Q122" s="131"/>
    </row>
    <row r="123" spans="1:17" s="126" customFormat="1" x14ac:dyDescent="0.25">
      <c r="A123" s="175">
        <f>Données!A123</f>
        <v>5610</v>
      </c>
      <c r="B123" s="353" t="str">
        <f>Données!B123</f>
        <v>St-Saphorin (Lavaux)</v>
      </c>
      <c r="C123" s="175">
        <f>Données!AR123</f>
        <v>1</v>
      </c>
      <c r="D123" s="354">
        <f>Données!Z123</f>
        <v>402</v>
      </c>
      <c r="E123" s="128">
        <f>Données!X123</f>
        <v>72</v>
      </c>
      <c r="F123" s="31">
        <f>VPI!L123</f>
        <v>1423771.45</v>
      </c>
      <c r="G123" s="8">
        <f t="shared" si="8"/>
        <v>39549.206944444442</v>
      </c>
      <c r="H123" s="26">
        <f t="shared" si="9"/>
        <v>35883.796169201087</v>
      </c>
      <c r="I123" s="8">
        <f t="shared" si="10"/>
        <v>0</v>
      </c>
      <c r="J123" s="8">
        <f>VPI!R123</f>
        <v>21326.679629629627</v>
      </c>
      <c r="K123" s="236">
        <f t="shared" si="11"/>
        <v>25169.027556208297</v>
      </c>
      <c r="L123" s="342">
        <f t="shared" si="12"/>
        <v>25169.027556208297</v>
      </c>
      <c r="M123" s="129"/>
      <c r="N123" s="130"/>
      <c r="O123" s="127"/>
      <c r="P123" s="127"/>
      <c r="Q123" s="131"/>
    </row>
    <row r="124" spans="1:17" s="126" customFormat="1" x14ac:dyDescent="0.25">
      <c r="A124" s="175">
        <f>Données!A124</f>
        <v>5611</v>
      </c>
      <c r="B124" s="353" t="str">
        <f>Données!B124</f>
        <v>Savigny</v>
      </c>
      <c r="C124" s="175">
        <f>Données!AR124</f>
        <v>1</v>
      </c>
      <c r="D124" s="354">
        <f>Données!Z124</f>
        <v>3421</v>
      </c>
      <c r="E124" s="128">
        <f>Données!X124</f>
        <v>69</v>
      </c>
      <c r="F124" s="31">
        <f>VPI!L124</f>
        <v>8947359.5299999993</v>
      </c>
      <c r="G124" s="8">
        <f t="shared" si="8"/>
        <v>259343.75449275359</v>
      </c>
      <c r="H124" s="26">
        <f t="shared" si="9"/>
        <v>305369.32013641024</v>
      </c>
      <c r="I124" s="8">
        <f t="shared" si="10"/>
        <v>0</v>
      </c>
      <c r="J124" s="8">
        <f>VPI!R124</f>
        <v>139629.67036231884</v>
      </c>
      <c r="K124" s="236">
        <f t="shared" si="11"/>
        <v>164786.22467469945</v>
      </c>
      <c r="L124" s="342">
        <f t="shared" si="12"/>
        <v>164786.22467469945</v>
      </c>
      <c r="M124" s="129"/>
      <c r="N124" s="130"/>
      <c r="O124" s="127"/>
      <c r="P124" s="127"/>
      <c r="Q124" s="131"/>
    </row>
    <row r="125" spans="1:17" s="126" customFormat="1" x14ac:dyDescent="0.25">
      <c r="A125" s="175">
        <f>Données!A125</f>
        <v>5613</v>
      </c>
      <c r="B125" s="353" t="str">
        <f>Données!B125</f>
        <v>Bourg-en-Lavaux</v>
      </c>
      <c r="C125" s="175">
        <f>Données!AR125</f>
        <v>1</v>
      </c>
      <c r="D125" s="354">
        <f>Données!Z125</f>
        <v>5394</v>
      </c>
      <c r="E125" s="128">
        <f>Données!X125</f>
        <v>62.5</v>
      </c>
      <c r="F125" s="31">
        <f>VPI!L125</f>
        <v>21313592.370000005</v>
      </c>
      <c r="G125" s="8">
        <f t="shared" si="8"/>
        <v>682034.95584000018</v>
      </c>
      <c r="H125" s="26">
        <f t="shared" si="9"/>
        <v>481485.5635240564</v>
      </c>
      <c r="I125" s="8">
        <f t="shared" si="10"/>
        <v>0</v>
      </c>
      <c r="J125" s="8">
        <f>VPI!R125</f>
        <v>367206.35685333336</v>
      </c>
      <c r="K125" s="236">
        <f t="shared" si="11"/>
        <v>433364.54970777425</v>
      </c>
      <c r="L125" s="342">
        <f t="shared" si="12"/>
        <v>433364.54970777425</v>
      </c>
      <c r="M125" s="129"/>
      <c r="N125" s="130"/>
      <c r="O125" s="127"/>
      <c r="P125" s="127"/>
      <c r="Q125" s="131"/>
    </row>
    <row r="126" spans="1:17" s="126" customFormat="1" x14ac:dyDescent="0.25">
      <c r="A126" s="175">
        <f>Données!A126</f>
        <v>5621</v>
      </c>
      <c r="B126" s="353" t="str">
        <f>Données!B126</f>
        <v>Aclens</v>
      </c>
      <c r="C126" s="175">
        <f>Données!AR126</f>
        <v>0</v>
      </c>
      <c r="D126" s="354">
        <f>Données!Z126</f>
        <v>557</v>
      </c>
      <c r="E126" s="128">
        <f>Données!X126</f>
        <v>62</v>
      </c>
      <c r="F126" s="31">
        <f>VPI!L126</f>
        <v>2091524.31</v>
      </c>
      <c r="G126" s="8">
        <f t="shared" si="8"/>
        <v>67468.526129032267</v>
      </c>
      <c r="H126" s="26">
        <f t="shared" si="9"/>
        <v>49719.588224490064</v>
      </c>
      <c r="I126" s="8">
        <f t="shared" si="10"/>
        <v>49719.588224490064</v>
      </c>
      <c r="J126" s="8">
        <f>VPI!R126</f>
        <v>39203.094076246336</v>
      </c>
      <c r="K126" s="236">
        <f t="shared" si="11"/>
        <v>46266.168584575207</v>
      </c>
      <c r="L126" s="342">
        <f t="shared" si="12"/>
        <v>95985.756809065264</v>
      </c>
      <c r="M126" s="129"/>
      <c r="N126" s="130"/>
      <c r="O126" s="127"/>
      <c r="P126" s="127"/>
      <c r="Q126" s="131"/>
    </row>
    <row r="127" spans="1:17" s="126" customFormat="1" x14ac:dyDescent="0.25">
      <c r="A127" s="175">
        <f>Données!A127</f>
        <v>5622</v>
      </c>
      <c r="B127" s="353" t="str">
        <f>Données!B127</f>
        <v>Bremblens</v>
      </c>
      <c r="C127" s="175">
        <f>Données!AR127</f>
        <v>0</v>
      </c>
      <c r="D127" s="354">
        <f>Données!Z127</f>
        <v>604</v>
      </c>
      <c r="E127" s="128">
        <f>Données!X127</f>
        <v>68</v>
      </c>
      <c r="F127" s="31">
        <f>VPI!L127</f>
        <v>1943785.1900000002</v>
      </c>
      <c r="G127" s="8">
        <f t="shared" si="8"/>
        <v>57170.152647058829</v>
      </c>
      <c r="H127" s="26">
        <f t="shared" si="9"/>
        <v>53914.957428351881</v>
      </c>
      <c r="I127" s="8">
        <f t="shared" si="10"/>
        <v>53914.957428351881</v>
      </c>
      <c r="J127" s="8">
        <f>VPI!R127</f>
        <v>30852.761617647058</v>
      </c>
      <c r="K127" s="236">
        <f t="shared" si="11"/>
        <v>36411.388027831046</v>
      </c>
      <c r="L127" s="342">
        <f t="shared" si="12"/>
        <v>90326.345456182928</v>
      </c>
      <c r="M127" s="129"/>
      <c r="N127" s="130"/>
      <c r="O127" s="127"/>
      <c r="P127" s="127"/>
      <c r="Q127" s="131"/>
    </row>
    <row r="128" spans="1:17" s="126" customFormat="1" x14ac:dyDescent="0.25">
      <c r="A128" s="175">
        <f>Données!A128</f>
        <v>5623</v>
      </c>
      <c r="B128" s="353" t="str">
        <f>Données!B128</f>
        <v>Buchillon</v>
      </c>
      <c r="C128" s="175">
        <f>Données!AR128</f>
        <v>1</v>
      </c>
      <c r="D128" s="354">
        <f>Données!Z128</f>
        <v>670</v>
      </c>
      <c r="E128" s="128">
        <f>Données!X128</f>
        <v>52</v>
      </c>
      <c r="F128" s="31">
        <f>VPI!L128</f>
        <v>4226133.99</v>
      </c>
      <c r="G128" s="8">
        <f t="shared" si="8"/>
        <v>162543.61500000002</v>
      </c>
      <c r="H128" s="26">
        <f t="shared" si="9"/>
        <v>59806.32694866848</v>
      </c>
      <c r="I128" s="8">
        <f t="shared" si="10"/>
        <v>0</v>
      </c>
      <c r="J128" s="8">
        <f>VPI!R128</f>
        <v>88403.083461538452</v>
      </c>
      <c r="K128" s="236">
        <f t="shared" si="11"/>
        <v>104330.33563302438</v>
      </c>
      <c r="L128" s="342">
        <f t="shared" si="12"/>
        <v>104330.33563302438</v>
      </c>
      <c r="M128" s="129"/>
      <c r="N128" s="130"/>
      <c r="O128" s="127"/>
      <c r="P128" s="127"/>
      <c r="Q128" s="131"/>
    </row>
    <row r="129" spans="1:17" s="126" customFormat="1" x14ac:dyDescent="0.25">
      <c r="A129" s="175">
        <f>Données!A129</f>
        <v>5624</v>
      </c>
      <c r="B129" s="353" t="str">
        <f>Données!B129</f>
        <v>Bussigny</v>
      </c>
      <c r="C129" s="175">
        <f>Données!AR129</f>
        <v>1</v>
      </c>
      <c r="D129" s="354">
        <f>Données!Z129</f>
        <v>10397</v>
      </c>
      <c r="E129" s="128">
        <f>Données!X129</f>
        <v>62.5</v>
      </c>
      <c r="F129" s="31">
        <f>VPI!L129</f>
        <v>29637012.069999997</v>
      </c>
      <c r="G129" s="8">
        <f t="shared" si="8"/>
        <v>948384.38623999991</v>
      </c>
      <c r="H129" s="26">
        <f t="shared" si="9"/>
        <v>928069.2257989645</v>
      </c>
      <c r="I129" s="8">
        <f t="shared" si="10"/>
        <v>0</v>
      </c>
      <c r="J129" s="8">
        <f>VPI!R129</f>
        <v>522747.79375999991</v>
      </c>
      <c r="K129" s="236">
        <f t="shared" si="11"/>
        <v>616929.30426043179</v>
      </c>
      <c r="L129" s="342">
        <f t="shared" si="12"/>
        <v>616929.30426043179</v>
      </c>
      <c r="M129" s="129"/>
      <c r="N129" s="130"/>
      <c r="O129" s="127"/>
      <c r="P129" s="127"/>
      <c r="Q129" s="131"/>
    </row>
    <row r="130" spans="1:17" s="126" customFormat="1" x14ac:dyDescent="0.25">
      <c r="A130" s="175">
        <f>Données!A130</f>
        <v>5627</v>
      </c>
      <c r="B130" s="353" t="str">
        <f>Données!B130</f>
        <v>Chavannes-près-Renens</v>
      </c>
      <c r="C130" s="175">
        <f>Données!AR130</f>
        <v>1</v>
      </c>
      <c r="D130" s="354">
        <f>Données!Z130</f>
        <v>8734</v>
      </c>
      <c r="E130" s="128">
        <f>Données!X130</f>
        <v>77.5</v>
      </c>
      <c r="F130" s="31">
        <f>VPI!L130</f>
        <v>13126371.49</v>
      </c>
      <c r="G130" s="8">
        <f t="shared" si="8"/>
        <v>338745.07070967741</v>
      </c>
      <c r="H130" s="26">
        <f t="shared" si="9"/>
        <v>779624.56652189628</v>
      </c>
      <c r="I130" s="8">
        <f t="shared" si="10"/>
        <v>0</v>
      </c>
      <c r="J130" s="8">
        <f>VPI!R130</f>
        <v>188690.75535483871</v>
      </c>
      <c r="K130" s="236">
        <f t="shared" si="11"/>
        <v>222686.46144660874</v>
      </c>
      <c r="L130" s="342">
        <f t="shared" si="12"/>
        <v>222686.46144660874</v>
      </c>
      <c r="M130" s="129"/>
      <c r="N130" s="130"/>
      <c r="O130" s="127"/>
      <c r="P130" s="127"/>
      <c r="Q130" s="131"/>
    </row>
    <row r="131" spans="1:17" s="126" customFormat="1" x14ac:dyDescent="0.25">
      <c r="A131" s="175">
        <f>Données!A131</f>
        <v>5628</v>
      </c>
      <c r="B131" s="353" t="str">
        <f>Données!B131</f>
        <v>Chigny</v>
      </c>
      <c r="C131" s="175">
        <f>Données!AR131</f>
        <v>0</v>
      </c>
      <c r="D131" s="354">
        <f>Données!Z131</f>
        <v>419</v>
      </c>
      <c r="E131" s="128">
        <f>Données!X131</f>
        <v>62</v>
      </c>
      <c r="F131" s="31">
        <f>VPI!L131</f>
        <v>1601758.51</v>
      </c>
      <c r="G131" s="8">
        <f t="shared" si="8"/>
        <v>51669.629354838711</v>
      </c>
      <c r="H131" s="26">
        <f t="shared" si="9"/>
        <v>37401.270136555366</v>
      </c>
      <c r="I131" s="8">
        <f t="shared" si="10"/>
        <v>37401.270136555366</v>
      </c>
      <c r="J131" s="8">
        <f>VPI!R131</f>
        <v>27627.379193548386</v>
      </c>
      <c r="K131" s="236">
        <f t="shared" si="11"/>
        <v>32604.900542612551</v>
      </c>
      <c r="L131" s="342">
        <f t="shared" si="12"/>
        <v>70006.170679167917</v>
      </c>
      <c r="M131" s="129"/>
      <c r="N131" s="130"/>
      <c r="O131" s="127"/>
      <c r="P131" s="127"/>
      <c r="Q131" s="131"/>
    </row>
    <row r="132" spans="1:17" s="126" customFormat="1" x14ac:dyDescent="0.25">
      <c r="A132" s="175">
        <f>Données!A132</f>
        <v>5629</v>
      </c>
      <c r="B132" s="353" t="str">
        <f>Données!B132</f>
        <v>Clarmont</v>
      </c>
      <c r="C132" s="175">
        <f>Données!AR132</f>
        <v>0</v>
      </c>
      <c r="D132" s="354">
        <f>Données!Z132</f>
        <v>218</v>
      </c>
      <c r="E132" s="128">
        <f>Données!X132</f>
        <v>72</v>
      </c>
      <c r="F132" s="31">
        <f>VPI!L132</f>
        <v>678183.39999999991</v>
      </c>
      <c r="G132" s="8">
        <f t="shared" si="8"/>
        <v>18838.427777777775</v>
      </c>
      <c r="H132" s="26">
        <f t="shared" si="9"/>
        <v>19459.372051954819</v>
      </c>
      <c r="I132" s="8">
        <f t="shared" si="10"/>
        <v>18838.427777777775</v>
      </c>
      <c r="J132" s="8">
        <f>VPI!R132</f>
        <v>9964.7430555555547</v>
      </c>
      <c r="K132" s="236">
        <f t="shared" si="11"/>
        <v>11760.053459393979</v>
      </c>
      <c r="L132" s="342">
        <f t="shared" si="12"/>
        <v>30598.481237171756</v>
      </c>
      <c r="M132" s="129"/>
      <c r="N132" s="130"/>
      <c r="O132" s="127"/>
      <c r="P132" s="127"/>
      <c r="Q132" s="131"/>
    </row>
    <row r="133" spans="1:17" s="126" customFormat="1" x14ac:dyDescent="0.25">
      <c r="A133" s="175">
        <f>Données!A133</f>
        <v>5631</v>
      </c>
      <c r="B133" s="353" t="str">
        <f>Données!B133</f>
        <v>Denens</v>
      </c>
      <c r="C133" s="175">
        <f>Données!AR133</f>
        <v>0</v>
      </c>
      <c r="D133" s="354">
        <f>Données!Z133</f>
        <v>716</v>
      </c>
      <c r="E133" s="128">
        <f>Données!X133</f>
        <v>68</v>
      </c>
      <c r="F133" s="31">
        <f>VPI!L133</f>
        <v>2615753.62</v>
      </c>
      <c r="G133" s="8">
        <f t="shared" si="8"/>
        <v>76933.930000000008</v>
      </c>
      <c r="H133" s="26">
        <f t="shared" si="9"/>
        <v>63912.432977980046</v>
      </c>
      <c r="I133" s="8">
        <f t="shared" si="10"/>
        <v>63912.432977980046</v>
      </c>
      <c r="J133" s="8">
        <f>VPI!R133</f>
        <v>41694.310588235297</v>
      </c>
      <c r="K133" s="236">
        <f t="shared" si="11"/>
        <v>49206.21823729371</v>
      </c>
      <c r="L133" s="342">
        <f t="shared" si="12"/>
        <v>113118.65121527376</v>
      </c>
      <c r="M133" s="129"/>
      <c r="N133" s="130"/>
      <c r="O133" s="127"/>
      <c r="P133" s="127"/>
      <c r="Q133" s="131"/>
    </row>
    <row r="134" spans="1:17" s="126" customFormat="1" x14ac:dyDescent="0.25">
      <c r="A134" s="175">
        <f>Données!A134</f>
        <v>5632</v>
      </c>
      <c r="B134" s="353" t="str">
        <f>Données!B134</f>
        <v>Denges</v>
      </c>
      <c r="C134" s="175">
        <f>Données!AR134</f>
        <v>0</v>
      </c>
      <c r="D134" s="354">
        <f>Données!Z134</f>
        <v>1777</v>
      </c>
      <c r="E134" s="128">
        <f>Données!X134</f>
        <v>62</v>
      </c>
      <c r="F134" s="31">
        <f>VPI!L134</f>
        <v>4640456.1099999994</v>
      </c>
      <c r="G134" s="8">
        <f t="shared" si="8"/>
        <v>149692.13258064515</v>
      </c>
      <c r="H134" s="26">
        <f t="shared" si="9"/>
        <v>158620.66117579685</v>
      </c>
      <c r="I134" s="8">
        <f t="shared" si="10"/>
        <v>149692.13258064515</v>
      </c>
      <c r="J134" s="8">
        <f>VPI!R134</f>
        <v>81642.531612903229</v>
      </c>
      <c r="K134" s="236">
        <f t="shared" si="11"/>
        <v>96351.760499506054</v>
      </c>
      <c r="L134" s="342">
        <f t="shared" si="12"/>
        <v>246043.8930801512</v>
      </c>
      <c r="M134" s="129"/>
      <c r="N134" s="130"/>
      <c r="O134" s="127"/>
      <c r="P134" s="127"/>
      <c r="Q134" s="131"/>
    </row>
    <row r="135" spans="1:17" s="126" customFormat="1" x14ac:dyDescent="0.25">
      <c r="A135" s="175">
        <f>Données!A135</f>
        <v>5633</v>
      </c>
      <c r="B135" s="353" t="str">
        <f>Données!B135</f>
        <v>Echandens</v>
      </c>
      <c r="C135" s="175">
        <f>Données!AR135</f>
        <v>0</v>
      </c>
      <c r="D135" s="354">
        <f>Données!Z135</f>
        <v>2891</v>
      </c>
      <c r="E135" s="128">
        <f>Données!X135</f>
        <v>60.5</v>
      </c>
      <c r="F135" s="31">
        <f>VPI!L135</f>
        <v>8361586.7000000011</v>
      </c>
      <c r="G135" s="8">
        <f t="shared" ref="G135:G198" si="13">F135/E135*2</f>
        <v>276416.08925619838</v>
      </c>
      <c r="H135" s="26">
        <f t="shared" ref="H135:H198" si="14">+$G$306/$D$306*D135</f>
        <v>258059.83762477699</v>
      </c>
      <c r="I135" s="8">
        <f t="shared" ref="I135:I198" si="15">IF(C135=1,0,IF(H135&gt;G135,G135,H135))</f>
        <v>258059.83762477699</v>
      </c>
      <c r="J135" s="8">
        <f>VPI!R135</f>
        <v>149835.3479338843</v>
      </c>
      <c r="K135" s="236">
        <f t="shared" ref="K135:K198" si="16">+$K$5*J135</f>
        <v>176830.62091871846</v>
      </c>
      <c r="L135" s="342">
        <f t="shared" ref="L135:L198" si="17">+K135+I135</f>
        <v>434890.45854349545</v>
      </c>
      <c r="M135" s="129"/>
      <c r="N135" s="130"/>
      <c r="O135" s="127"/>
      <c r="P135" s="127"/>
      <c r="Q135" s="131"/>
    </row>
    <row r="136" spans="1:17" s="126" customFormat="1" x14ac:dyDescent="0.25">
      <c r="A136" s="175">
        <f>Données!A136</f>
        <v>5634</v>
      </c>
      <c r="B136" s="353" t="str">
        <f>Données!B136</f>
        <v>Echichens</v>
      </c>
      <c r="C136" s="175">
        <f>Données!AR136</f>
        <v>0</v>
      </c>
      <c r="D136" s="354">
        <f>Données!Z136</f>
        <v>3214</v>
      </c>
      <c r="E136" s="128">
        <f>Données!X136</f>
        <v>66</v>
      </c>
      <c r="F136" s="31">
        <f>VPI!L136</f>
        <v>11298127.010000004</v>
      </c>
      <c r="G136" s="8">
        <f t="shared" si="13"/>
        <v>342367.48515151528</v>
      </c>
      <c r="H136" s="26">
        <f t="shared" si="14"/>
        <v>286891.84300450818</v>
      </c>
      <c r="I136" s="8">
        <f t="shared" si="15"/>
        <v>286891.84300450818</v>
      </c>
      <c r="J136" s="8">
        <f>VPI!R136</f>
        <v>183137.63424242428</v>
      </c>
      <c r="K136" s="236">
        <f t="shared" si="16"/>
        <v>216132.8553190454</v>
      </c>
      <c r="L136" s="342">
        <f t="shared" si="17"/>
        <v>503024.69832355354</v>
      </c>
      <c r="M136" s="129"/>
      <c r="N136" s="130"/>
      <c r="O136" s="127"/>
      <c r="P136" s="127"/>
      <c r="Q136" s="131"/>
    </row>
    <row r="137" spans="1:17" s="126" customFormat="1" x14ac:dyDescent="0.25">
      <c r="A137" s="175">
        <f>Données!A137</f>
        <v>5635</v>
      </c>
      <c r="B137" s="353" t="str">
        <f>Données!B137</f>
        <v>Ecublens</v>
      </c>
      <c r="C137" s="175">
        <f>Données!AR137</f>
        <v>1</v>
      </c>
      <c r="D137" s="354">
        <f>Données!Z137</f>
        <v>13142</v>
      </c>
      <c r="E137" s="128">
        <f>Données!X137</f>
        <v>62.5</v>
      </c>
      <c r="F137" s="31">
        <f>VPI!L137</f>
        <v>28986007</v>
      </c>
      <c r="G137" s="8">
        <f t="shared" si="13"/>
        <v>927552.22400000005</v>
      </c>
      <c r="H137" s="26">
        <f t="shared" si="14"/>
        <v>1173096.6399394048</v>
      </c>
      <c r="I137" s="8">
        <f t="shared" si="15"/>
        <v>0</v>
      </c>
      <c r="J137" s="8">
        <f>VPI!R137</f>
        <v>516165.47293333331</v>
      </c>
      <c r="K137" s="236">
        <f t="shared" si="16"/>
        <v>609161.07136401755</v>
      </c>
      <c r="L137" s="342">
        <f t="shared" si="17"/>
        <v>609161.07136401755</v>
      </c>
      <c r="M137" s="129"/>
      <c r="N137" s="130"/>
      <c r="O137" s="127"/>
      <c r="P137" s="127"/>
      <c r="Q137" s="131"/>
    </row>
    <row r="138" spans="1:17" s="126" customFormat="1" x14ac:dyDescent="0.25">
      <c r="A138" s="175">
        <f>Données!A138</f>
        <v>5636</v>
      </c>
      <c r="B138" s="353" t="str">
        <f>Données!B138</f>
        <v>Etoy</v>
      </c>
      <c r="C138" s="175">
        <f>Données!AR138</f>
        <v>0</v>
      </c>
      <c r="D138" s="354">
        <f>Données!Z138</f>
        <v>2941</v>
      </c>
      <c r="E138" s="128">
        <f>Données!X138</f>
        <v>60</v>
      </c>
      <c r="F138" s="31">
        <f>VPI!L138</f>
        <v>9905113.2300000004</v>
      </c>
      <c r="G138" s="8">
        <f t="shared" si="13"/>
        <v>330170.44099999999</v>
      </c>
      <c r="H138" s="26">
        <f t="shared" si="14"/>
        <v>262522.99635228957</v>
      </c>
      <c r="I138" s="8">
        <f t="shared" si="15"/>
        <v>262522.99635228957</v>
      </c>
      <c r="J138" s="8">
        <f>VPI!R138</f>
        <v>189458.35050000003</v>
      </c>
      <c r="K138" s="236">
        <f t="shared" si="16"/>
        <v>223592.35133177097</v>
      </c>
      <c r="L138" s="342">
        <f t="shared" si="17"/>
        <v>486115.34768406057</v>
      </c>
      <c r="M138" s="129"/>
      <c r="N138" s="130"/>
      <c r="O138" s="127"/>
      <c r="P138" s="127"/>
      <c r="Q138" s="131"/>
    </row>
    <row r="139" spans="1:17" s="126" customFormat="1" x14ac:dyDescent="0.25">
      <c r="A139" s="175">
        <f>Données!A139</f>
        <v>5637</v>
      </c>
      <c r="B139" s="353" t="str">
        <f>Données!B139</f>
        <v>Lavigny</v>
      </c>
      <c r="C139" s="175">
        <f>Données!AR139</f>
        <v>0</v>
      </c>
      <c r="D139" s="354">
        <f>Données!Z139</f>
        <v>1038</v>
      </c>
      <c r="E139" s="128">
        <f>Données!X139</f>
        <v>73</v>
      </c>
      <c r="F139" s="31">
        <f>VPI!L139</f>
        <v>2441415.77</v>
      </c>
      <c r="G139" s="8">
        <f t="shared" si="13"/>
        <v>66888.103287671227</v>
      </c>
      <c r="H139" s="26">
        <f t="shared" si="14"/>
        <v>92655.175183161016</v>
      </c>
      <c r="I139" s="8">
        <f t="shared" si="15"/>
        <v>66888.103287671227</v>
      </c>
      <c r="J139" s="8">
        <f>VPI!R139</f>
        <v>36293.809863013703</v>
      </c>
      <c r="K139" s="236">
        <f t="shared" si="16"/>
        <v>42832.729539991706</v>
      </c>
      <c r="L139" s="342">
        <f t="shared" si="17"/>
        <v>109720.83282766293</v>
      </c>
      <c r="M139" s="129"/>
      <c r="N139" s="130"/>
      <c r="O139" s="127"/>
      <c r="P139" s="127"/>
      <c r="Q139" s="131"/>
    </row>
    <row r="140" spans="1:17" s="126" customFormat="1" x14ac:dyDescent="0.25">
      <c r="A140" s="175">
        <f>Données!A140</f>
        <v>5638</v>
      </c>
      <c r="B140" s="353" t="str">
        <f>Données!B140</f>
        <v>Lonay</v>
      </c>
      <c r="C140" s="175">
        <f>Données!AR140</f>
        <v>0</v>
      </c>
      <c r="D140" s="354">
        <f>Données!Z140</f>
        <v>2677</v>
      </c>
      <c r="E140" s="128">
        <f>Données!X140</f>
        <v>55</v>
      </c>
      <c r="F140" s="31">
        <f>VPI!L140</f>
        <v>7676323.0000000009</v>
      </c>
      <c r="G140" s="8">
        <f t="shared" si="13"/>
        <v>279139.01818181819</v>
      </c>
      <c r="H140" s="26">
        <f t="shared" si="14"/>
        <v>238957.51827102317</v>
      </c>
      <c r="I140" s="8">
        <f t="shared" si="15"/>
        <v>238957.51827102317</v>
      </c>
      <c r="J140" s="8">
        <f>VPI!R140</f>
        <v>153893.84090909091</v>
      </c>
      <c r="K140" s="236">
        <f t="shared" si="16"/>
        <v>181620.31736015307</v>
      </c>
      <c r="L140" s="342">
        <f t="shared" si="17"/>
        <v>420577.83563117625</v>
      </c>
      <c r="M140" s="129"/>
      <c r="N140" s="130"/>
      <c r="O140" s="127"/>
      <c r="P140" s="127"/>
      <c r="Q140" s="131"/>
    </row>
    <row r="141" spans="1:17" s="126" customFormat="1" x14ac:dyDescent="0.25">
      <c r="A141" s="175">
        <f>Données!A141</f>
        <v>5639</v>
      </c>
      <c r="B141" s="353" t="str">
        <f>Données!B141</f>
        <v>Lully</v>
      </c>
      <c r="C141" s="175">
        <f>Données!AR141</f>
        <v>0</v>
      </c>
      <c r="D141" s="354">
        <f>Données!Z141</f>
        <v>827</v>
      </c>
      <c r="E141" s="128">
        <f>Données!X141</f>
        <v>61</v>
      </c>
      <c r="F141" s="31">
        <f>VPI!L141</f>
        <v>2972275.9699999993</v>
      </c>
      <c r="G141" s="8">
        <f t="shared" si="13"/>
        <v>97451.671147540954</v>
      </c>
      <c r="H141" s="26">
        <f t="shared" si="14"/>
        <v>73820.64535305796</v>
      </c>
      <c r="I141" s="8">
        <f t="shared" si="15"/>
        <v>73820.64535305796</v>
      </c>
      <c r="J141" s="8">
        <f>VPI!R141</f>
        <v>52242.173114754092</v>
      </c>
      <c r="K141" s="236">
        <f t="shared" si="16"/>
        <v>61654.449616932005</v>
      </c>
      <c r="L141" s="342">
        <f t="shared" si="17"/>
        <v>135475.09496998996</v>
      </c>
      <c r="M141" s="129"/>
      <c r="N141" s="130"/>
      <c r="O141" s="127"/>
      <c r="P141" s="127"/>
      <c r="Q141" s="131"/>
    </row>
    <row r="142" spans="1:17" s="126" customFormat="1" x14ac:dyDescent="0.25">
      <c r="A142" s="175">
        <f>Données!A142</f>
        <v>5640</v>
      </c>
      <c r="B142" s="353" t="str">
        <f>Données!B142</f>
        <v>Lussy-sur-Morges</v>
      </c>
      <c r="C142" s="175">
        <f>Données!AR142</f>
        <v>1</v>
      </c>
      <c r="D142" s="354">
        <f>Données!Z142</f>
        <v>730</v>
      </c>
      <c r="E142" s="128">
        <f>Données!X142</f>
        <v>64.5</v>
      </c>
      <c r="F142" s="31">
        <f>VPI!L142</f>
        <v>3495412.38</v>
      </c>
      <c r="G142" s="8">
        <f t="shared" si="13"/>
        <v>108384.87999999999</v>
      </c>
      <c r="H142" s="26">
        <f t="shared" si="14"/>
        <v>65162.117421683572</v>
      </c>
      <c r="I142" s="8">
        <f t="shared" si="15"/>
        <v>0</v>
      </c>
      <c r="J142" s="8">
        <f>VPI!R142</f>
        <v>57771.49271317829</v>
      </c>
      <c r="K142" s="236">
        <f t="shared" si="16"/>
        <v>68179.966000948611</v>
      </c>
      <c r="L142" s="342">
        <f t="shared" si="17"/>
        <v>68179.966000948611</v>
      </c>
      <c r="M142" s="129"/>
      <c r="N142" s="130"/>
      <c r="O142" s="127"/>
      <c r="P142" s="127"/>
      <c r="Q142" s="131"/>
    </row>
    <row r="143" spans="1:17" s="126" customFormat="1" x14ac:dyDescent="0.25">
      <c r="A143" s="175">
        <f>Données!A143</f>
        <v>5642</v>
      </c>
      <c r="B143" s="353" t="str">
        <f>Données!B143</f>
        <v>Morges</v>
      </c>
      <c r="C143" s="175">
        <f>Données!AR143</f>
        <v>1</v>
      </c>
      <c r="D143" s="354">
        <f>Données!Z143</f>
        <v>17535</v>
      </c>
      <c r="E143" s="128">
        <f>Données!X143</f>
        <v>67</v>
      </c>
      <c r="F143" s="31">
        <f>VPI!L143</f>
        <v>61651305.960000001</v>
      </c>
      <c r="G143" s="8">
        <f t="shared" si="13"/>
        <v>1840337.4913432836</v>
      </c>
      <c r="H143" s="26">
        <f t="shared" si="14"/>
        <v>1565229.7657386593</v>
      </c>
      <c r="I143" s="8">
        <f t="shared" si="15"/>
        <v>0</v>
      </c>
      <c r="J143" s="8">
        <f>VPI!R143</f>
        <v>980547.23447761196</v>
      </c>
      <c r="K143" s="236">
        <f t="shared" si="16"/>
        <v>1157208.7541673945</v>
      </c>
      <c r="L143" s="342">
        <f t="shared" si="17"/>
        <v>1157208.7541673945</v>
      </c>
      <c r="M143" s="129"/>
      <c r="N143" s="130"/>
      <c r="O143" s="127"/>
      <c r="P143" s="127"/>
      <c r="Q143" s="131"/>
    </row>
    <row r="144" spans="1:17" s="126" customFormat="1" x14ac:dyDescent="0.25">
      <c r="A144" s="175">
        <f>Données!A144</f>
        <v>5643</v>
      </c>
      <c r="B144" s="353" t="str">
        <f>Données!B144</f>
        <v>Préverenges</v>
      </c>
      <c r="C144" s="175">
        <f>Données!AR144</f>
        <v>1</v>
      </c>
      <c r="D144" s="354">
        <f>Données!Z144</f>
        <v>5218</v>
      </c>
      <c r="E144" s="128">
        <f>Données!X144</f>
        <v>62.5</v>
      </c>
      <c r="F144" s="31">
        <f>VPI!L144</f>
        <v>14525460.289999999</v>
      </c>
      <c r="G144" s="8">
        <f t="shared" si="13"/>
        <v>464814.72927999997</v>
      </c>
      <c r="H144" s="26">
        <f t="shared" si="14"/>
        <v>465775.24480321212</v>
      </c>
      <c r="I144" s="8">
        <f t="shared" si="15"/>
        <v>0</v>
      </c>
      <c r="J144" s="8">
        <f>VPI!R144</f>
        <v>252724.38943999997</v>
      </c>
      <c r="K144" s="236">
        <f t="shared" si="16"/>
        <v>298256.79535711871</v>
      </c>
      <c r="L144" s="342">
        <f t="shared" si="17"/>
        <v>298256.79535711871</v>
      </c>
      <c r="M144" s="129"/>
      <c r="N144" s="130"/>
      <c r="O144" s="127"/>
      <c r="P144" s="127"/>
      <c r="Q144" s="131"/>
    </row>
    <row r="145" spans="1:17" s="126" customFormat="1" x14ac:dyDescent="0.25">
      <c r="A145" s="175">
        <f>Données!A145</f>
        <v>5645</v>
      </c>
      <c r="B145" s="353" t="str">
        <f>Données!B145</f>
        <v>Romanel-sur-Morges</v>
      </c>
      <c r="C145" s="175">
        <f>Données!AR145</f>
        <v>0</v>
      </c>
      <c r="D145" s="354">
        <f>Données!Z145</f>
        <v>458</v>
      </c>
      <c r="E145" s="128">
        <f>Données!X145</f>
        <v>56</v>
      </c>
      <c r="F145" s="31">
        <f>VPI!L145</f>
        <v>1146811.8500000001</v>
      </c>
      <c r="G145" s="8">
        <f t="shared" si="13"/>
        <v>40957.566071428577</v>
      </c>
      <c r="H145" s="26">
        <f t="shared" si="14"/>
        <v>40882.533944015173</v>
      </c>
      <c r="I145" s="8">
        <f t="shared" si="15"/>
        <v>40882.533944015173</v>
      </c>
      <c r="J145" s="8">
        <f>VPI!R145</f>
        <v>23768.997321428575</v>
      </c>
      <c r="K145" s="236">
        <f t="shared" si="16"/>
        <v>28051.368471598616</v>
      </c>
      <c r="L145" s="342">
        <f t="shared" si="17"/>
        <v>68933.902415613789</v>
      </c>
      <c r="M145" s="129"/>
      <c r="N145" s="130"/>
      <c r="O145" s="127"/>
      <c r="P145" s="127"/>
      <c r="Q145" s="131"/>
    </row>
    <row r="146" spans="1:17" s="126" customFormat="1" x14ac:dyDescent="0.25">
      <c r="A146" s="175">
        <f>Données!A146</f>
        <v>5646</v>
      </c>
      <c r="B146" s="353" t="str">
        <f>Données!B146</f>
        <v>Saint-Prex</v>
      </c>
      <c r="C146" s="175">
        <f>Données!AR146</f>
        <v>1</v>
      </c>
      <c r="D146" s="354">
        <f>Données!Z146</f>
        <v>5877</v>
      </c>
      <c r="E146" s="128">
        <f>Données!X146</f>
        <v>59</v>
      </c>
      <c r="F146" s="31">
        <f>VPI!L146</f>
        <v>28533166.309999995</v>
      </c>
      <c r="G146" s="8">
        <f t="shared" si="13"/>
        <v>967225.97661016928</v>
      </c>
      <c r="H146" s="26">
        <f t="shared" si="14"/>
        <v>524599.67683182785</v>
      </c>
      <c r="I146" s="8">
        <f t="shared" si="15"/>
        <v>0</v>
      </c>
      <c r="J146" s="8">
        <f>VPI!R146</f>
        <v>515578.26330508466</v>
      </c>
      <c r="K146" s="236">
        <f t="shared" si="16"/>
        <v>608468.06637818157</v>
      </c>
      <c r="L146" s="342">
        <f t="shared" si="17"/>
        <v>608468.06637818157</v>
      </c>
      <c r="M146" s="129"/>
      <c r="N146" s="130"/>
      <c r="O146" s="127"/>
      <c r="P146" s="127"/>
      <c r="Q146" s="131"/>
    </row>
    <row r="147" spans="1:17" s="126" customFormat="1" x14ac:dyDescent="0.25">
      <c r="A147" s="175">
        <f>Données!A147</f>
        <v>5648</v>
      </c>
      <c r="B147" s="353" t="str">
        <f>Données!B147</f>
        <v>Saint-Sulpice</v>
      </c>
      <c r="C147" s="175">
        <f>Données!AR147</f>
        <v>1</v>
      </c>
      <c r="D147" s="354">
        <f>Données!Z147</f>
        <v>5043</v>
      </c>
      <c r="E147" s="128">
        <f>Données!X147</f>
        <v>55</v>
      </c>
      <c r="F147" s="31">
        <f>VPI!L147</f>
        <v>20863430.350000001</v>
      </c>
      <c r="G147" s="8">
        <f t="shared" si="13"/>
        <v>758670.19454545458</v>
      </c>
      <c r="H147" s="26">
        <f t="shared" si="14"/>
        <v>450154.18925691815</v>
      </c>
      <c r="I147" s="8">
        <f t="shared" si="15"/>
        <v>0</v>
      </c>
      <c r="J147" s="8">
        <f>VPI!R147</f>
        <v>417040.44568181824</v>
      </c>
      <c r="K147" s="236">
        <f t="shared" si="16"/>
        <v>492177.05951919727</v>
      </c>
      <c r="L147" s="342">
        <f t="shared" si="17"/>
        <v>492177.05951919727</v>
      </c>
      <c r="M147" s="129"/>
      <c r="N147" s="130"/>
      <c r="O147" s="127"/>
      <c r="P147" s="127"/>
      <c r="Q147" s="131"/>
    </row>
    <row r="148" spans="1:17" s="126" customFormat="1" x14ac:dyDescent="0.25">
      <c r="A148" s="175">
        <f>Données!A148</f>
        <v>5649</v>
      </c>
      <c r="B148" s="353" t="str">
        <f>Données!B148</f>
        <v>Tolochenaz</v>
      </c>
      <c r="C148" s="175">
        <f>Données!AR148</f>
        <v>1</v>
      </c>
      <c r="D148" s="354">
        <f>Données!Z148</f>
        <v>1890</v>
      </c>
      <c r="E148" s="128">
        <f>Données!X148</f>
        <v>64</v>
      </c>
      <c r="F148" s="31">
        <f>VPI!L148</f>
        <v>10466263.4</v>
      </c>
      <c r="G148" s="8">
        <f t="shared" si="13"/>
        <v>327070.73125000001</v>
      </c>
      <c r="H148" s="26">
        <f t="shared" si="14"/>
        <v>168707.39989997525</v>
      </c>
      <c r="I148" s="8">
        <f t="shared" si="15"/>
        <v>0</v>
      </c>
      <c r="J148" s="8">
        <f>VPI!R148</f>
        <v>173464.05234375002</v>
      </c>
      <c r="K148" s="236">
        <f t="shared" si="16"/>
        <v>204716.42043076089</v>
      </c>
      <c r="L148" s="342">
        <f t="shared" si="17"/>
        <v>204716.42043076089</v>
      </c>
      <c r="M148" s="129"/>
      <c r="N148" s="130"/>
      <c r="O148" s="127"/>
      <c r="P148" s="127"/>
      <c r="Q148" s="131"/>
    </row>
    <row r="149" spans="1:17" s="126" customFormat="1" x14ac:dyDescent="0.25">
      <c r="A149" s="175">
        <f>Données!A149</f>
        <v>5650</v>
      </c>
      <c r="B149" s="353" t="str">
        <f>Données!B149</f>
        <v>Vaux-sur-Morges</v>
      </c>
      <c r="C149" s="175">
        <f>Données!AR149</f>
        <v>0</v>
      </c>
      <c r="D149" s="354">
        <f>Données!Z149</f>
        <v>187</v>
      </c>
      <c r="E149" s="128">
        <f>Données!X149</f>
        <v>56</v>
      </c>
      <c r="F149" s="31">
        <f>VPI!L149</f>
        <v>5016524.3800000008</v>
      </c>
      <c r="G149" s="8">
        <f t="shared" si="13"/>
        <v>179161.58500000002</v>
      </c>
      <c r="H149" s="26">
        <f t="shared" si="14"/>
        <v>16692.213640897022</v>
      </c>
      <c r="I149" s="8">
        <f t="shared" si="15"/>
        <v>16692.213640897022</v>
      </c>
      <c r="J149" s="8">
        <f>VPI!R149</f>
        <v>90407.863928571445</v>
      </c>
      <c r="K149" s="236">
        <f t="shared" si="16"/>
        <v>106696.30988195523</v>
      </c>
      <c r="L149" s="342">
        <f t="shared" si="17"/>
        <v>123388.52352285225</v>
      </c>
      <c r="M149" s="129"/>
      <c r="N149" s="130"/>
      <c r="O149" s="127"/>
      <c r="P149" s="127"/>
      <c r="Q149" s="131"/>
    </row>
    <row r="150" spans="1:17" s="126" customFormat="1" x14ac:dyDescent="0.25">
      <c r="A150" s="175">
        <f>Données!A150</f>
        <v>5651</v>
      </c>
      <c r="B150" s="353" t="str">
        <f>Données!B150</f>
        <v>Villars-Sainte-Croix</v>
      </c>
      <c r="C150" s="175">
        <f>Données!AR150</f>
        <v>1</v>
      </c>
      <c r="D150" s="354">
        <f>Données!Z150</f>
        <v>978</v>
      </c>
      <c r="E150" s="128">
        <f>Données!X150</f>
        <v>60.5</v>
      </c>
      <c r="F150" s="31">
        <f>VPI!L150</f>
        <v>3007567.5100000002</v>
      </c>
      <c r="G150" s="8">
        <f t="shared" si="13"/>
        <v>99423.719338842988</v>
      </c>
      <c r="H150" s="26">
        <f t="shared" si="14"/>
        <v>87299.384710145925</v>
      </c>
      <c r="I150" s="8">
        <f t="shared" si="15"/>
        <v>0</v>
      </c>
      <c r="J150" s="8">
        <f>VPI!R150</f>
        <v>56008.147272727285</v>
      </c>
      <c r="K150" s="236">
        <f t="shared" si="16"/>
        <v>66098.925222328515</v>
      </c>
      <c r="L150" s="342">
        <f t="shared" si="17"/>
        <v>66098.925222328515</v>
      </c>
      <c r="M150" s="129"/>
      <c r="N150" s="130"/>
      <c r="O150" s="127"/>
      <c r="P150" s="127"/>
      <c r="Q150" s="131"/>
    </row>
    <row r="151" spans="1:17" s="126" customFormat="1" x14ac:dyDescent="0.25">
      <c r="A151" s="175">
        <f>Données!A151</f>
        <v>5652</v>
      </c>
      <c r="B151" s="353" t="str">
        <f>Données!B151</f>
        <v>Villars-sous-Yens</v>
      </c>
      <c r="C151" s="175">
        <f>Données!AR151</f>
        <v>0</v>
      </c>
      <c r="D151" s="354">
        <f>Données!Z151</f>
        <v>615</v>
      </c>
      <c r="E151" s="128">
        <f>Données!X151</f>
        <v>76</v>
      </c>
      <c r="F151" s="31">
        <f>VPI!L151</f>
        <v>1855115.71</v>
      </c>
      <c r="G151" s="8">
        <f t="shared" si="13"/>
        <v>48818.834473684212</v>
      </c>
      <c r="H151" s="26">
        <f t="shared" si="14"/>
        <v>54896.852348404653</v>
      </c>
      <c r="I151" s="8">
        <f t="shared" si="15"/>
        <v>48818.834473684212</v>
      </c>
      <c r="J151" s="8">
        <f>VPI!R151</f>
        <v>25957.212521929825</v>
      </c>
      <c r="K151" s="236">
        <f t="shared" si="16"/>
        <v>30633.826202328186</v>
      </c>
      <c r="L151" s="342">
        <f t="shared" si="17"/>
        <v>79452.660676012398</v>
      </c>
      <c r="M151" s="129"/>
      <c r="N151" s="130"/>
      <c r="O151" s="127"/>
      <c r="P151" s="127"/>
      <c r="Q151" s="131"/>
    </row>
    <row r="152" spans="1:17" s="126" customFormat="1" x14ac:dyDescent="0.25">
      <c r="A152" s="175">
        <f>Données!A152</f>
        <v>5653</v>
      </c>
      <c r="B152" s="353" t="str">
        <f>Données!B152</f>
        <v>Vufflens-le-Château</v>
      </c>
      <c r="C152" s="175">
        <f>Données!AR152</f>
        <v>0</v>
      </c>
      <c r="D152" s="354">
        <f>Données!Z152</f>
        <v>886</v>
      </c>
      <c r="E152" s="128">
        <f>Données!X152</f>
        <v>58.5</v>
      </c>
      <c r="F152" s="31">
        <f>VPI!L152</f>
        <v>3919069.6300000004</v>
      </c>
      <c r="G152" s="8">
        <f t="shared" si="13"/>
        <v>133985.2864957265</v>
      </c>
      <c r="H152" s="26">
        <f t="shared" si="14"/>
        <v>79087.172651522793</v>
      </c>
      <c r="I152" s="8">
        <f t="shared" si="15"/>
        <v>79087.172651522793</v>
      </c>
      <c r="J152" s="8">
        <f>VPI!R152</f>
        <v>71315.778290598289</v>
      </c>
      <c r="K152" s="236">
        <f t="shared" si="16"/>
        <v>84164.474740584919</v>
      </c>
      <c r="L152" s="342">
        <f t="shared" si="17"/>
        <v>163251.6473921077</v>
      </c>
      <c r="M152" s="129"/>
      <c r="N152" s="130"/>
      <c r="O152" s="127"/>
      <c r="P152" s="127"/>
      <c r="Q152" s="131"/>
    </row>
    <row r="153" spans="1:17" s="126" customFormat="1" x14ac:dyDescent="0.25">
      <c r="A153" s="175">
        <f>Données!A153</f>
        <v>5654</v>
      </c>
      <c r="B153" s="353" t="str">
        <f>Données!B153</f>
        <v>Vullierens</v>
      </c>
      <c r="C153" s="175">
        <f>Données!AR153</f>
        <v>0</v>
      </c>
      <c r="D153" s="354">
        <f>Données!Z153</f>
        <v>563</v>
      </c>
      <c r="E153" s="128">
        <f>Données!X153</f>
        <v>76</v>
      </c>
      <c r="F153" s="31">
        <f>VPI!L153</f>
        <v>1459302.7099999997</v>
      </c>
      <c r="G153" s="8">
        <f t="shared" si="13"/>
        <v>38402.702894736838</v>
      </c>
      <c r="H153" s="26">
        <f t="shared" si="14"/>
        <v>50255.167271791572</v>
      </c>
      <c r="I153" s="8">
        <f t="shared" si="15"/>
        <v>38402.702894736838</v>
      </c>
      <c r="J153" s="8">
        <f>VPI!R153</f>
        <v>20741.31131578947</v>
      </c>
      <c r="K153" s="236">
        <f t="shared" si="16"/>
        <v>24478.195627495632</v>
      </c>
      <c r="L153" s="342">
        <f t="shared" si="17"/>
        <v>62880.89852223247</v>
      </c>
      <c r="M153" s="129"/>
      <c r="N153" s="130"/>
      <c r="O153" s="127"/>
      <c r="P153" s="127"/>
      <c r="Q153" s="131"/>
    </row>
    <row r="154" spans="1:17" s="126" customFormat="1" x14ac:dyDescent="0.25">
      <c r="A154" s="175">
        <f>Données!A154</f>
        <v>5655</v>
      </c>
      <c r="B154" s="353" t="str">
        <f>Données!B154</f>
        <v>Yens</v>
      </c>
      <c r="C154" s="175">
        <f>Données!AR154</f>
        <v>0</v>
      </c>
      <c r="D154" s="354">
        <f>Données!Z154</f>
        <v>1517</v>
      </c>
      <c r="E154" s="128">
        <f>Données!X154</f>
        <v>71.5</v>
      </c>
      <c r="F154" s="31">
        <f>VPI!L154</f>
        <v>5370339.4899999993</v>
      </c>
      <c r="G154" s="8">
        <f t="shared" si="13"/>
        <v>150219.28643356642</v>
      </c>
      <c r="H154" s="26">
        <f t="shared" si="14"/>
        <v>135412.23579273146</v>
      </c>
      <c r="I154" s="8">
        <f t="shared" si="15"/>
        <v>135412.23579273146</v>
      </c>
      <c r="J154" s="8">
        <f>VPI!R154</f>
        <v>81488.710349650341</v>
      </c>
      <c r="K154" s="236">
        <f t="shared" si="16"/>
        <v>96170.225835846373</v>
      </c>
      <c r="L154" s="342">
        <f t="shared" si="17"/>
        <v>231582.46162857785</v>
      </c>
      <c r="M154" s="129"/>
      <c r="N154" s="130"/>
      <c r="O154" s="127"/>
      <c r="P154" s="127"/>
      <c r="Q154" s="131"/>
    </row>
    <row r="155" spans="1:17" s="126" customFormat="1" x14ac:dyDescent="0.25">
      <c r="A155" s="175">
        <f>Données!A155</f>
        <v>5656</v>
      </c>
      <c r="B155" s="353" t="str">
        <f>Données!B155</f>
        <v>Hautemorges</v>
      </c>
      <c r="C155" s="175">
        <f>Données!AR155</f>
        <v>0</v>
      </c>
      <c r="D155" s="354">
        <f>Données!Z155</f>
        <v>4263</v>
      </c>
      <c r="E155" s="128">
        <f>Données!X155</f>
        <v>72.5</v>
      </c>
      <c r="F155" s="31">
        <f>VPI!L155</f>
        <v>11332310.189999999</v>
      </c>
      <c r="G155" s="8">
        <f t="shared" si="13"/>
        <v>312615.45351724135</v>
      </c>
      <c r="H155" s="26">
        <f t="shared" si="14"/>
        <v>380528.91310772201</v>
      </c>
      <c r="I155" s="8">
        <f t="shared" si="15"/>
        <v>312615.45351724135</v>
      </c>
      <c r="J155" s="8">
        <f>VPI!R155</f>
        <v>168934.99020689653</v>
      </c>
      <c r="K155" s="236">
        <f t="shared" si="16"/>
        <v>199371.37414573706</v>
      </c>
      <c r="L155" s="342">
        <f t="shared" si="17"/>
        <v>511986.82766297844</v>
      </c>
      <c r="M155" s="129"/>
      <c r="N155" s="130"/>
      <c r="O155" s="127"/>
      <c r="P155" s="127"/>
      <c r="Q155" s="131"/>
    </row>
    <row r="156" spans="1:17" s="126" customFormat="1" x14ac:dyDescent="0.25">
      <c r="A156" s="175">
        <f>Données!A156</f>
        <v>5661</v>
      </c>
      <c r="B156" s="353" t="str">
        <f>Données!B156</f>
        <v>Boulens</v>
      </c>
      <c r="C156" s="175">
        <f>Données!AR156</f>
        <v>0</v>
      </c>
      <c r="D156" s="354">
        <f>Données!Z156</f>
        <v>383</v>
      </c>
      <c r="E156" s="128">
        <f>Données!X156</f>
        <v>71.5</v>
      </c>
      <c r="F156" s="31">
        <f>VPI!L156</f>
        <v>726555.55</v>
      </c>
      <c r="G156" s="8">
        <f t="shared" si="13"/>
        <v>20323.232167832168</v>
      </c>
      <c r="H156" s="26">
        <f t="shared" si="14"/>
        <v>34187.795852746312</v>
      </c>
      <c r="I156" s="8">
        <f t="shared" si="15"/>
        <v>20323.232167832168</v>
      </c>
      <c r="J156" s="8">
        <f>VPI!R156</f>
        <v>11008.776923076925</v>
      </c>
      <c r="K156" s="236">
        <f t="shared" si="16"/>
        <v>12992.186995303266</v>
      </c>
      <c r="L156" s="342">
        <f t="shared" si="17"/>
        <v>33315.419163135433</v>
      </c>
      <c r="M156" s="129"/>
      <c r="N156" s="130"/>
      <c r="O156" s="127"/>
      <c r="P156" s="127"/>
      <c r="Q156" s="131"/>
    </row>
    <row r="157" spans="1:17" s="126" customFormat="1" x14ac:dyDescent="0.25">
      <c r="A157" s="175">
        <f>Données!A157</f>
        <v>5663</v>
      </c>
      <c r="B157" s="353" t="str">
        <f>Données!B157</f>
        <v>Bussy-sur-Moudon</v>
      </c>
      <c r="C157" s="175">
        <f>Données!AR157</f>
        <v>0</v>
      </c>
      <c r="D157" s="354">
        <f>Données!Z157</f>
        <v>246</v>
      </c>
      <c r="E157" s="128">
        <f>Données!X157</f>
        <v>78.5</v>
      </c>
      <c r="F157" s="31">
        <f>VPI!L157</f>
        <v>472091.79</v>
      </c>
      <c r="G157" s="8">
        <f t="shared" si="13"/>
        <v>12027.816305732484</v>
      </c>
      <c r="H157" s="26">
        <f t="shared" si="14"/>
        <v>21958.740939361858</v>
      </c>
      <c r="I157" s="8">
        <f t="shared" si="15"/>
        <v>12027.816305732484</v>
      </c>
      <c r="J157" s="8">
        <f>VPI!R157</f>
        <v>6460.7661146496821</v>
      </c>
      <c r="K157" s="236">
        <f t="shared" si="16"/>
        <v>7624.7781275766583</v>
      </c>
      <c r="L157" s="342">
        <f t="shared" si="17"/>
        <v>19652.594433309143</v>
      </c>
      <c r="M157" s="129"/>
      <c r="N157" s="130"/>
      <c r="O157" s="127"/>
      <c r="P157" s="127"/>
      <c r="Q157" s="131"/>
    </row>
    <row r="158" spans="1:17" s="126" customFormat="1" x14ac:dyDescent="0.25">
      <c r="A158" s="175">
        <f>Données!A158</f>
        <v>5665</v>
      </c>
      <c r="B158" s="353" t="str">
        <f>Données!B158</f>
        <v>Chavannes-sur-Moudon</v>
      </c>
      <c r="C158" s="175">
        <f>Données!AR158</f>
        <v>0</v>
      </c>
      <c r="D158" s="354">
        <f>Données!Z158</f>
        <v>218</v>
      </c>
      <c r="E158" s="128">
        <f>Données!X158</f>
        <v>70</v>
      </c>
      <c r="F158" s="31">
        <f>VPI!L158</f>
        <v>376439.36000000004</v>
      </c>
      <c r="G158" s="8">
        <f t="shared" si="13"/>
        <v>10755.410285714286</v>
      </c>
      <c r="H158" s="26">
        <f t="shared" si="14"/>
        <v>19459.372051954819</v>
      </c>
      <c r="I158" s="8">
        <f t="shared" si="15"/>
        <v>10755.410285714286</v>
      </c>
      <c r="J158" s="8">
        <f>VPI!R158</f>
        <v>5786.5608571428584</v>
      </c>
      <c r="K158" s="236">
        <f t="shared" si="16"/>
        <v>6829.1038360589946</v>
      </c>
      <c r="L158" s="342">
        <f t="shared" si="17"/>
        <v>17584.514121773282</v>
      </c>
      <c r="M158" s="129"/>
      <c r="N158" s="130"/>
      <c r="O158" s="127"/>
      <c r="P158" s="127"/>
      <c r="Q158" s="131"/>
    </row>
    <row r="159" spans="1:17" s="126" customFormat="1" x14ac:dyDescent="0.25">
      <c r="A159" s="175">
        <f>Données!A159</f>
        <v>5669</v>
      </c>
      <c r="B159" s="353" t="str">
        <f>Données!B159</f>
        <v>Curtilles</v>
      </c>
      <c r="C159" s="175">
        <f>Données!AR159</f>
        <v>0</v>
      </c>
      <c r="D159" s="354">
        <f>Données!Z159</f>
        <v>294</v>
      </c>
      <c r="E159" s="128">
        <f>Données!X159</f>
        <v>73</v>
      </c>
      <c r="F159" s="31">
        <f>VPI!L159</f>
        <v>566581.5399999998</v>
      </c>
      <c r="G159" s="8">
        <f t="shared" si="13"/>
        <v>15522.781917808214</v>
      </c>
      <c r="H159" s="26">
        <f t="shared" si="14"/>
        <v>26243.37331777393</v>
      </c>
      <c r="I159" s="8">
        <f t="shared" si="15"/>
        <v>15522.781917808214</v>
      </c>
      <c r="J159" s="8">
        <f>VPI!R159</f>
        <v>8428.0279452054765</v>
      </c>
      <c r="K159" s="236">
        <f t="shared" si="16"/>
        <v>9946.4741479334607</v>
      </c>
      <c r="L159" s="342">
        <f t="shared" si="17"/>
        <v>25469.256065741676</v>
      </c>
      <c r="M159" s="129"/>
      <c r="N159" s="130"/>
      <c r="O159" s="127"/>
      <c r="P159" s="127"/>
      <c r="Q159" s="131"/>
    </row>
    <row r="160" spans="1:17" s="126" customFormat="1" x14ac:dyDescent="0.25">
      <c r="A160" s="175">
        <f>Données!A160</f>
        <v>5671</v>
      </c>
      <c r="B160" s="353" t="str">
        <f>Données!B160</f>
        <v>Dompierre</v>
      </c>
      <c r="C160" s="175">
        <f>Données!AR160</f>
        <v>0</v>
      </c>
      <c r="D160" s="354">
        <f>Données!Z160</f>
        <v>248</v>
      </c>
      <c r="E160" s="128">
        <f>Données!X160</f>
        <v>78</v>
      </c>
      <c r="F160" s="31">
        <f>VPI!L160</f>
        <v>489251.01999999996</v>
      </c>
      <c r="G160" s="8">
        <f t="shared" si="13"/>
        <v>12544.897948717948</v>
      </c>
      <c r="H160" s="26">
        <f t="shared" si="14"/>
        <v>22137.267288462364</v>
      </c>
      <c r="I160" s="8">
        <f t="shared" si="15"/>
        <v>12544.897948717948</v>
      </c>
      <c r="J160" s="8">
        <f>VPI!R160</f>
        <v>6751.3758974358971</v>
      </c>
      <c r="K160" s="236">
        <f t="shared" si="16"/>
        <v>7967.7459855871457</v>
      </c>
      <c r="L160" s="342">
        <f t="shared" si="17"/>
        <v>20512.643934305095</v>
      </c>
      <c r="M160" s="129"/>
      <c r="N160" s="130"/>
      <c r="O160" s="127"/>
      <c r="P160" s="127"/>
      <c r="Q160" s="131"/>
    </row>
    <row r="161" spans="1:17" s="126" customFormat="1" x14ac:dyDescent="0.25">
      <c r="A161" s="175">
        <f>Données!A161</f>
        <v>5673</v>
      </c>
      <c r="B161" s="353" t="str">
        <f>Données!B161</f>
        <v>Hermenches</v>
      </c>
      <c r="C161" s="175">
        <f>Données!AR161</f>
        <v>0</v>
      </c>
      <c r="D161" s="354">
        <f>Données!Z161</f>
        <v>374</v>
      </c>
      <c r="E161" s="128">
        <f>Données!X161</f>
        <v>73.5</v>
      </c>
      <c r="F161" s="31">
        <f>VPI!L161</f>
        <v>659276.54999999981</v>
      </c>
      <c r="G161" s="8">
        <f t="shared" si="13"/>
        <v>17939.497959183667</v>
      </c>
      <c r="H161" s="26">
        <f t="shared" si="14"/>
        <v>33384.427281794044</v>
      </c>
      <c r="I161" s="8">
        <f t="shared" si="15"/>
        <v>17939.497959183667</v>
      </c>
      <c r="J161" s="8">
        <f>VPI!R161</f>
        <v>9675.0074829931946</v>
      </c>
      <c r="K161" s="236">
        <f t="shared" si="16"/>
        <v>11418.117314786434</v>
      </c>
      <c r="L161" s="342">
        <f t="shared" si="17"/>
        <v>29357.615273970099</v>
      </c>
      <c r="M161" s="129"/>
      <c r="N161" s="130"/>
      <c r="O161" s="127"/>
      <c r="P161" s="127"/>
      <c r="Q161" s="131"/>
    </row>
    <row r="162" spans="1:17" s="126" customFormat="1" x14ac:dyDescent="0.25">
      <c r="A162" s="175">
        <f>Données!A162</f>
        <v>5674</v>
      </c>
      <c r="B162" s="353" t="str">
        <f>Données!B162</f>
        <v>Lovatens</v>
      </c>
      <c r="C162" s="175">
        <f>Données!AR162</f>
        <v>0</v>
      </c>
      <c r="D162" s="354">
        <f>Données!Z162</f>
        <v>143</v>
      </c>
      <c r="E162" s="128">
        <f>Données!X162</f>
        <v>75</v>
      </c>
      <c r="F162" s="31">
        <f>VPI!L162</f>
        <v>244161.88</v>
      </c>
      <c r="G162" s="8">
        <f t="shared" si="13"/>
        <v>6510.9834666666666</v>
      </c>
      <c r="H162" s="26">
        <f t="shared" si="14"/>
        <v>12764.63396068596</v>
      </c>
      <c r="I162" s="8">
        <f t="shared" si="15"/>
        <v>6510.9834666666666</v>
      </c>
      <c r="J162" s="8">
        <f>VPI!R162</f>
        <v>3538.9463999999998</v>
      </c>
      <c r="K162" s="236">
        <f t="shared" si="16"/>
        <v>4176.5451072746773</v>
      </c>
      <c r="L162" s="342">
        <f t="shared" si="17"/>
        <v>10687.528573941345</v>
      </c>
      <c r="M162" s="129"/>
      <c r="N162" s="130"/>
      <c r="O162" s="127"/>
      <c r="P162" s="127"/>
      <c r="Q162" s="131"/>
    </row>
    <row r="163" spans="1:17" s="126" customFormat="1" x14ac:dyDescent="0.25">
      <c r="A163" s="175">
        <f>Données!A163</f>
        <v>5675</v>
      </c>
      <c r="B163" s="353" t="str">
        <f>Données!B163</f>
        <v>Lucens</v>
      </c>
      <c r="C163" s="175">
        <f>Données!AR163</f>
        <v>0</v>
      </c>
      <c r="D163" s="354">
        <f>Données!Z163</f>
        <v>4429</v>
      </c>
      <c r="E163" s="128">
        <f>Données!X163</f>
        <v>69.5</v>
      </c>
      <c r="F163" s="31">
        <f>VPI!L163</f>
        <v>5722883.4699999997</v>
      </c>
      <c r="G163" s="8">
        <f t="shared" si="13"/>
        <v>164687.29410071942</v>
      </c>
      <c r="H163" s="213">
        <f t="shared" si="14"/>
        <v>395346.60008306371</v>
      </c>
      <c r="I163" s="8">
        <f t="shared" si="15"/>
        <v>164687.29410071942</v>
      </c>
      <c r="J163" s="8">
        <f>VPI!R163</f>
        <v>92803.818404185746</v>
      </c>
      <c r="K163" s="236">
        <f t="shared" si="16"/>
        <v>109523.93449429175</v>
      </c>
      <c r="L163" s="342">
        <f t="shared" si="17"/>
        <v>274211.22859501117</v>
      </c>
      <c r="M163" s="129"/>
      <c r="N163" s="130"/>
      <c r="O163" s="127"/>
      <c r="P163" s="127"/>
      <c r="Q163" s="131"/>
    </row>
    <row r="164" spans="1:17" s="126" customFormat="1" x14ac:dyDescent="0.25">
      <c r="A164" s="175">
        <f>Données!A164</f>
        <v>5678</v>
      </c>
      <c r="B164" s="353" t="str">
        <f>Données!B164</f>
        <v>Moudon</v>
      </c>
      <c r="C164" s="175">
        <f>Données!AR164</f>
        <v>0</v>
      </c>
      <c r="D164" s="354">
        <f>Données!Z164</f>
        <v>6136</v>
      </c>
      <c r="E164" s="128">
        <f>Données!X164</f>
        <v>72.5</v>
      </c>
      <c r="F164" s="31">
        <f>VPI!L164</f>
        <v>8498985.3199999984</v>
      </c>
      <c r="G164" s="8">
        <f t="shared" si="13"/>
        <v>234454.76744827582</v>
      </c>
      <c r="H164" s="26">
        <f t="shared" si="14"/>
        <v>547718.83904034295</v>
      </c>
      <c r="I164" s="8">
        <f t="shared" si="15"/>
        <v>234454.76744827582</v>
      </c>
      <c r="J164" s="8">
        <f>VPI!R164</f>
        <v>130675.7416551724</v>
      </c>
      <c r="K164" s="236">
        <f t="shared" si="16"/>
        <v>154219.10019586622</v>
      </c>
      <c r="L164" s="342">
        <f t="shared" si="17"/>
        <v>388673.86764414201</v>
      </c>
      <c r="M164" s="129"/>
      <c r="N164" s="130"/>
      <c r="O164" s="127"/>
      <c r="P164" s="127"/>
      <c r="Q164" s="131"/>
    </row>
    <row r="165" spans="1:17" s="126" customFormat="1" x14ac:dyDescent="0.25">
      <c r="A165" s="175">
        <f>Données!A165</f>
        <v>5680</v>
      </c>
      <c r="B165" s="353" t="str">
        <f>Données!B165</f>
        <v>Ogens</v>
      </c>
      <c r="C165" s="175">
        <f>Données!AR165</f>
        <v>0</v>
      </c>
      <c r="D165" s="354">
        <f>Données!Z165</f>
        <v>324</v>
      </c>
      <c r="E165" s="128">
        <f>Données!X165</f>
        <v>78</v>
      </c>
      <c r="F165" s="31">
        <f>VPI!L165</f>
        <v>728606.07000000007</v>
      </c>
      <c r="G165" s="8">
        <f t="shared" si="13"/>
        <v>18682.206923076923</v>
      </c>
      <c r="H165" s="26">
        <f t="shared" si="14"/>
        <v>28921.268554281472</v>
      </c>
      <c r="I165" s="8">
        <f t="shared" si="15"/>
        <v>18682.206923076923</v>
      </c>
      <c r="J165" s="8">
        <f>VPI!R165</f>
        <v>10088.612863247865</v>
      </c>
      <c r="K165" s="236">
        <f t="shared" si="16"/>
        <v>11906.240426016693</v>
      </c>
      <c r="L165" s="342">
        <f t="shared" si="17"/>
        <v>30588.447349093614</v>
      </c>
      <c r="M165" s="129"/>
      <c r="N165" s="130"/>
      <c r="O165" s="127"/>
      <c r="P165" s="127"/>
      <c r="Q165" s="131"/>
    </row>
    <row r="166" spans="1:17" s="126" customFormat="1" x14ac:dyDescent="0.25">
      <c r="A166" s="175">
        <f>Données!A166</f>
        <v>5683</v>
      </c>
      <c r="B166" s="353" t="str">
        <f>Données!B166</f>
        <v>Prévonloup</v>
      </c>
      <c r="C166" s="175">
        <f>Données!AR166</f>
        <v>0</v>
      </c>
      <c r="D166" s="354">
        <f>Données!Z166</f>
        <v>220</v>
      </c>
      <c r="E166" s="128">
        <f>Données!X166</f>
        <v>72.5</v>
      </c>
      <c r="F166" s="31">
        <f>VPI!L166</f>
        <v>341781.71000000008</v>
      </c>
      <c r="G166" s="8">
        <f t="shared" si="13"/>
        <v>9428.4609655172444</v>
      </c>
      <c r="H166" s="26">
        <f t="shared" si="14"/>
        <v>19637.898401055321</v>
      </c>
      <c r="I166" s="8">
        <f t="shared" si="15"/>
        <v>9428.4609655172444</v>
      </c>
      <c r="J166" s="8">
        <f>VPI!R166</f>
        <v>5181.5891034482765</v>
      </c>
      <c r="K166" s="236">
        <f t="shared" si="16"/>
        <v>6115.1365892161239</v>
      </c>
      <c r="L166" s="342">
        <f t="shared" si="17"/>
        <v>15543.597554733369</v>
      </c>
      <c r="M166" s="129"/>
      <c r="N166" s="130"/>
      <c r="O166" s="127"/>
      <c r="P166" s="127"/>
      <c r="Q166" s="131"/>
    </row>
    <row r="167" spans="1:17" s="126" customFormat="1" x14ac:dyDescent="0.25">
      <c r="A167" s="175">
        <f>Données!A167</f>
        <v>5684</v>
      </c>
      <c r="B167" s="353" t="str">
        <f>Données!B167</f>
        <v>Rossenges</v>
      </c>
      <c r="C167" s="175">
        <f>Données!AR167</f>
        <v>0</v>
      </c>
      <c r="D167" s="354">
        <f>Données!Z167</f>
        <v>93</v>
      </c>
      <c r="E167" s="128">
        <f>Données!X167</f>
        <v>75</v>
      </c>
      <c r="F167" s="31">
        <f>VPI!L167</f>
        <v>513865.94000000006</v>
      </c>
      <c r="G167" s="8">
        <f t="shared" si="13"/>
        <v>13703.091733333335</v>
      </c>
      <c r="H167" s="26">
        <f t="shared" si="14"/>
        <v>8301.4752331733853</v>
      </c>
      <c r="I167" s="8">
        <f t="shared" si="15"/>
        <v>8301.4752331733853</v>
      </c>
      <c r="J167" s="8">
        <f>VPI!R167</f>
        <v>7033.3142000000007</v>
      </c>
      <c r="K167" s="236">
        <f t="shared" si="16"/>
        <v>8300.4800552886354</v>
      </c>
      <c r="L167" s="342">
        <f t="shared" si="17"/>
        <v>16601.955288462021</v>
      </c>
      <c r="M167" s="129"/>
      <c r="N167" s="130"/>
      <c r="O167" s="127"/>
      <c r="P167" s="127"/>
      <c r="Q167" s="131"/>
    </row>
    <row r="168" spans="1:17" s="126" customFormat="1" x14ac:dyDescent="0.25">
      <c r="A168" s="175">
        <f>Données!A168</f>
        <v>5688</v>
      </c>
      <c r="B168" s="353" t="str">
        <f>Données!B168</f>
        <v>Syens</v>
      </c>
      <c r="C168" s="175">
        <f>Données!AR168</f>
        <v>0</v>
      </c>
      <c r="D168" s="354">
        <f>Données!Z168</f>
        <v>164</v>
      </c>
      <c r="E168" s="128">
        <f>Données!X168</f>
        <v>65</v>
      </c>
      <c r="F168" s="31">
        <f>VPI!L168</f>
        <v>318292.38</v>
      </c>
      <c r="G168" s="8">
        <f t="shared" si="13"/>
        <v>9793.6116923076916</v>
      </c>
      <c r="H168" s="26">
        <f t="shared" si="14"/>
        <v>14639.160626241241</v>
      </c>
      <c r="I168" s="8">
        <f t="shared" si="15"/>
        <v>9793.6116923076916</v>
      </c>
      <c r="J168" s="8">
        <f>VPI!R168</f>
        <v>5277.0104615384616</v>
      </c>
      <c r="K168" s="236">
        <f t="shared" si="16"/>
        <v>6227.7496557098884</v>
      </c>
      <c r="L168" s="342">
        <f t="shared" si="17"/>
        <v>16021.361348017581</v>
      </c>
      <c r="M168" s="129"/>
      <c r="N168" s="130"/>
      <c r="O168" s="127"/>
      <c r="P168" s="127"/>
      <c r="Q168" s="131"/>
    </row>
    <row r="169" spans="1:17" s="126" customFormat="1" x14ac:dyDescent="0.25">
      <c r="A169" s="175">
        <f>Données!A169</f>
        <v>5690</v>
      </c>
      <c r="B169" s="353" t="str">
        <f>Données!B169</f>
        <v>Villars-le-Comte</v>
      </c>
      <c r="C169" s="175">
        <f>Données!AR169</f>
        <v>0</v>
      </c>
      <c r="D169" s="354">
        <f>Données!Z169</f>
        <v>138</v>
      </c>
      <c r="E169" s="128">
        <f>Données!X169</f>
        <v>70</v>
      </c>
      <c r="F169" s="31">
        <f>VPI!L169</f>
        <v>280675.34000000003</v>
      </c>
      <c r="G169" s="8">
        <f t="shared" si="13"/>
        <v>8019.2954285714295</v>
      </c>
      <c r="H169" s="26">
        <f t="shared" si="14"/>
        <v>12318.318087934702</v>
      </c>
      <c r="I169" s="8">
        <f t="shared" si="15"/>
        <v>8019.2954285714295</v>
      </c>
      <c r="J169" s="8">
        <f>VPI!R169</f>
        <v>4331.3836666666666</v>
      </c>
      <c r="K169" s="236">
        <f t="shared" si="16"/>
        <v>5111.7528258540788</v>
      </c>
      <c r="L169" s="342">
        <f t="shared" si="17"/>
        <v>13131.048254425508</v>
      </c>
      <c r="M169" s="129"/>
      <c r="N169" s="130"/>
      <c r="O169" s="127"/>
      <c r="P169" s="127"/>
      <c r="Q169" s="131"/>
    </row>
    <row r="170" spans="1:17" s="126" customFormat="1" x14ac:dyDescent="0.25">
      <c r="A170" s="175">
        <f>Données!A170</f>
        <v>5692</v>
      </c>
      <c r="B170" s="353" t="str">
        <f>Données!B170</f>
        <v>Vucherens</v>
      </c>
      <c r="C170" s="175">
        <f>Données!AR170</f>
        <v>0</v>
      </c>
      <c r="D170" s="354">
        <f>Données!Z170</f>
        <v>638</v>
      </c>
      <c r="E170" s="128">
        <f>Données!X170</f>
        <v>77</v>
      </c>
      <c r="F170" s="31">
        <f>VPI!L170</f>
        <v>1344863.6900000002</v>
      </c>
      <c r="G170" s="8">
        <f t="shared" si="13"/>
        <v>34931.524415584419</v>
      </c>
      <c r="H170" s="26">
        <f t="shared" si="14"/>
        <v>56949.905363060432</v>
      </c>
      <c r="I170" s="8">
        <f t="shared" si="15"/>
        <v>34931.524415584419</v>
      </c>
      <c r="J170" s="8">
        <f>VPI!R170</f>
        <v>18948.300519480523</v>
      </c>
      <c r="K170" s="236">
        <f t="shared" si="16"/>
        <v>22362.144797052199</v>
      </c>
      <c r="L170" s="342">
        <f t="shared" si="17"/>
        <v>57293.669212636618</v>
      </c>
      <c r="M170" s="129"/>
      <c r="N170" s="130"/>
      <c r="O170" s="127"/>
      <c r="P170" s="127"/>
      <c r="Q170" s="131"/>
    </row>
    <row r="171" spans="1:17" s="126" customFormat="1" x14ac:dyDescent="0.25">
      <c r="A171" s="175">
        <f>Données!A171</f>
        <v>5693</v>
      </c>
      <c r="B171" s="353" t="str">
        <f>Données!B171</f>
        <v>Montanaire</v>
      </c>
      <c r="C171" s="175">
        <f>Données!AR171</f>
        <v>0</v>
      </c>
      <c r="D171" s="354">
        <f>Données!Z171</f>
        <v>2820</v>
      </c>
      <c r="E171" s="128">
        <f>Données!X171</f>
        <v>70</v>
      </c>
      <c r="F171" s="31">
        <f>VPI!L171</f>
        <v>5150454.2499999991</v>
      </c>
      <c r="G171" s="8">
        <f t="shared" si="13"/>
        <v>147155.8357142857</v>
      </c>
      <c r="H171" s="26">
        <f t="shared" si="14"/>
        <v>251722.15223170913</v>
      </c>
      <c r="I171" s="8">
        <f t="shared" si="15"/>
        <v>147155.8357142857</v>
      </c>
      <c r="J171" s="8">
        <f>VPI!R171</f>
        <v>80078.044999999984</v>
      </c>
      <c r="K171" s="236">
        <f t="shared" si="16"/>
        <v>94505.406197977849</v>
      </c>
      <c r="L171" s="342">
        <f t="shared" si="17"/>
        <v>241661.24191226356</v>
      </c>
      <c r="M171" s="129"/>
      <c r="N171" s="130"/>
      <c r="O171" s="127"/>
      <c r="P171" s="127"/>
      <c r="Q171" s="131"/>
    </row>
    <row r="172" spans="1:17" s="126" customFormat="1" x14ac:dyDescent="0.25">
      <c r="A172" s="175">
        <f>Données!A172</f>
        <v>5701</v>
      </c>
      <c r="B172" s="353" t="str">
        <f>Données!B172</f>
        <v>Arnex-sur-Nyon</v>
      </c>
      <c r="C172" s="175">
        <f>Données!AR172</f>
        <v>0</v>
      </c>
      <c r="D172" s="354">
        <f>Données!Z172</f>
        <v>240</v>
      </c>
      <c r="E172" s="128">
        <f>Données!X172</f>
        <v>70</v>
      </c>
      <c r="F172" s="31">
        <f>VPI!L172</f>
        <v>835242.99</v>
      </c>
      <c r="G172" s="8">
        <f t="shared" si="13"/>
        <v>23864.085428571427</v>
      </c>
      <c r="H172" s="26">
        <f t="shared" si="14"/>
        <v>21423.161892060351</v>
      </c>
      <c r="I172" s="8">
        <f t="shared" si="15"/>
        <v>21423.161892060351</v>
      </c>
      <c r="J172" s="8">
        <f>VPI!R172</f>
        <v>12996.826285714285</v>
      </c>
      <c r="K172" s="236">
        <f t="shared" si="16"/>
        <v>15338.415759475452</v>
      </c>
      <c r="L172" s="342">
        <f t="shared" si="17"/>
        <v>36761.577651535801</v>
      </c>
      <c r="M172" s="129"/>
      <c r="N172" s="130"/>
      <c r="O172" s="127"/>
      <c r="P172" s="127"/>
      <c r="Q172" s="131"/>
    </row>
    <row r="173" spans="1:17" s="126" customFormat="1" x14ac:dyDescent="0.25">
      <c r="A173" s="175">
        <f>Données!A173</f>
        <v>5702</v>
      </c>
      <c r="B173" s="353" t="str">
        <f>Données!B173</f>
        <v>Arzier-Le Muids</v>
      </c>
      <c r="C173" s="175">
        <f>Données!AR173</f>
        <v>0</v>
      </c>
      <c r="D173" s="354">
        <f>Données!Z173</f>
        <v>2955</v>
      </c>
      <c r="E173" s="128">
        <f>Données!X173</f>
        <v>64</v>
      </c>
      <c r="F173" s="31">
        <f>VPI!L173</f>
        <v>11145859.790000001</v>
      </c>
      <c r="G173" s="8">
        <f t="shared" si="13"/>
        <v>348308.11843750003</v>
      </c>
      <c r="H173" s="26">
        <f t="shared" si="14"/>
        <v>263772.68079599307</v>
      </c>
      <c r="I173" s="8">
        <f t="shared" si="15"/>
        <v>263772.68079599307</v>
      </c>
      <c r="J173" s="8">
        <f>VPI!R173</f>
        <v>187984.45531250001</v>
      </c>
      <c r="K173" s="236">
        <f t="shared" si="16"/>
        <v>221852.90997318216</v>
      </c>
      <c r="L173" s="342">
        <f t="shared" si="17"/>
        <v>485625.59076917521</v>
      </c>
      <c r="M173" s="129"/>
      <c r="N173" s="130"/>
      <c r="O173" s="127"/>
      <c r="P173" s="127"/>
      <c r="Q173" s="131"/>
    </row>
    <row r="174" spans="1:17" s="126" customFormat="1" x14ac:dyDescent="0.25">
      <c r="A174" s="175">
        <f>Données!A174</f>
        <v>5703</v>
      </c>
      <c r="B174" s="353" t="str">
        <f>Données!B174</f>
        <v>Bassins</v>
      </c>
      <c r="C174" s="175">
        <f>Données!AR174</f>
        <v>0</v>
      </c>
      <c r="D174" s="354">
        <f>Données!Z174</f>
        <v>1478</v>
      </c>
      <c r="E174" s="128">
        <f>Données!X174</f>
        <v>72.5</v>
      </c>
      <c r="F174" s="31">
        <f>VPI!L174</f>
        <v>4399892.12</v>
      </c>
      <c r="G174" s="8">
        <f t="shared" si="13"/>
        <v>121376.33434482758</v>
      </c>
      <c r="H174" s="26">
        <f t="shared" si="14"/>
        <v>131930.97198527167</v>
      </c>
      <c r="I174" s="8">
        <f t="shared" si="15"/>
        <v>121376.33434482758</v>
      </c>
      <c r="J174" s="8">
        <f>VPI!R174</f>
        <v>65441.246975369453</v>
      </c>
      <c r="K174" s="236">
        <f t="shared" si="16"/>
        <v>77231.551138760697</v>
      </c>
      <c r="L174" s="342">
        <f t="shared" si="17"/>
        <v>198607.88548358827</v>
      </c>
      <c r="M174" s="129"/>
      <c r="N174" s="130"/>
      <c r="O174" s="127"/>
      <c r="P174" s="127"/>
      <c r="Q174" s="131"/>
    </row>
    <row r="175" spans="1:17" s="126" customFormat="1" x14ac:dyDescent="0.25">
      <c r="A175" s="175">
        <f>Données!A175</f>
        <v>5704</v>
      </c>
      <c r="B175" s="353" t="str">
        <f>Données!B175</f>
        <v>Begnins</v>
      </c>
      <c r="C175" s="175">
        <f>Données!AR175</f>
        <v>0</v>
      </c>
      <c r="D175" s="354">
        <f>Données!Z175</f>
        <v>1939</v>
      </c>
      <c r="E175" s="128">
        <f>Données!X175</f>
        <v>62.5</v>
      </c>
      <c r="F175" s="31">
        <f>VPI!L175</f>
        <v>7541185.7199999997</v>
      </c>
      <c r="G175" s="8">
        <f t="shared" si="13"/>
        <v>241317.94303999998</v>
      </c>
      <c r="H175" s="26">
        <f t="shared" si="14"/>
        <v>173081.2954529376</v>
      </c>
      <c r="I175" s="8">
        <f t="shared" si="15"/>
        <v>173081.2954529376</v>
      </c>
      <c r="J175" s="8">
        <f>VPI!R175</f>
        <v>129730.03685333332</v>
      </c>
      <c r="K175" s="236">
        <f t="shared" si="16"/>
        <v>153103.01130482025</v>
      </c>
      <c r="L175" s="342">
        <f t="shared" si="17"/>
        <v>326184.30675775785</v>
      </c>
      <c r="M175" s="129"/>
      <c r="N175" s="130"/>
      <c r="O175" s="127"/>
      <c r="P175" s="127"/>
      <c r="Q175" s="131"/>
    </row>
    <row r="176" spans="1:17" s="126" customFormat="1" x14ac:dyDescent="0.25">
      <c r="A176" s="175">
        <f>Données!A176</f>
        <v>5705</v>
      </c>
      <c r="B176" s="353" t="str">
        <f>Données!B176</f>
        <v>Bogis-Bossey</v>
      </c>
      <c r="C176" s="175">
        <f>Données!AR176</f>
        <v>0</v>
      </c>
      <c r="D176" s="354">
        <f>Données!Z176</f>
        <v>923</v>
      </c>
      <c r="E176" s="128">
        <f>Données!X176</f>
        <v>74.5</v>
      </c>
      <c r="F176" s="31">
        <f>VPI!L176</f>
        <v>3560871.2799999993</v>
      </c>
      <c r="G176" s="8">
        <f t="shared" si="13"/>
        <v>95593.859865771796</v>
      </c>
      <c r="H176" s="26">
        <f t="shared" si="14"/>
        <v>82389.910109882097</v>
      </c>
      <c r="I176" s="8">
        <f t="shared" si="15"/>
        <v>82389.910109882097</v>
      </c>
      <c r="J176" s="8">
        <f>VPI!R176</f>
        <v>51044.070201342278</v>
      </c>
      <c r="K176" s="236">
        <f t="shared" si="16"/>
        <v>60240.488992656472</v>
      </c>
      <c r="L176" s="342">
        <f t="shared" si="17"/>
        <v>142630.39910253856</v>
      </c>
      <c r="M176" s="129"/>
      <c r="N176" s="130"/>
      <c r="O176" s="127"/>
      <c r="P176" s="127"/>
      <c r="Q176" s="131"/>
    </row>
    <row r="177" spans="1:17" s="126" customFormat="1" x14ac:dyDescent="0.25">
      <c r="A177" s="175">
        <f>Données!A177</f>
        <v>5706</v>
      </c>
      <c r="B177" s="353" t="str">
        <f>Données!B177</f>
        <v>Borex</v>
      </c>
      <c r="C177" s="175">
        <f>Données!AR177</f>
        <v>0</v>
      </c>
      <c r="D177" s="354">
        <f>Données!Z177</f>
        <v>1131</v>
      </c>
      <c r="E177" s="128">
        <f>Données!X177</f>
        <v>57</v>
      </c>
      <c r="F177" s="31">
        <f>VPI!L177</f>
        <v>8638022.3399999999</v>
      </c>
      <c r="G177" s="8">
        <f t="shared" si="13"/>
        <v>303088.50315789471</v>
      </c>
      <c r="H177" s="26">
        <f t="shared" si="14"/>
        <v>100956.65041633441</v>
      </c>
      <c r="I177" s="8">
        <f t="shared" si="15"/>
        <v>100956.65041633441</v>
      </c>
      <c r="J177" s="8">
        <f>VPI!R177</f>
        <v>156857.9796491228</v>
      </c>
      <c r="K177" s="236">
        <f t="shared" si="16"/>
        <v>185118.49386600903</v>
      </c>
      <c r="L177" s="342">
        <f t="shared" si="17"/>
        <v>286075.14428234345</v>
      </c>
      <c r="M177" s="129"/>
      <c r="N177" s="130"/>
      <c r="O177" s="127"/>
      <c r="P177" s="127"/>
      <c r="Q177" s="131"/>
    </row>
    <row r="178" spans="1:17" s="126" customFormat="1" x14ac:dyDescent="0.25">
      <c r="A178" s="175">
        <f>Données!A178</f>
        <v>5707</v>
      </c>
      <c r="B178" s="353" t="str">
        <f>Données!B178</f>
        <v>Chavannes-de-Bogis</v>
      </c>
      <c r="C178" s="175">
        <f>Données!AR178</f>
        <v>0</v>
      </c>
      <c r="D178" s="354">
        <f>Données!Z178</f>
        <v>1314</v>
      </c>
      <c r="E178" s="128">
        <f>Données!X178</f>
        <v>58</v>
      </c>
      <c r="F178" s="31">
        <f>VPI!L178</f>
        <v>4469246.8</v>
      </c>
      <c r="G178" s="8">
        <f t="shared" si="13"/>
        <v>154111.95862068963</v>
      </c>
      <c r="H178" s="26">
        <f t="shared" si="14"/>
        <v>117291.81135903043</v>
      </c>
      <c r="I178" s="8">
        <f t="shared" si="15"/>
        <v>117291.81135903043</v>
      </c>
      <c r="J178" s="8">
        <f>VPI!R178</f>
        <v>86804.197126436775</v>
      </c>
      <c r="K178" s="236">
        <f t="shared" si="16"/>
        <v>102443.38394029537</v>
      </c>
      <c r="L178" s="342">
        <f t="shared" si="17"/>
        <v>219735.1952993258</v>
      </c>
      <c r="M178" s="129"/>
      <c r="N178" s="130"/>
      <c r="O178" s="127"/>
      <c r="P178" s="127"/>
      <c r="Q178" s="131"/>
    </row>
    <row r="179" spans="1:17" s="126" customFormat="1" x14ac:dyDescent="0.25">
      <c r="A179" s="175">
        <f>Données!A179</f>
        <v>5708</v>
      </c>
      <c r="B179" s="353" t="str">
        <f>Données!B179</f>
        <v>Chavannes-des-Bois</v>
      </c>
      <c r="C179" s="175">
        <f>Données!AR179</f>
        <v>0</v>
      </c>
      <c r="D179" s="354">
        <f>Données!Z179</f>
        <v>1020</v>
      </c>
      <c r="E179" s="128">
        <f>Données!X179</f>
        <v>68</v>
      </c>
      <c r="F179" s="31">
        <f>VPI!L179</f>
        <v>4370366.2899999991</v>
      </c>
      <c r="G179" s="8">
        <f t="shared" si="13"/>
        <v>128540.18499999997</v>
      </c>
      <c r="H179" s="26">
        <f t="shared" si="14"/>
        <v>91048.438041256493</v>
      </c>
      <c r="I179" s="8">
        <f t="shared" si="15"/>
        <v>91048.438041256493</v>
      </c>
      <c r="J179" s="8">
        <f>VPI!R179</f>
        <v>68806.761617647047</v>
      </c>
      <c r="K179" s="236">
        <f t="shared" si="16"/>
        <v>81203.417938626837</v>
      </c>
      <c r="L179" s="342">
        <f t="shared" si="17"/>
        <v>172251.85597988334</v>
      </c>
      <c r="M179" s="129"/>
      <c r="N179" s="130"/>
      <c r="O179" s="127"/>
      <c r="P179" s="127"/>
      <c r="Q179" s="131"/>
    </row>
    <row r="180" spans="1:17" s="126" customFormat="1" x14ac:dyDescent="0.25">
      <c r="A180" s="175">
        <f>Données!A180</f>
        <v>5709</v>
      </c>
      <c r="B180" s="353" t="str">
        <f>Données!B180</f>
        <v>Chéserex</v>
      </c>
      <c r="C180" s="175">
        <f>Données!AR180</f>
        <v>0</v>
      </c>
      <c r="D180" s="354">
        <f>Données!Z180</f>
        <v>1251</v>
      </c>
      <c r="E180" s="128">
        <f>Données!X180</f>
        <v>57</v>
      </c>
      <c r="F180" s="31">
        <f>VPI!L180</f>
        <v>4780503.1900000013</v>
      </c>
      <c r="G180" s="8">
        <f t="shared" si="13"/>
        <v>167736.95403508778</v>
      </c>
      <c r="H180" s="26">
        <f t="shared" si="14"/>
        <v>111668.23136236458</v>
      </c>
      <c r="I180" s="8">
        <f t="shared" si="15"/>
        <v>111668.23136236458</v>
      </c>
      <c r="J180" s="8">
        <f>VPI!R180</f>
        <v>90983.63491228073</v>
      </c>
      <c r="K180" s="236">
        <f t="shared" si="16"/>
        <v>107375.81536554258</v>
      </c>
      <c r="L180" s="342">
        <f t="shared" si="17"/>
        <v>219044.04672790715</v>
      </c>
      <c r="M180" s="129"/>
      <c r="N180" s="130"/>
      <c r="O180" s="127"/>
      <c r="P180" s="127"/>
      <c r="Q180" s="131"/>
    </row>
    <row r="181" spans="1:17" s="126" customFormat="1" x14ac:dyDescent="0.25">
      <c r="A181" s="175">
        <f>Données!A181</f>
        <v>5710</v>
      </c>
      <c r="B181" s="353" t="str">
        <f>Données!B181</f>
        <v>Coinsins</v>
      </c>
      <c r="C181" s="175">
        <f>Données!AR181</f>
        <v>0</v>
      </c>
      <c r="D181" s="354">
        <f>Données!Z181</f>
        <v>499</v>
      </c>
      <c r="E181" s="128">
        <f>Données!X181</f>
        <v>51</v>
      </c>
      <c r="F181" s="31">
        <f>VPI!L181</f>
        <v>1572635.72</v>
      </c>
      <c r="G181" s="8">
        <f t="shared" si="13"/>
        <v>61671.989019607841</v>
      </c>
      <c r="H181" s="26">
        <f t="shared" si="14"/>
        <v>44542.324100575483</v>
      </c>
      <c r="I181" s="8">
        <f t="shared" si="15"/>
        <v>44542.324100575483</v>
      </c>
      <c r="J181" s="8">
        <f>VPI!R181</f>
        <v>33549.646470588232</v>
      </c>
      <c r="K181" s="236">
        <f t="shared" si="16"/>
        <v>39594.160515550735</v>
      </c>
      <c r="L181" s="342">
        <f t="shared" si="17"/>
        <v>84136.484616126225</v>
      </c>
      <c r="M181" s="129"/>
      <c r="N181" s="130"/>
      <c r="O181" s="127"/>
      <c r="P181" s="127"/>
      <c r="Q181" s="131"/>
    </row>
    <row r="182" spans="1:17" s="126" customFormat="1" x14ac:dyDescent="0.25">
      <c r="A182" s="175">
        <f>Données!A182</f>
        <v>5711</v>
      </c>
      <c r="B182" s="353" t="str">
        <f>Données!B182</f>
        <v>Commugny</v>
      </c>
      <c r="C182" s="175">
        <f>Données!AR182</f>
        <v>0</v>
      </c>
      <c r="D182" s="354">
        <f>Données!Z182</f>
        <v>2989</v>
      </c>
      <c r="E182" s="128">
        <f>Données!X182</f>
        <v>57</v>
      </c>
      <c r="F182" s="31">
        <f>VPI!L182</f>
        <v>16413012.42</v>
      </c>
      <c r="G182" s="8">
        <f t="shared" si="13"/>
        <v>575895.17263157899</v>
      </c>
      <c r="H182" s="26">
        <f t="shared" si="14"/>
        <v>266807.62873070163</v>
      </c>
      <c r="I182" s="8">
        <f t="shared" si="15"/>
        <v>266807.62873070163</v>
      </c>
      <c r="J182" s="8">
        <f>VPI!R182</f>
        <v>305461.09360323887</v>
      </c>
      <c r="K182" s="236">
        <f t="shared" si="16"/>
        <v>360494.87382780918</v>
      </c>
      <c r="L182" s="342">
        <f t="shared" si="17"/>
        <v>627302.50255851075</v>
      </c>
      <c r="M182" s="129"/>
      <c r="N182" s="130"/>
      <c r="O182" s="127"/>
      <c r="P182" s="127"/>
      <c r="Q182" s="131"/>
    </row>
    <row r="183" spans="1:17" s="126" customFormat="1" x14ac:dyDescent="0.25">
      <c r="A183" s="175">
        <f>Données!A183</f>
        <v>5712</v>
      </c>
      <c r="B183" s="353" t="str">
        <f>Données!B183</f>
        <v>Coppet</v>
      </c>
      <c r="C183" s="175">
        <f>Données!AR183</f>
        <v>0</v>
      </c>
      <c r="D183" s="354">
        <f>Données!Z183</f>
        <v>3184</v>
      </c>
      <c r="E183" s="128">
        <f>Données!X183</f>
        <v>53</v>
      </c>
      <c r="F183" s="31">
        <f>VPI!L183</f>
        <v>21138035.220000003</v>
      </c>
      <c r="G183" s="8">
        <f t="shared" si="13"/>
        <v>797661.70641509444</v>
      </c>
      <c r="H183" s="26">
        <f t="shared" si="14"/>
        <v>284213.94776800065</v>
      </c>
      <c r="I183" s="8">
        <f t="shared" si="15"/>
        <v>284213.94776800065</v>
      </c>
      <c r="J183" s="8">
        <f>VPI!R183</f>
        <v>422782.58779874217</v>
      </c>
      <c r="K183" s="236">
        <f t="shared" si="16"/>
        <v>498953.74185711413</v>
      </c>
      <c r="L183" s="342">
        <f t="shared" si="17"/>
        <v>783167.68962511478</v>
      </c>
      <c r="M183" s="129"/>
      <c r="N183" s="130"/>
      <c r="O183" s="127"/>
      <c r="P183" s="127"/>
      <c r="Q183" s="131"/>
    </row>
    <row r="184" spans="1:17" s="126" customFormat="1" x14ac:dyDescent="0.25">
      <c r="A184" s="175">
        <f>Données!A184</f>
        <v>5713</v>
      </c>
      <c r="B184" s="353" t="str">
        <f>Données!B184</f>
        <v>Crans</v>
      </c>
      <c r="C184" s="175">
        <f>Données!AR184</f>
        <v>1</v>
      </c>
      <c r="D184" s="354">
        <f>Données!Z184</f>
        <v>2360</v>
      </c>
      <c r="E184" s="128">
        <f>Données!X184</f>
        <v>59</v>
      </c>
      <c r="F184" s="31">
        <f>VPI!L184</f>
        <v>15847474.690000001</v>
      </c>
      <c r="G184" s="8">
        <f t="shared" si="13"/>
        <v>537202.53186440677</v>
      </c>
      <c r="H184" s="26">
        <f t="shared" si="14"/>
        <v>210661.09193859345</v>
      </c>
      <c r="I184" s="8">
        <f t="shared" si="15"/>
        <v>0</v>
      </c>
      <c r="J184" s="8">
        <f>VPI!R184</f>
        <v>284269.17355932208</v>
      </c>
      <c r="K184" s="236">
        <f t="shared" si="16"/>
        <v>335484.88498673018</v>
      </c>
      <c r="L184" s="342">
        <f t="shared" si="17"/>
        <v>335484.88498673018</v>
      </c>
      <c r="M184" s="129"/>
      <c r="N184" s="130"/>
      <c r="O184" s="127"/>
      <c r="P184" s="127"/>
      <c r="Q184" s="131"/>
    </row>
    <row r="185" spans="1:17" s="126" customFormat="1" x14ac:dyDescent="0.25">
      <c r="A185" s="175">
        <f>Données!A185</f>
        <v>5714</v>
      </c>
      <c r="B185" s="353" t="str">
        <f>Données!B185</f>
        <v>Crassier</v>
      </c>
      <c r="C185" s="175">
        <f>Données!AR185</f>
        <v>0</v>
      </c>
      <c r="D185" s="354">
        <f>Données!Z185</f>
        <v>1234</v>
      </c>
      <c r="E185" s="128">
        <f>Données!X185</f>
        <v>66.5</v>
      </c>
      <c r="F185" s="31">
        <f>VPI!L185</f>
        <v>3846777.7600000002</v>
      </c>
      <c r="G185" s="8">
        <f t="shared" si="13"/>
        <v>115692.56421052633</v>
      </c>
      <c r="H185" s="26">
        <f t="shared" si="14"/>
        <v>110150.75739501031</v>
      </c>
      <c r="I185" s="8">
        <f t="shared" si="15"/>
        <v>110150.75739501031</v>
      </c>
      <c r="J185" s="8">
        <f>VPI!R185</f>
        <v>62524.655789473691</v>
      </c>
      <c r="K185" s="236">
        <f t="shared" si="16"/>
        <v>73789.488651639273</v>
      </c>
      <c r="L185" s="342">
        <f t="shared" si="17"/>
        <v>183940.24604664958</v>
      </c>
      <c r="M185" s="129"/>
      <c r="N185" s="130"/>
      <c r="O185" s="127"/>
      <c r="P185" s="127"/>
      <c r="Q185" s="131"/>
    </row>
    <row r="186" spans="1:17" s="126" customFormat="1" x14ac:dyDescent="0.25">
      <c r="A186" s="175">
        <f>Données!A186</f>
        <v>5715</v>
      </c>
      <c r="B186" s="353" t="str">
        <f>Données!B186</f>
        <v>Duillier</v>
      </c>
      <c r="C186" s="175">
        <f>Données!AR186</f>
        <v>0</v>
      </c>
      <c r="D186" s="354">
        <f>Données!Z186</f>
        <v>1116</v>
      </c>
      <c r="E186" s="128">
        <f>Données!X186</f>
        <v>66</v>
      </c>
      <c r="F186" s="31">
        <f>VPI!L186</f>
        <v>3694002.41</v>
      </c>
      <c r="G186" s="8">
        <f t="shared" si="13"/>
        <v>111939.46696969698</v>
      </c>
      <c r="H186" s="26">
        <f t="shared" si="14"/>
        <v>99617.702798080631</v>
      </c>
      <c r="I186" s="8">
        <f t="shared" si="15"/>
        <v>99617.702798080631</v>
      </c>
      <c r="J186" s="8">
        <f>VPI!R186</f>
        <v>60550.113787878792</v>
      </c>
      <c r="K186" s="236">
        <f t="shared" si="16"/>
        <v>71459.200819116712</v>
      </c>
      <c r="L186" s="342">
        <f t="shared" si="17"/>
        <v>171076.90361719736</v>
      </c>
      <c r="M186" s="129"/>
      <c r="N186" s="130"/>
      <c r="O186" s="127"/>
      <c r="P186" s="127"/>
      <c r="Q186" s="131"/>
    </row>
    <row r="187" spans="1:17" s="126" customFormat="1" x14ac:dyDescent="0.25">
      <c r="A187" s="175">
        <f>Données!A187</f>
        <v>5716</v>
      </c>
      <c r="B187" s="353" t="str">
        <f>Données!B187</f>
        <v>Eysins</v>
      </c>
      <c r="C187" s="175">
        <f>Données!AR187</f>
        <v>0</v>
      </c>
      <c r="D187" s="354">
        <f>Données!Z187</f>
        <v>1767</v>
      </c>
      <c r="E187" s="128">
        <f>Données!X187</f>
        <v>59.5</v>
      </c>
      <c r="F187" s="31">
        <f>VPI!L187</f>
        <v>12944396.329999998</v>
      </c>
      <c r="G187" s="8">
        <f t="shared" si="13"/>
        <v>435105.75899159658</v>
      </c>
      <c r="H187" s="26">
        <f t="shared" si="14"/>
        <v>157728.02943029432</v>
      </c>
      <c r="I187" s="8">
        <f t="shared" si="15"/>
        <v>157728.02943029432</v>
      </c>
      <c r="J187" s="8">
        <f>VPI!R187</f>
        <v>232571.69630252098</v>
      </c>
      <c r="K187" s="236">
        <f t="shared" si="16"/>
        <v>274473.2670387057</v>
      </c>
      <c r="L187" s="342">
        <f t="shared" si="17"/>
        <v>432201.29646900005</v>
      </c>
      <c r="M187" s="129"/>
      <c r="N187" s="130"/>
      <c r="O187" s="127"/>
      <c r="P187" s="127"/>
      <c r="Q187" s="131"/>
    </row>
    <row r="188" spans="1:17" s="126" customFormat="1" x14ac:dyDescent="0.25">
      <c r="A188" s="175">
        <f>Données!A188</f>
        <v>5717</v>
      </c>
      <c r="B188" s="353" t="str">
        <f>Données!B188</f>
        <v>Founex</v>
      </c>
      <c r="C188" s="175">
        <f>Données!AR188</f>
        <v>0</v>
      </c>
      <c r="D188" s="354">
        <f>Données!Z188</f>
        <v>3766</v>
      </c>
      <c r="E188" s="128">
        <f>Données!X188</f>
        <v>57</v>
      </c>
      <c r="F188" s="31">
        <f>VPI!L188</f>
        <v>19170400.440000001</v>
      </c>
      <c r="G188" s="8">
        <f t="shared" si="13"/>
        <v>672645.62947368424</v>
      </c>
      <c r="H188" s="26">
        <f t="shared" si="14"/>
        <v>336165.115356247</v>
      </c>
      <c r="I188" s="8">
        <f t="shared" si="15"/>
        <v>336165.115356247</v>
      </c>
      <c r="J188" s="8">
        <f>VPI!R188</f>
        <v>361582.97087719297</v>
      </c>
      <c r="K188" s="236">
        <f t="shared" si="16"/>
        <v>426728.01935937273</v>
      </c>
      <c r="L188" s="342">
        <f t="shared" si="17"/>
        <v>762893.13471561973</v>
      </c>
      <c r="M188" s="129"/>
      <c r="N188" s="130"/>
      <c r="O188" s="127"/>
      <c r="P188" s="127"/>
      <c r="Q188" s="131"/>
    </row>
    <row r="189" spans="1:17" s="126" customFormat="1" x14ac:dyDescent="0.25">
      <c r="A189" s="175">
        <f>Données!A189</f>
        <v>5718</v>
      </c>
      <c r="B189" s="353" t="str">
        <f>Données!B189</f>
        <v>Genolier</v>
      </c>
      <c r="C189" s="175">
        <f>Données!AR189</f>
        <v>0</v>
      </c>
      <c r="D189" s="354">
        <f>Données!Z189</f>
        <v>2027</v>
      </c>
      <c r="E189" s="128">
        <f>Données!X189</f>
        <v>55</v>
      </c>
      <c r="F189" s="31">
        <f>VPI!L189</f>
        <v>10939555.859999998</v>
      </c>
      <c r="G189" s="8">
        <f t="shared" si="13"/>
        <v>397802.03127272718</v>
      </c>
      <c r="H189" s="26">
        <f t="shared" si="14"/>
        <v>180936.45481335971</v>
      </c>
      <c r="I189" s="8">
        <f t="shared" si="15"/>
        <v>180936.45481335971</v>
      </c>
      <c r="J189" s="8">
        <f>VPI!R189</f>
        <v>212699.2265454545</v>
      </c>
      <c r="K189" s="236">
        <f t="shared" si="16"/>
        <v>251020.44889674682</v>
      </c>
      <c r="L189" s="342">
        <f t="shared" si="17"/>
        <v>431956.9037101065</v>
      </c>
      <c r="M189" s="129"/>
      <c r="N189" s="130"/>
      <c r="O189" s="127"/>
      <c r="P189" s="127"/>
      <c r="Q189" s="131"/>
    </row>
    <row r="190" spans="1:17" s="126" customFormat="1" x14ac:dyDescent="0.25">
      <c r="A190" s="175">
        <f>Données!A190</f>
        <v>5719</v>
      </c>
      <c r="B190" s="353" t="str">
        <f>Données!B190</f>
        <v>Gingins</v>
      </c>
      <c r="C190" s="175">
        <f>Données!AR190</f>
        <v>0</v>
      </c>
      <c r="D190" s="354">
        <f>Données!Z190</f>
        <v>1271</v>
      </c>
      <c r="E190" s="128">
        <f>Données!X190</f>
        <v>60</v>
      </c>
      <c r="F190" s="31">
        <f>VPI!L190</f>
        <v>6743291.4799999986</v>
      </c>
      <c r="G190" s="8">
        <f t="shared" si="13"/>
        <v>224776.38266666661</v>
      </c>
      <c r="H190" s="26">
        <f t="shared" si="14"/>
        <v>113453.49485336962</v>
      </c>
      <c r="I190" s="8">
        <f t="shared" si="15"/>
        <v>113453.49485336962</v>
      </c>
      <c r="J190" s="8">
        <f>VPI!R190</f>
        <v>119943.29911111109</v>
      </c>
      <c r="K190" s="236">
        <f t="shared" si="16"/>
        <v>141553.03370881634</v>
      </c>
      <c r="L190" s="342">
        <f t="shared" si="17"/>
        <v>255006.52856218594</v>
      </c>
      <c r="M190" s="129"/>
      <c r="N190" s="130"/>
      <c r="O190" s="127"/>
      <c r="P190" s="127"/>
      <c r="Q190" s="131"/>
    </row>
    <row r="191" spans="1:17" s="126" customFormat="1" x14ac:dyDescent="0.25">
      <c r="A191" s="175">
        <f>Données!A191</f>
        <v>5720</v>
      </c>
      <c r="B191" s="353" t="str">
        <f>Données!B191</f>
        <v>Givrins</v>
      </c>
      <c r="C191" s="175">
        <f>Données!AR191</f>
        <v>0</v>
      </c>
      <c r="D191" s="354">
        <f>Données!Z191</f>
        <v>1026</v>
      </c>
      <c r="E191" s="128">
        <f>Données!X191</f>
        <v>67</v>
      </c>
      <c r="F191" s="31">
        <f>VPI!L191</f>
        <v>5357263.12</v>
      </c>
      <c r="G191" s="8">
        <f t="shared" si="13"/>
        <v>159918.30208955225</v>
      </c>
      <c r="H191" s="26">
        <f t="shared" si="14"/>
        <v>91584.017088558001</v>
      </c>
      <c r="I191" s="8">
        <f t="shared" si="15"/>
        <v>91584.017088558001</v>
      </c>
      <c r="J191" s="8">
        <f>VPI!R191</f>
        <v>84868.432139303477</v>
      </c>
      <c r="K191" s="236">
        <f t="shared" si="16"/>
        <v>100158.85943157571</v>
      </c>
      <c r="L191" s="342">
        <f t="shared" si="17"/>
        <v>191742.87652013369</v>
      </c>
      <c r="M191" s="129"/>
      <c r="N191" s="130"/>
      <c r="O191" s="127"/>
      <c r="P191" s="127"/>
      <c r="Q191" s="131"/>
    </row>
    <row r="192" spans="1:17" s="126" customFormat="1" x14ac:dyDescent="0.25">
      <c r="A192" s="175">
        <f>Données!A192</f>
        <v>5721</v>
      </c>
      <c r="B192" s="353" t="str">
        <f>Données!B192</f>
        <v>Gland</v>
      </c>
      <c r="C192" s="175">
        <f>Données!AR192</f>
        <v>0</v>
      </c>
      <c r="D192" s="354">
        <f>Données!Z192</f>
        <v>13698</v>
      </c>
      <c r="E192" s="128">
        <f>Données!X192</f>
        <v>61</v>
      </c>
      <c r="F192" s="31">
        <f>VPI!L192</f>
        <v>38386531.850000001</v>
      </c>
      <c r="G192" s="8">
        <f t="shared" si="13"/>
        <v>1258574.8147540984</v>
      </c>
      <c r="H192" s="26">
        <f t="shared" si="14"/>
        <v>1222726.9649893446</v>
      </c>
      <c r="I192" s="8">
        <f t="shared" si="15"/>
        <v>1222726.9649893446</v>
      </c>
      <c r="J192" s="8">
        <f>VPI!R192</f>
        <v>688985.30491803284</v>
      </c>
      <c r="K192" s="236">
        <f t="shared" si="16"/>
        <v>813117.20466847473</v>
      </c>
      <c r="L192" s="342">
        <f t="shared" si="17"/>
        <v>2035844.1696578194</v>
      </c>
      <c r="M192" s="129"/>
      <c r="N192" s="130"/>
      <c r="O192" s="127"/>
      <c r="P192" s="127"/>
      <c r="Q192" s="131"/>
    </row>
    <row r="193" spans="1:17" s="126" customFormat="1" x14ac:dyDescent="0.25">
      <c r="A193" s="175">
        <f>Données!A193</f>
        <v>5722</v>
      </c>
      <c r="B193" s="353" t="str">
        <f>Données!B193</f>
        <v>Grens</v>
      </c>
      <c r="C193" s="175">
        <f>Données!AR193</f>
        <v>0</v>
      </c>
      <c r="D193" s="354">
        <f>Données!Z193</f>
        <v>400</v>
      </c>
      <c r="E193" s="128">
        <f>Données!X193</f>
        <v>62</v>
      </c>
      <c r="F193" s="31">
        <f>VPI!L193</f>
        <v>1194915.69</v>
      </c>
      <c r="G193" s="8">
        <f t="shared" si="13"/>
        <v>38545.667419354839</v>
      </c>
      <c r="H193" s="26">
        <f t="shared" si="14"/>
        <v>35705.269820100584</v>
      </c>
      <c r="I193" s="8">
        <f t="shared" si="15"/>
        <v>35705.269820100584</v>
      </c>
      <c r="J193" s="8">
        <f>VPI!R193</f>
        <v>20912.723225806454</v>
      </c>
      <c r="K193" s="236">
        <f t="shared" si="16"/>
        <v>24680.490178808996</v>
      </c>
      <c r="L193" s="342">
        <f t="shared" si="17"/>
        <v>60385.759998909576</v>
      </c>
      <c r="M193" s="129"/>
      <c r="N193" s="130"/>
      <c r="O193" s="127"/>
      <c r="P193" s="127"/>
      <c r="Q193" s="131"/>
    </row>
    <row r="194" spans="1:17" s="126" customFormat="1" x14ac:dyDescent="0.25">
      <c r="A194" s="175">
        <f>Données!A194</f>
        <v>5723</v>
      </c>
      <c r="B194" s="353" t="str">
        <f>Données!B194</f>
        <v>Mies</v>
      </c>
      <c r="C194" s="175">
        <f>Données!AR194</f>
        <v>0</v>
      </c>
      <c r="D194" s="354">
        <f>Données!Z194</f>
        <v>2226</v>
      </c>
      <c r="E194" s="128">
        <f>Données!X194</f>
        <v>52</v>
      </c>
      <c r="F194" s="31">
        <f>VPI!L194</f>
        <v>12235687.950000001</v>
      </c>
      <c r="G194" s="8">
        <f t="shared" si="13"/>
        <v>470603.38269230776</v>
      </c>
      <c r="H194" s="26">
        <f t="shared" si="14"/>
        <v>198699.82654885977</v>
      </c>
      <c r="I194" s="8">
        <f t="shared" si="15"/>
        <v>198699.82654885977</v>
      </c>
      <c r="J194" s="8">
        <f>VPI!R194</f>
        <v>253771.19326923077</v>
      </c>
      <c r="K194" s="236">
        <f t="shared" si="16"/>
        <v>299492.19790835551</v>
      </c>
      <c r="L194" s="342">
        <f t="shared" si="17"/>
        <v>498192.02445721527</v>
      </c>
      <c r="M194" s="129"/>
      <c r="N194" s="130"/>
      <c r="O194" s="127"/>
      <c r="P194" s="127"/>
      <c r="Q194" s="131"/>
    </row>
    <row r="195" spans="1:17" s="126" customFormat="1" x14ac:dyDescent="0.25">
      <c r="A195" s="175">
        <f>Données!A195</f>
        <v>5724</v>
      </c>
      <c r="B195" s="353" t="str">
        <f>Données!B195</f>
        <v>Nyon</v>
      </c>
      <c r="C195" s="175">
        <f>Données!AR195</f>
        <v>1</v>
      </c>
      <c r="D195" s="354">
        <f>Données!Z195</f>
        <v>22481</v>
      </c>
      <c r="E195" s="128">
        <f>Données!X195</f>
        <v>61</v>
      </c>
      <c r="F195" s="31">
        <f>VPI!L195</f>
        <v>85888362.879999995</v>
      </c>
      <c r="G195" s="8">
        <f t="shared" si="13"/>
        <v>2816011.8977049179</v>
      </c>
      <c r="H195" s="26">
        <f t="shared" si="14"/>
        <v>2006725.4270642032</v>
      </c>
      <c r="I195" s="8">
        <f t="shared" si="15"/>
        <v>0</v>
      </c>
      <c r="J195" s="8">
        <f>VPI!R195</f>
        <v>1520148.6004918031</v>
      </c>
      <c r="K195" s="236">
        <f t="shared" si="16"/>
        <v>1794028.0756200457</v>
      </c>
      <c r="L195" s="342">
        <f t="shared" si="17"/>
        <v>1794028.0756200457</v>
      </c>
      <c r="M195" s="129"/>
      <c r="N195" s="130"/>
      <c r="O195" s="127"/>
      <c r="P195" s="127"/>
      <c r="Q195" s="131"/>
    </row>
    <row r="196" spans="1:17" s="126" customFormat="1" x14ac:dyDescent="0.25">
      <c r="A196" s="175">
        <f>Données!A196</f>
        <v>5725</v>
      </c>
      <c r="B196" s="353" t="str">
        <f>Données!B196</f>
        <v>Prangins</v>
      </c>
      <c r="C196" s="175">
        <f>Données!AR196</f>
        <v>1</v>
      </c>
      <c r="D196" s="354">
        <f>Données!Z196</f>
        <v>4279</v>
      </c>
      <c r="E196" s="128">
        <f>Données!X196</f>
        <v>55</v>
      </c>
      <c r="F196" s="31">
        <f>VPI!L196</f>
        <v>20162487.719999995</v>
      </c>
      <c r="G196" s="8">
        <f t="shared" si="13"/>
        <v>733181.37163636344</v>
      </c>
      <c r="H196" s="26">
        <f t="shared" si="14"/>
        <v>381957.12390052603</v>
      </c>
      <c r="I196" s="8">
        <f t="shared" si="15"/>
        <v>0</v>
      </c>
      <c r="J196" s="8">
        <f>VPI!R196</f>
        <v>388958.996077922</v>
      </c>
      <c r="K196" s="236">
        <f t="shared" si="16"/>
        <v>459036.28040247108</v>
      </c>
      <c r="L196" s="342">
        <f t="shared" si="17"/>
        <v>459036.28040247108</v>
      </c>
      <c r="M196" s="129"/>
      <c r="N196" s="130"/>
      <c r="O196" s="127"/>
      <c r="P196" s="127"/>
      <c r="Q196" s="131"/>
    </row>
    <row r="197" spans="1:17" s="126" customFormat="1" x14ac:dyDescent="0.25">
      <c r="A197" s="175">
        <f>Données!A197</f>
        <v>5726</v>
      </c>
      <c r="B197" s="353" t="str">
        <f>Données!B197</f>
        <v>La Rippe</v>
      </c>
      <c r="C197" s="175">
        <f>Données!AR197</f>
        <v>0</v>
      </c>
      <c r="D197" s="354">
        <f>Données!Z197</f>
        <v>1198</v>
      </c>
      <c r="E197" s="128">
        <f>Données!X197</f>
        <v>64</v>
      </c>
      <c r="F197" s="31">
        <f>VPI!L197</f>
        <v>4179153.6400000011</v>
      </c>
      <c r="G197" s="8">
        <f t="shared" si="13"/>
        <v>130598.55125000003</v>
      </c>
      <c r="H197" s="26">
        <f t="shared" si="14"/>
        <v>106937.28311120125</v>
      </c>
      <c r="I197" s="8">
        <f t="shared" si="15"/>
        <v>106937.28311120125</v>
      </c>
      <c r="J197" s="8">
        <f>VPI!R197</f>
        <v>69785.913125000021</v>
      </c>
      <c r="K197" s="236">
        <f t="shared" si="16"/>
        <v>82358.979502745366</v>
      </c>
      <c r="L197" s="342">
        <f t="shared" si="17"/>
        <v>189296.26261394663</v>
      </c>
      <c r="M197" s="129"/>
      <c r="N197" s="130"/>
      <c r="O197" s="127"/>
      <c r="P197" s="127"/>
      <c r="Q197" s="131"/>
    </row>
    <row r="198" spans="1:17" s="126" customFormat="1" x14ac:dyDescent="0.25">
      <c r="A198" s="175">
        <f>Données!A198</f>
        <v>5727</v>
      </c>
      <c r="B198" s="353" t="str">
        <f>Données!B198</f>
        <v>Saint-Cergue</v>
      </c>
      <c r="C198" s="175">
        <f>Données!AR198</f>
        <v>0</v>
      </c>
      <c r="D198" s="354">
        <f>Données!Z198</f>
        <v>2788</v>
      </c>
      <c r="E198" s="128">
        <f>Données!X198</f>
        <v>66</v>
      </c>
      <c r="F198" s="31">
        <f>VPI!L198</f>
        <v>6489308.290000001</v>
      </c>
      <c r="G198" s="8">
        <f t="shared" si="13"/>
        <v>196645.70575757578</v>
      </c>
      <c r="H198" s="26">
        <f t="shared" si="14"/>
        <v>248865.73064610109</v>
      </c>
      <c r="I198" s="8">
        <f t="shared" si="15"/>
        <v>196645.70575757578</v>
      </c>
      <c r="J198" s="8">
        <f>VPI!R198</f>
        <v>107048.1634848485</v>
      </c>
      <c r="K198" s="236">
        <f t="shared" si="16"/>
        <v>126334.6298337222</v>
      </c>
      <c r="L198" s="342">
        <f t="shared" si="17"/>
        <v>322980.33559129795</v>
      </c>
      <c r="M198" s="129"/>
      <c r="N198" s="130"/>
      <c r="O198" s="127"/>
      <c r="P198" s="127"/>
      <c r="Q198" s="131"/>
    </row>
    <row r="199" spans="1:17" s="126" customFormat="1" x14ac:dyDescent="0.25">
      <c r="A199" s="175">
        <f>Données!A199</f>
        <v>5728</v>
      </c>
      <c r="B199" s="353" t="str">
        <f>Données!B199</f>
        <v>Signy-Avenex</v>
      </c>
      <c r="C199" s="175">
        <f>Données!AR199</f>
        <v>0</v>
      </c>
      <c r="D199" s="354">
        <f>Données!Z199</f>
        <v>583</v>
      </c>
      <c r="E199" s="128">
        <f>Données!X199</f>
        <v>58</v>
      </c>
      <c r="F199" s="31">
        <f>VPI!L199</f>
        <v>3514946.14</v>
      </c>
      <c r="G199" s="8">
        <f t="shared" ref="G199:G262" si="18">F199/E199*2</f>
        <v>121205.03931034483</v>
      </c>
      <c r="H199" s="26">
        <f t="shared" ref="H199:H262" si="19">+$G$306/$D$306*D199</f>
        <v>52040.430762796605</v>
      </c>
      <c r="I199" s="8">
        <f t="shared" ref="I199:I262" si="20">IF(C199=1,0,IF(H199&gt;G199,G199,H199))</f>
        <v>52040.430762796605</v>
      </c>
      <c r="J199" s="8">
        <f>VPI!R199</f>
        <v>66000.760172413793</v>
      </c>
      <c r="K199" s="236">
        <f t="shared" ref="K199:K262" si="21">+$K$5*J199</f>
        <v>77891.869731201412</v>
      </c>
      <c r="L199" s="342">
        <f t="shared" ref="L199:L262" si="22">+K199+I199</f>
        <v>129932.30049399802</v>
      </c>
      <c r="M199" s="129"/>
      <c r="N199" s="130"/>
      <c r="O199" s="127"/>
      <c r="P199" s="127"/>
      <c r="Q199" s="131"/>
    </row>
    <row r="200" spans="1:17" s="126" customFormat="1" x14ac:dyDescent="0.25">
      <c r="A200" s="175">
        <f>Données!A200</f>
        <v>5729</v>
      </c>
      <c r="B200" s="353" t="str">
        <f>Données!B200</f>
        <v>Tannay</v>
      </c>
      <c r="C200" s="175">
        <f>Données!AR200</f>
        <v>0</v>
      </c>
      <c r="D200" s="354">
        <f>Données!Z200</f>
        <v>1724</v>
      </c>
      <c r="E200" s="128">
        <f>Données!X200</f>
        <v>60.5</v>
      </c>
      <c r="F200" s="31">
        <f>VPI!L200</f>
        <v>10814091.780000001</v>
      </c>
      <c r="G200" s="8">
        <f t="shared" si="18"/>
        <v>357490.63735537196</v>
      </c>
      <c r="H200" s="26">
        <f t="shared" si="19"/>
        <v>153889.71292463352</v>
      </c>
      <c r="I200" s="8">
        <f t="shared" si="20"/>
        <v>153889.71292463352</v>
      </c>
      <c r="J200" s="8">
        <f>VPI!R200</f>
        <v>189085.86771349865</v>
      </c>
      <c r="K200" s="236">
        <f t="shared" si="21"/>
        <v>223152.75971786396</v>
      </c>
      <c r="L200" s="342">
        <f t="shared" si="22"/>
        <v>377042.47264249751</v>
      </c>
      <c r="M200" s="129"/>
      <c r="N200" s="130"/>
      <c r="O200" s="127"/>
      <c r="P200" s="127"/>
      <c r="Q200" s="131"/>
    </row>
    <row r="201" spans="1:17" s="126" customFormat="1" x14ac:dyDescent="0.25">
      <c r="A201" s="175">
        <f>Données!A201</f>
        <v>5730</v>
      </c>
      <c r="B201" s="353" t="str">
        <f>Données!B201</f>
        <v>Trélex</v>
      </c>
      <c r="C201" s="175">
        <f>Données!AR201</f>
        <v>0</v>
      </c>
      <c r="D201" s="354">
        <f>Données!Z201</f>
        <v>1429</v>
      </c>
      <c r="E201" s="128">
        <f>Données!X201</f>
        <v>55.5</v>
      </c>
      <c r="F201" s="31">
        <f>VPI!L201</f>
        <v>6270144.1900000004</v>
      </c>
      <c r="G201" s="8">
        <f t="shared" si="18"/>
        <v>225951.14198198199</v>
      </c>
      <c r="H201" s="26">
        <f t="shared" si="19"/>
        <v>127557.07643230935</v>
      </c>
      <c r="I201" s="8">
        <f t="shared" si="20"/>
        <v>127557.07643230935</v>
      </c>
      <c r="J201" s="8">
        <f>VPI!R201</f>
        <v>121414.34176176177</v>
      </c>
      <c r="K201" s="236">
        <f t="shared" si="21"/>
        <v>143289.10859968426</v>
      </c>
      <c r="L201" s="342">
        <f t="shared" si="22"/>
        <v>270846.18503199361</v>
      </c>
      <c r="M201" s="129"/>
      <c r="N201" s="130"/>
      <c r="O201" s="127"/>
      <c r="P201" s="127"/>
      <c r="Q201" s="131"/>
    </row>
    <row r="202" spans="1:17" s="126" customFormat="1" x14ac:dyDescent="0.25">
      <c r="A202" s="175">
        <f>Données!A202</f>
        <v>5731</v>
      </c>
      <c r="B202" s="353" t="str">
        <f>Données!B202</f>
        <v>Le Vaud</v>
      </c>
      <c r="C202" s="175">
        <f>Données!AR202</f>
        <v>0</v>
      </c>
      <c r="D202" s="354">
        <f>Données!Z202</f>
        <v>1408</v>
      </c>
      <c r="E202" s="128">
        <f>Données!X202</f>
        <v>74</v>
      </c>
      <c r="F202" s="31">
        <f>VPI!L202</f>
        <v>4859090.6399999997</v>
      </c>
      <c r="G202" s="8">
        <f t="shared" si="18"/>
        <v>131326.77405405405</v>
      </c>
      <c r="H202" s="26">
        <f t="shared" si="19"/>
        <v>125682.54976675406</v>
      </c>
      <c r="I202" s="8">
        <f t="shared" si="20"/>
        <v>125682.54976675406</v>
      </c>
      <c r="J202" s="8">
        <f>VPI!R202</f>
        <v>69610.558648648643</v>
      </c>
      <c r="K202" s="236">
        <f t="shared" si="21"/>
        <v>82152.032067699722</v>
      </c>
      <c r="L202" s="342">
        <f t="shared" si="22"/>
        <v>207834.5818344538</v>
      </c>
      <c r="M202" s="129"/>
      <c r="N202" s="130"/>
      <c r="O202" s="127"/>
      <c r="P202" s="127"/>
      <c r="Q202" s="131"/>
    </row>
    <row r="203" spans="1:17" s="126" customFormat="1" x14ac:dyDescent="0.25">
      <c r="A203" s="175">
        <f>Données!A203</f>
        <v>5732</v>
      </c>
      <c r="B203" s="353" t="str">
        <f>Données!B203</f>
        <v>Vich</v>
      </c>
      <c r="C203" s="175">
        <f>Données!AR203</f>
        <v>0</v>
      </c>
      <c r="D203" s="354">
        <f>Données!Z203</f>
        <v>1160</v>
      </c>
      <c r="E203" s="128">
        <f>Données!X203</f>
        <v>63</v>
      </c>
      <c r="F203" s="31">
        <f>VPI!L203</f>
        <v>4633294.0200000014</v>
      </c>
      <c r="G203" s="8">
        <f t="shared" si="18"/>
        <v>147088.6990476191</v>
      </c>
      <c r="H203" s="26">
        <f t="shared" si="19"/>
        <v>103545.2824782917</v>
      </c>
      <c r="I203" s="8">
        <f t="shared" si="20"/>
        <v>103545.2824782917</v>
      </c>
      <c r="J203" s="8">
        <f>VPI!R203</f>
        <v>79861.73920634923</v>
      </c>
      <c r="K203" s="236">
        <f t="shared" si="21"/>
        <v>94250.129400299527</v>
      </c>
      <c r="L203" s="342">
        <f t="shared" si="22"/>
        <v>197795.41187859123</v>
      </c>
      <c r="M203" s="129"/>
      <c r="N203" s="130"/>
      <c r="O203" s="127"/>
      <c r="P203" s="127"/>
      <c r="Q203" s="131"/>
    </row>
    <row r="204" spans="1:17" s="126" customFormat="1" x14ac:dyDescent="0.25">
      <c r="A204" s="175">
        <f>Données!A204</f>
        <v>5741</v>
      </c>
      <c r="B204" s="353" t="str">
        <f>Données!B204</f>
        <v>L'Abergement</v>
      </c>
      <c r="C204" s="175">
        <f>Données!AR204</f>
        <v>0</v>
      </c>
      <c r="D204" s="354">
        <f>Données!Z204</f>
        <v>260</v>
      </c>
      <c r="E204" s="128">
        <f>Données!X204</f>
        <v>80</v>
      </c>
      <c r="F204" s="31">
        <f>VPI!L204</f>
        <v>823028.55999999994</v>
      </c>
      <c r="G204" s="8">
        <f t="shared" si="18"/>
        <v>20575.714</v>
      </c>
      <c r="H204" s="26">
        <f t="shared" si="19"/>
        <v>23208.42538306538</v>
      </c>
      <c r="I204" s="8">
        <f t="shared" si="20"/>
        <v>20575.714</v>
      </c>
      <c r="J204" s="8">
        <f>VPI!R204</f>
        <v>10833.904395833331</v>
      </c>
      <c r="K204" s="236">
        <f t="shared" si="21"/>
        <v>12785.808340329573</v>
      </c>
      <c r="L204" s="342">
        <f t="shared" si="22"/>
        <v>33361.522340329575</v>
      </c>
      <c r="M204" s="129"/>
      <c r="N204" s="130"/>
      <c r="O204" s="127"/>
      <c r="P204" s="127"/>
      <c r="Q204" s="131"/>
    </row>
    <row r="205" spans="1:17" s="126" customFormat="1" x14ac:dyDescent="0.25">
      <c r="A205" s="175">
        <f>Données!A205</f>
        <v>5742</v>
      </c>
      <c r="B205" s="353" t="str">
        <f>Données!B205</f>
        <v>Agiez</v>
      </c>
      <c r="C205" s="175">
        <f>Données!AR205</f>
        <v>0</v>
      </c>
      <c r="D205" s="354">
        <f>Données!Z205</f>
        <v>381</v>
      </c>
      <c r="E205" s="128">
        <f>Données!X205</f>
        <v>76</v>
      </c>
      <c r="F205" s="31">
        <f>VPI!L205</f>
        <v>625028.97000000009</v>
      </c>
      <c r="G205" s="8">
        <f t="shared" si="18"/>
        <v>16448.130789473686</v>
      </c>
      <c r="H205" s="26">
        <f t="shared" si="19"/>
        <v>34009.26950364581</v>
      </c>
      <c r="I205" s="8">
        <f t="shared" si="20"/>
        <v>16448.130789473686</v>
      </c>
      <c r="J205" s="8">
        <f>VPI!R205</f>
        <v>9049.0364473684222</v>
      </c>
      <c r="K205" s="236">
        <f t="shared" si="21"/>
        <v>10679.367424103064</v>
      </c>
      <c r="L205" s="342">
        <f t="shared" si="22"/>
        <v>27127.49821357675</v>
      </c>
      <c r="M205" s="129"/>
      <c r="N205" s="130"/>
      <c r="O205" s="127"/>
      <c r="P205" s="127"/>
      <c r="Q205" s="131"/>
    </row>
    <row r="206" spans="1:17" s="126" customFormat="1" x14ac:dyDescent="0.25">
      <c r="A206" s="175">
        <f>Données!A206</f>
        <v>5743</v>
      </c>
      <c r="B206" s="353" t="str">
        <f>Données!B206</f>
        <v>Arnex-sur-Orbe</v>
      </c>
      <c r="C206" s="175">
        <f>Données!AR206</f>
        <v>0</v>
      </c>
      <c r="D206" s="354">
        <f>Données!Z206</f>
        <v>692</v>
      </c>
      <c r="E206" s="128">
        <f>Données!X206</f>
        <v>71</v>
      </c>
      <c r="F206" s="31">
        <f>VPI!L206</f>
        <v>1287321.6600000001</v>
      </c>
      <c r="G206" s="8">
        <f t="shared" si="18"/>
        <v>36262.581971830987</v>
      </c>
      <c r="H206" s="26">
        <f t="shared" si="19"/>
        <v>61770.116788774016</v>
      </c>
      <c r="I206" s="8">
        <f t="shared" si="20"/>
        <v>36262.581971830987</v>
      </c>
      <c r="J206" s="8">
        <f>VPI!R206</f>
        <v>19423.544507042254</v>
      </c>
      <c r="K206" s="236">
        <f t="shared" si="21"/>
        <v>22923.011712417927</v>
      </c>
      <c r="L206" s="342">
        <f t="shared" si="22"/>
        <v>59185.593684248917</v>
      </c>
      <c r="M206" s="129"/>
      <c r="N206" s="130"/>
      <c r="O206" s="127"/>
      <c r="P206" s="127"/>
      <c r="Q206" s="131"/>
    </row>
    <row r="207" spans="1:17" s="126" customFormat="1" x14ac:dyDescent="0.25">
      <c r="A207" s="175">
        <f>Données!A207</f>
        <v>5744</v>
      </c>
      <c r="B207" s="353" t="str">
        <f>Données!B207</f>
        <v>Ballaigues</v>
      </c>
      <c r="C207" s="175">
        <f>Données!AR207</f>
        <v>0</v>
      </c>
      <c r="D207" s="354">
        <f>Données!Z207</f>
        <v>1152</v>
      </c>
      <c r="E207" s="128">
        <f>Données!X207</f>
        <v>65</v>
      </c>
      <c r="F207" s="31">
        <f>VPI!L207</f>
        <v>3322831.6</v>
      </c>
      <c r="G207" s="8">
        <f t="shared" si="18"/>
        <v>102240.97230769231</v>
      </c>
      <c r="H207" s="26">
        <f t="shared" si="19"/>
        <v>102831.17708188969</v>
      </c>
      <c r="I207" s="8">
        <f t="shared" si="20"/>
        <v>102240.97230769231</v>
      </c>
      <c r="J207" s="8">
        <f>VPI!R207</f>
        <v>54105.101538461538</v>
      </c>
      <c r="K207" s="236">
        <f t="shared" si="21"/>
        <v>63853.014871618616</v>
      </c>
      <c r="L207" s="342">
        <f t="shared" si="22"/>
        <v>166093.98717931093</v>
      </c>
      <c r="M207" s="129"/>
      <c r="N207" s="130"/>
      <c r="O207" s="127"/>
      <c r="P207" s="127"/>
      <c r="Q207" s="131"/>
    </row>
    <row r="208" spans="1:17" s="126" customFormat="1" x14ac:dyDescent="0.25">
      <c r="A208" s="175">
        <f>Données!A208</f>
        <v>5745</v>
      </c>
      <c r="B208" s="353" t="str">
        <f>Données!B208</f>
        <v>Baulmes</v>
      </c>
      <c r="C208" s="175">
        <f>Données!AR208</f>
        <v>0</v>
      </c>
      <c r="D208" s="354">
        <f>Données!Z208</f>
        <v>1132</v>
      </c>
      <c r="E208" s="128">
        <f>Données!X208</f>
        <v>76.5</v>
      </c>
      <c r="F208" s="31">
        <f>VPI!L208</f>
        <v>1961923.9800000002</v>
      </c>
      <c r="G208" s="8">
        <f t="shared" si="18"/>
        <v>51292.13019607844</v>
      </c>
      <c r="H208" s="26">
        <f t="shared" si="19"/>
        <v>101045.91359088465</v>
      </c>
      <c r="I208" s="8">
        <f t="shared" si="20"/>
        <v>51292.13019607844</v>
      </c>
      <c r="J208" s="8">
        <f>VPI!R208</f>
        <v>27705.104967320265</v>
      </c>
      <c r="K208" s="236">
        <f t="shared" si="21"/>
        <v>32696.629877692641</v>
      </c>
      <c r="L208" s="342">
        <f t="shared" si="22"/>
        <v>83988.760073771089</v>
      </c>
      <c r="M208" s="129"/>
      <c r="N208" s="130"/>
      <c r="O208" s="127"/>
      <c r="P208" s="127"/>
      <c r="Q208" s="131"/>
    </row>
    <row r="209" spans="1:17" s="126" customFormat="1" x14ac:dyDescent="0.25">
      <c r="A209" s="175">
        <f>Données!A209</f>
        <v>5746</v>
      </c>
      <c r="B209" s="353" t="str">
        <f>Données!B209</f>
        <v>Bavois</v>
      </c>
      <c r="C209" s="175">
        <f>Données!AR209</f>
        <v>0</v>
      </c>
      <c r="D209" s="354">
        <f>Données!Z209</f>
        <v>1009</v>
      </c>
      <c r="E209" s="128">
        <f>Données!X209</f>
        <v>72</v>
      </c>
      <c r="F209" s="31">
        <f>VPI!L209</f>
        <v>1911512.97</v>
      </c>
      <c r="G209" s="8">
        <f t="shared" si="18"/>
        <v>53097.582499999997</v>
      </c>
      <c r="H209" s="26">
        <f t="shared" si="19"/>
        <v>90066.543121203722</v>
      </c>
      <c r="I209" s="8">
        <f t="shared" si="20"/>
        <v>53097.582499999997</v>
      </c>
      <c r="J209" s="8">
        <f>VPI!R209</f>
        <v>29513.59275462963</v>
      </c>
      <c r="K209" s="236">
        <f t="shared" si="21"/>
        <v>34830.946130590099</v>
      </c>
      <c r="L209" s="342">
        <f t="shared" si="22"/>
        <v>87928.528630590095</v>
      </c>
      <c r="M209" s="129"/>
      <c r="N209" s="130"/>
      <c r="O209" s="127"/>
      <c r="P209" s="127"/>
      <c r="Q209" s="131"/>
    </row>
    <row r="210" spans="1:17" s="126" customFormat="1" x14ac:dyDescent="0.25">
      <c r="A210" s="175">
        <f>Données!A210</f>
        <v>5747</v>
      </c>
      <c r="B210" s="353" t="str">
        <f>Données!B210</f>
        <v>Bofflens</v>
      </c>
      <c r="C210" s="175">
        <f>Données!AR210</f>
        <v>0</v>
      </c>
      <c r="D210" s="354">
        <f>Données!Z210</f>
        <v>204</v>
      </c>
      <c r="E210" s="128">
        <f>Données!X210</f>
        <v>69</v>
      </c>
      <c r="F210" s="31">
        <f>VPI!L210</f>
        <v>364385.50999999989</v>
      </c>
      <c r="G210" s="8">
        <f t="shared" si="18"/>
        <v>10561.898840579706</v>
      </c>
      <c r="H210" s="26">
        <f t="shared" si="19"/>
        <v>18209.687608251297</v>
      </c>
      <c r="I210" s="8">
        <f t="shared" si="20"/>
        <v>10561.898840579706</v>
      </c>
      <c r="J210" s="8">
        <f>VPI!R210</f>
        <v>5778.0378260869547</v>
      </c>
      <c r="K210" s="236">
        <f t="shared" si="21"/>
        <v>6819.0452424460236</v>
      </c>
      <c r="L210" s="342">
        <f t="shared" si="22"/>
        <v>17380.94408302573</v>
      </c>
      <c r="M210" s="129"/>
      <c r="N210" s="130"/>
      <c r="O210" s="127"/>
      <c r="P210" s="127"/>
      <c r="Q210" s="131"/>
    </row>
    <row r="211" spans="1:17" s="126" customFormat="1" x14ac:dyDescent="0.25">
      <c r="A211" s="175">
        <f>Données!A211</f>
        <v>5748</v>
      </c>
      <c r="B211" s="353" t="str">
        <f>Données!B211</f>
        <v>Bretonnières</v>
      </c>
      <c r="C211" s="175">
        <f>Données!AR211</f>
        <v>0</v>
      </c>
      <c r="D211" s="354">
        <f>Données!Z211</f>
        <v>264</v>
      </c>
      <c r="E211" s="128">
        <f>Données!X211</f>
        <v>70.5</v>
      </c>
      <c r="F211" s="31">
        <f>VPI!L211</f>
        <v>436181.22000000003</v>
      </c>
      <c r="G211" s="8">
        <f t="shared" si="18"/>
        <v>12373.935319148937</v>
      </c>
      <c r="H211" s="26">
        <f t="shared" si="19"/>
        <v>23565.478081266385</v>
      </c>
      <c r="I211" s="8">
        <f t="shared" si="20"/>
        <v>12373.935319148937</v>
      </c>
      <c r="J211" s="8">
        <f>VPI!R211</f>
        <v>6762.4759338061467</v>
      </c>
      <c r="K211" s="236">
        <f t="shared" si="21"/>
        <v>7980.8458739021353</v>
      </c>
      <c r="L211" s="342">
        <f t="shared" si="22"/>
        <v>20354.781193051072</v>
      </c>
      <c r="M211" s="129"/>
      <c r="N211" s="130"/>
      <c r="O211" s="127"/>
      <c r="P211" s="127"/>
      <c r="Q211" s="131"/>
    </row>
    <row r="212" spans="1:17" s="126" customFormat="1" x14ac:dyDescent="0.25">
      <c r="A212" s="175">
        <f>Données!A212</f>
        <v>5749</v>
      </c>
      <c r="B212" s="353" t="str">
        <f>Données!B212</f>
        <v>Chavornay</v>
      </c>
      <c r="C212" s="175">
        <f>Données!AR212</f>
        <v>0</v>
      </c>
      <c r="D212" s="354">
        <f>Données!Z212</f>
        <v>5415</v>
      </c>
      <c r="E212" s="128">
        <f>Données!X212</f>
        <v>70.5</v>
      </c>
      <c r="F212" s="31">
        <f>VPI!L212</f>
        <v>9257880.7899999991</v>
      </c>
      <c r="G212" s="8">
        <f t="shared" si="18"/>
        <v>262634.91602836875</v>
      </c>
      <c r="H212" s="26">
        <f t="shared" si="19"/>
        <v>483360.09018961166</v>
      </c>
      <c r="I212" s="8">
        <f t="shared" si="20"/>
        <v>262634.91602836875</v>
      </c>
      <c r="J212" s="8">
        <f>VPI!R212</f>
        <v>144692.07858156026</v>
      </c>
      <c r="K212" s="236">
        <f t="shared" si="21"/>
        <v>170760.70800654643</v>
      </c>
      <c r="L212" s="342">
        <f t="shared" si="22"/>
        <v>433395.62403491518</v>
      </c>
      <c r="M212" s="129"/>
      <c r="N212" s="130"/>
      <c r="O212" s="127"/>
      <c r="P212" s="127"/>
      <c r="Q212" s="131"/>
    </row>
    <row r="213" spans="1:17" s="126" customFormat="1" x14ac:dyDescent="0.25">
      <c r="A213" s="175">
        <f>Données!A213</f>
        <v>5750</v>
      </c>
      <c r="B213" s="353" t="str">
        <f>Données!B213</f>
        <v>Les Clées</v>
      </c>
      <c r="C213" s="175">
        <f>Données!AR213</f>
        <v>0</v>
      </c>
      <c r="D213" s="354">
        <f>Données!Z213</f>
        <v>187</v>
      </c>
      <c r="E213" s="128">
        <f>Données!X213</f>
        <v>80</v>
      </c>
      <c r="F213" s="31">
        <f>VPI!L213</f>
        <v>412879.11000000004</v>
      </c>
      <c r="G213" s="8">
        <f t="shared" si="18"/>
        <v>10321.977750000002</v>
      </c>
      <c r="H213" s="26">
        <f t="shared" si="19"/>
        <v>16692.213640897022</v>
      </c>
      <c r="I213" s="8">
        <f t="shared" si="20"/>
        <v>10321.977750000002</v>
      </c>
      <c r="J213" s="8">
        <f>VPI!R213</f>
        <v>5460.4465833333343</v>
      </c>
      <c r="K213" s="236">
        <f t="shared" si="21"/>
        <v>6444.2347759648364</v>
      </c>
      <c r="L213" s="342">
        <f t="shared" si="22"/>
        <v>16766.212525964838</v>
      </c>
      <c r="M213" s="129"/>
      <c r="N213" s="130"/>
      <c r="O213" s="127"/>
      <c r="P213" s="127"/>
      <c r="Q213" s="131"/>
    </row>
    <row r="214" spans="1:17" s="126" customFormat="1" x14ac:dyDescent="0.25">
      <c r="A214" s="175">
        <f>Données!A214</f>
        <v>5752</v>
      </c>
      <c r="B214" s="353" t="str">
        <f>Données!B214</f>
        <v>Croy</v>
      </c>
      <c r="C214" s="175">
        <f>Données!AR214</f>
        <v>0</v>
      </c>
      <c r="D214" s="354">
        <f>Données!Z214</f>
        <v>387</v>
      </c>
      <c r="E214" s="128">
        <f>Données!X214</f>
        <v>74</v>
      </c>
      <c r="F214" s="31">
        <f>VPI!L214</f>
        <v>692057.97</v>
      </c>
      <c r="G214" s="8">
        <f t="shared" si="18"/>
        <v>18704.269459459458</v>
      </c>
      <c r="H214" s="26">
        <f t="shared" si="19"/>
        <v>34544.848550947318</v>
      </c>
      <c r="I214" s="8">
        <f t="shared" si="20"/>
        <v>18704.269459459458</v>
      </c>
      <c r="J214" s="8">
        <f>VPI!R214</f>
        <v>10204.254034749034</v>
      </c>
      <c r="K214" s="236">
        <f t="shared" si="21"/>
        <v>12042.716233910454</v>
      </c>
      <c r="L214" s="342">
        <f t="shared" si="22"/>
        <v>30746.985693369912</v>
      </c>
      <c r="M214" s="129"/>
      <c r="N214" s="130"/>
      <c r="O214" s="127"/>
      <c r="P214" s="127"/>
      <c r="Q214" s="131"/>
    </row>
    <row r="215" spans="1:17" s="126" customFormat="1" x14ac:dyDescent="0.25">
      <c r="A215" s="175">
        <f>Données!A215</f>
        <v>5754</v>
      </c>
      <c r="B215" s="353" t="str">
        <f>Données!B215</f>
        <v>Juriens</v>
      </c>
      <c r="C215" s="175">
        <f>Données!AR215</f>
        <v>0</v>
      </c>
      <c r="D215" s="354">
        <f>Données!Z215</f>
        <v>349</v>
      </c>
      <c r="E215" s="128">
        <f>Données!X215</f>
        <v>79</v>
      </c>
      <c r="F215" s="31">
        <f>VPI!L215</f>
        <v>632032.01999999979</v>
      </c>
      <c r="G215" s="8">
        <f t="shared" si="18"/>
        <v>16000.810632911387</v>
      </c>
      <c r="H215" s="26">
        <f t="shared" si="19"/>
        <v>31152.847918037762</v>
      </c>
      <c r="I215" s="8">
        <f t="shared" si="20"/>
        <v>16000.810632911387</v>
      </c>
      <c r="J215" s="8">
        <f>VPI!R215</f>
        <v>8633.2483544303759</v>
      </c>
      <c r="K215" s="236">
        <f t="shared" si="21"/>
        <v>10188.668349027084</v>
      </c>
      <c r="L215" s="342">
        <f t="shared" si="22"/>
        <v>26189.478981938471</v>
      </c>
      <c r="M215" s="129"/>
      <c r="N215" s="130"/>
      <c r="O215" s="127"/>
      <c r="P215" s="127"/>
      <c r="Q215" s="131"/>
    </row>
    <row r="216" spans="1:17" s="126" customFormat="1" x14ac:dyDescent="0.25">
      <c r="A216" s="175">
        <f>Données!A216</f>
        <v>5755</v>
      </c>
      <c r="B216" s="353" t="str">
        <f>Données!B216</f>
        <v>Lignerolle</v>
      </c>
      <c r="C216" s="175">
        <f>Données!AR216</f>
        <v>0</v>
      </c>
      <c r="D216" s="354">
        <f>Données!Z216</f>
        <v>448</v>
      </c>
      <c r="E216" s="128">
        <f>Données!X216</f>
        <v>78.5</v>
      </c>
      <c r="F216" s="31">
        <f>VPI!L216</f>
        <v>790145.18</v>
      </c>
      <c r="G216" s="8">
        <f t="shared" si="18"/>
        <v>20131.087388535034</v>
      </c>
      <c r="H216" s="26">
        <f t="shared" si="19"/>
        <v>39989.902198512653</v>
      </c>
      <c r="I216" s="8">
        <f t="shared" si="20"/>
        <v>20131.087388535034</v>
      </c>
      <c r="J216" s="8">
        <f>VPI!R216</f>
        <v>10920.942602365787</v>
      </c>
      <c r="K216" s="236">
        <f t="shared" si="21"/>
        <v>12888.527894273395</v>
      </c>
      <c r="L216" s="342">
        <f t="shared" si="22"/>
        <v>33019.61528280843</v>
      </c>
      <c r="M216" s="129"/>
      <c r="N216" s="130"/>
      <c r="O216" s="127"/>
      <c r="P216" s="127"/>
      <c r="Q216" s="131"/>
    </row>
    <row r="217" spans="1:17" s="126" customFormat="1" x14ac:dyDescent="0.25">
      <c r="A217" s="175">
        <f>Données!A217</f>
        <v>5756</v>
      </c>
      <c r="B217" s="353" t="str">
        <f>Données!B217</f>
        <v>Montcherand</v>
      </c>
      <c r="C217" s="175">
        <f>Données!AR217</f>
        <v>1</v>
      </c>
      <c r="D217" s="354">
        <f>Données!Z217</f>
        <v>496</v>
      </c>
      <c r="E217" s="128">
        <f>Données!X217</f>
        <v>72</v>
      </c>
      <c r="F217" s="31">
        <f>VPI!L217</f>
        <v>1170393.23</v>
      </c>
      <c r="G217" s="8">
        <f t="shared" si="18"/>
        <v>32510.923055555555</v>
      </c>
      <c r="H217" s="26">
        <f t="shared" si="19"/>
        <v>44274.534576924729</v>
      </c>
      <c r="I217" s="8">
        <f t="shared" si="20"/>
        <v>0</v>
      </c>
      <c r="J217" s="8">
        <f>VPI!R217</f>
        <v>17503.400416666664</v>
      </c>
      <c r="K217" s="236">
        <f t="shared" si="21"/>
        <v>20656.922458870442</v>
      </c>
      <c r="L217" s="342">
        <f t="shared" si="22"/>
        <v>20656.922458870442</v>
      </c>
      <c r="M217" s="129"/>
      <c r="N217" s="130"/>
      <c r="O217" s="127"/>
      <c r="P217" s="127"/>
      <c r="Q217" s="131"/>
    </row>
    <row r="218" spans="1:17" s="126" customFormat="1" x14ac:dyDescent="0.25">
      <c r="A218" s="175">
        <f>Données!A218</f>
        <v>5757</v>
      </c>
      <c r="B218" s="353" t="str">
        <f>Données!B218</f>
        <v>Orbe</v>
      </c>
      <c r="C218" s="175">
        <f>Données!AR218</f>
        <v>1</v>
      </c>
      <c r="D218" s="354">
        <f>Données!Z218</f>
        <v>7622</v>
      </c>
      <c r="E218" s="128">
        <f>Données!X218</f>
        <v>75.5</v>
      </c>
      <c r="F218" s="31">
        <f>VPI!L218</f>
        <v>14862651.529999999</v>
      </c>
      <c r="G218" s="8">
        <f t="shared" si="18"/>
        <v>393712.62331125827</v>
      </c>
      <c r="H218" s="26">
        <f t="shared" si="19"/>
        <v>680363.91642201669</v>
      </c>
      <c r="I218" s="8">
        <f t="shared" si="20"/>
        <v>0</v>
      </c>
      <c r="J218" s="8">
        <f>VPI!R218</f>
        <v>217762.06927152316</v>
      </c>
      <c r="K218" s="236">
        <f t="shared" si="21"/>
        <v>256995.44501888737</v>
      </c>
      <c r="L218" s="342">
        <f t="shared" si="22"/>
        <v>256995.44501888737</v>
      </c>
      <c r="M218" s="129"/>
      <c r="N218" s="130"/>
      <c r="O218" s="127"/>
      <c r="P218" s="127"/>
      <c r="Q218" s="131"/>
    </row>
    <row r="219" spans="1:17" s="126" customFormat="1" x14ac:dyDescent="0.25">
      <c r="A219" s="175">
        <f>Données!A219</f>
        <v>5758</v>
      </c>
      <c r="B219" s="353" t="str">
        <f>Données!B219</f>
        <v>La Praz</v>
      </c>
      <c r="C219" s="175">
        <f>Données!AR219</f>
        <v>0</v>
      </c>
      <c r="D219" s="354">
        <f>Données!Z219</f>
        <v>183</v>
      </c>
      <c r="E219" s="128">
        <f>Données!X219</f>
        <v>83</v>
      </c>
      <c r="F219" s="31">
        <f>VPI!L219</f>
        <v>342207.68000000005</v>
      </c>
      <c r="G219" s="8">
        <f t="shared" si="18"/>
        <v>8245.9681927710863</v>
      </c>
      <c r="H219" s="26">
        <f t="shared" si="19"/>
        <v>16335.160942696019</v>
      </c>
      <c r="I219" s="8">
        <f t="shared" si="20"/>
        <v>8245.9681927710863</v>
      </c>
      <c r="J219" s="8">
        <f>VPI!R219</f>
        <v>4500.7334939759048</v>
      </c>
      <c r="K219" s="236">
        <f t="shared" si="21"/>
        <v>5311.613776747884</v>
      </c>
      <c r="L219" s="342">
        <f t="shared" si="22"/>
        <v>13557.581969518971</v>
      </c>
      <c r="M219" s="129"/>
      <c r="N219" s="130"/>
      <c r="O219" s="127"/>
      <c r="P219" s="127"/>
      <c r="Q219" s="131"/>
    </row>
    <row r="220" spans="1:17" s="126" customFormat="1" x14ac:dyDescent="0.25">
      <c r="A220" s="175">
        <f>Données!A220</f>
        <v>5759</v>
      </c>
      <c r="B220" s="353" t="str">
        <f>Données!B220</f>
        <v>Premier</v>
      </c>
      <c r="C220" s="175">
        <f>Données!AR220</f>
        <v>0</v>
      </c>
      <c r="D220" s="354">
        <f>Données!Z220</f>
        <v>236</v>
      </c>
      <c r="E220" s="128">
        <f>Données!X220</f>
        <v>79.5</v>
      </c>
      <c r="F220" s="31">
        <f>VPI!L220</f>
        <v>418125.22</v>
      </c>
      <c r="G220" s="8">
        <f t="shared" si="18"/>
        <v>10518.873459119497</v>
      </c>
      <c r="H220" s="26">
        <f t="shared" si="19"/>
        <v>21066.109193859345</v>
      </c>
      <c r="I220" s="8">
        <f t="shared" si="20"/>
        <v>10518.873459119497</v>
      </c>
      <c r="J220" s="8">
        <f>VPI!R220</f>
        <v>5667.0675471698114</v>
      </c>
      <c r="K220" s="236">
        <f t="shared" si="21"/>
        <v>6688.0818643444791</v>
      </c>
      <c r="L220" s="342">
        <f t="shared" si="22"/>
        <v>17206.955323463975</v>
      </c>
      <c r="M220" s="129"/>
      <c r="N220" s="130"/>
      <c r="O220" s="127"/>
      <c r="P220" s="127"/>
      <c r="Q220" s="131"/>
    </row>
    <row r="221" spans="1:17" s="126" customFormat="1" x14ac:dyDescent="0.25">
      <c r="A221" s="175">
        <f>Données!A221</f>
        <v>5760</v>
      </c>
      <c r="B221" s="353" t="str">
        <f>Données!B221</f>
        <v>Rances</v>
      </c>
      <c r="C221" s="175">
        <f>Données!AR221</f>
        <v>0</v>
      </c>
      <c r="D221" s="354">
        <f>Données!Z221</f>
        <v>522</v>
      </c>
      <c r="E221" s="128">
        <f>Données!X221</f>
        <v>76.5</v>
      </c>
      <c r="F221" s="31">
        <f>VPI!L221</f>
        <v>1162446.2799999998</v>
      </c>
      <c r="G221" s="8">
        <f t="shared" si="18"/>
        <v>30390.75241830065</v>
      </c>
      <c r="H221" s="26">
        <f t="shared" si="19"/>
        <v>46595.377115231262</v>
      </c>
      <c r="I221" s="8">
        <f t="shared" si="20"/>
        <v>30390.75241830065</v>
      </c>
      <c r="J221" s="8">
        <f>VPI!R221</f>
        <v>16308.735686274507</v>
      </c>
      <c r="K221" s="236">
        <f t="shared" si="21"/>
        <v>19247.019462161315</v>
      </c>
      <c r="L221" s="342">
        <f t="shared" si="22"/>
        <v>49637.771880461965</v>
      </c>
      <c r="M221" s="129"/>
      <c r="N221" s="130"/>
      <c r="O221" s="127"/>
      <c r="P221" s="127"/>
      <c r="Q221" s="131"/>
    </row>
    <row r="222" spans="1:17" s="126" customFormat="1" x14ac:dyDescent="0.25">
      <c r="A222" s="175">
        <f>Données!A222</f>
        <v>5761</v>
      </c>
      <c r="B222" s="353" t="str">
        <f>Données!B222</f>
        <v>Romainmôtier-Envy</v>
      </c>
      <c r="C222" s="175">
        <f>Données!AR222</f>
        <v>0</v>
      </c>
      <c r="D222" s="354">
        <f>Données!Z222</f>
        <v>567</v>
      </c>
      <c r="E222" s="128">
        <f>Données!X222</f>
        <v>81</v>
      </c>
      <c r="F222" s="31">
        <f>VPI!L222</f>
        <v>1075721.22</v>
      </c>
      <c r="G222" s="8">
        <f t="shared" si="18"/>
        <v>26561.017777777775</v>
      </c>
      <c r="H222" s="26">
        <f t="shared" si="19"/>
        <v>50612.219969992577</v>
      </c>
      <c r="I222" s="8">
        <f t="shared" si="20"/>
        <v>26561.017777777775</v>
      </c>
      <c r="J222" s="8">
        <f>VPI!R222</f>
        <v>14407.779147025813</v>
      </c>
      <c r="K222" s="236">
        <f t="shared" si="21"/>
        <v>17003.574708903412</v>
      </c>
      <c r="L222" s="342">
        <f t="shared" si="22"/>
        <v>43564.592486681184</v>
      </c>
      <c r="M222" s="129"/>
      <c r="N222" s="130"/>
      <c r="O222" s="127"/>
      <c r="P222" s="127"/>
      <c r="Q222" s="131"/>
    </row>
    <row r="223" spans="1:17" s="126" customFormat="1" x14ac:dyDescent="0.25">
      <c r="A223" s="175">
        <f>Données!A223</f>
        <v>5762</v>
      </c>
      <c r="B223" s="353" t="str">
        <f>Données!B223</f>
        <v>Sergey</v>
      </c>
      <c r="C223" s="175">
        <f>Données!AR223</f>
        <v>0</v>
      </c>
      <c r="D223" s="354">
        <f>Données!Z223</f>
        <v>140</v>
      </c>
      <c r="E223" s="128">
        <f>Données!X223</f>
        <v>78</v>
      </c>
      <c r="F223" s="31">
        <f>VPI!L223</f>
        <v>270911.08999999997</v>
      </c>
      <c r="G223" s="8">
        <f t="shared" si="18"/>
        <v>6946.4382051282046</v>
      </c>
      <c r="H223" s="26">
        <f t="shared" si="19"/>
        <v>12496.844437035204</v>
      </c>
      <c r="I223" s="8">
        <f t="shared" si="20"/>
        <v>6946.4382051282046</v>
      </c>
      <c r="J223" s="8">
        <f>VPI!R223</f>
        <v>3741.4505128205124</v>
      </c>
      <c r="K223" s="236">
        <f t="shared" si="21"/>
        <v>4415.5336270226762</v>
      </c>
      <c r="L223" s="342">
        <f t="shared" si="22"/>
        <v>11361.971832150881</v>
      </c>
      <c r="M223" s="129"/>
      <c r="N223" s="130"/>
      <c r="O223" s="127"/>
      <c r="P223" s="127"/>
      <c r="Q223" s="131"/>
    </row>
    <row r="224" spans="1:17" s="126" customFormat="1" x14ac:dyDescent="0.25">
      <c r="A224" s="175">
        <f>Données!A224</f>
        <v>5763</v>
      </c>
      <c r="B224" s="353" t="str">
        <f>Données!B224</f>
        <v>Valeyres-sous-Rances</v>
      </c>
      <c r="C224" s="175">
        <f>Données!AR224</f>
        <v>0</v>
      </c>
      <c r="D224" s="354">
        <f>Données!Z224</f>
        <v>606</v>
      </c>
      <c r="E224" s="128">
        <f>Données!X224</f>
        <v>71</v>
      </c>
      <c r="F224" s="31">
        <f>VPI!L224</f>
        <v>1483452.83</v>
      </c>
      <c r="G224" s="8">
        <f t="shared" si="18"/>
        <v>41787.403661971832</v>
      </c>
      <c r="H224" s="26">
        <f t="shared" si="19"/>
        <v>54093.483777452384</v>
      </c>
      <c r="I224" s="8">
        <f t="shared" si="20"/>
        <v>41787.403661971832</v>
      </c>
      <c r="J224" s="8">
        <f>VPI!R224</f>
        <v>22295.640563380282</v>
      </c>
      <c r="K224" s="236">
        <f t="shared" si="21"/>
        <v>26312.562549277591</v>
      </c>
      <c r="L224" s="342">
        <f t="shared" si="22"/>
        <v>68099.966211249426</v>
      </c>
      <c r="M224" s="129"/>
      <c r="N224" s="130"/>
      <c r="O224" s="127"/>
      <c r="P224" s="127"/>
      <c r="Q224" s="131"/>
    </row>
    <row r="225" spans="1:17" s="126" customFormat="1" x14ac:dyDescent="0.25">
      <c r="A225" s="175">
        <f>Données!A225</f>
        <v>5764</v>
      </c>
      <c r="B225" s="353" t="str">
        <f>Données!B225</f>
        <v>Vallorbe</v>
      </c>
      <c r="C225" s="175">
        <f>Données!AR225</f>
        <v>0</v>
      </c>
      <c r="D225" s="354">
        <f>Données!Z225</f>
        <v>3990</v>
      </c>
      <c r="E225" s="128">
        <f>Données!X225</f>
        <v>71.5</v>
      </c>
      <c r="F225" s="31">
        <f>VPI!L225</f>
        <v>5432799.2699999996</v>
      </c>
      <c r="G225" s="8">
        <f t="shared" si="18"/>
        <v>151966.41314685313</v>
      </c>
      <c r="H225" s="26">
        <f t="shared" si="19"/>
        <v>356160.06645550334</v>
      </c>
      <c r="I225" s="8">
        <f t="shared" si="20"/>
        <v>151966.41314685313</v>
      </c>
      <c r="J225" s="8">
        <f>VPI!R225</f>
        <v>83717.114965034954</v>
      </c>
      <c r="K225" s="236">
        <f t="shared" si="21"/>
        <v>98800.113757690255</v>
      </c>
      <c r="L225" s="342">
        <f t="shared" si="22"/>
        <v>250766.5269045434</v>
      </c>
      <c r="M225" s="129"/>
      <c r="N225" s="130"/>
      <c r="O225" s="127"/>
      <c r="P225" s="127"/>
      <c r="Q225" s="131"/>
    </row>
    <row r="226" spans="1:17" s="126" customFormat="1" x14ac:dyDescent="0.25">
      <c r="A226" s="175">
        <f>Données!A226</f>
        <v>5765</v>
      </c>
      <c r="B226" s="353" t="str">
        <f>Données!B226</f>
        <v>Vaulion</v>
      </c>
      <c r="C226" s="175">
        <f>Données!AR226</f>
        <v>0</v>
      </c>
      <c r="D226" s="354">
        <f>Données!Z226</f>
        <v>483</v>
      </c>
      <c r="E226" s="128">
        <f>Données!X226</f>
        <v>81</v>
      </c>
      <c r="F226" s="31">
        <f>VPI!L226</f>
        <v>712824.28999999992</v>
      </c>
      <c r="G226" s="8">
        <f t="shared" si="18"/>
        <v>17600.599753086419</v>
      </c>
      <c r="H226" s="26">
        <f t="shared" si="19"/>
        <v>43114.113307771455</v>
      </c>
      <c r="I226" s="8">
        <f t="shared" si="20"/>
        <v>17600.599753086419</v>
      </c>
      <c r="J226" s="8">
        <f>VPI!R226</f>
        <v>9628.0504938271606</v>
      </c>
      <c r="K226" s="236">
        <f t="shared" si="21"/>
        <v>11362.700260898941</v>
      </c>
      <c r="L226" s="342">
        <f t="shared" si="22"/>
        <v>28963.300013985361</v>
      </c>
      <c r="M226" s="129"/>
      <c r="N226" s="130"/>
      <c r="O226" s="127"/>
      <c r="P226" s="127"/>
      <c r="Q226" s="131"/>
    </row>
    <row r="227" spans="1:17" s="126" customFormat="1" x14ac:dyDescent="0.25">
      <c r="A227" s="175">
        <f>Données!A227</f>
        <v>5766</v>
      </c>
      <c r="B227" s="353" t="str">
        <f>Données!B227</f>
        <v>Vuiteboeuf</v>
      </c>
      <c r="C227" s="175">
        <f>Données!AR227</f>
        <v>0</v>
      </c>
      <c r="D227" s="354">
        <f>Données!Z227</f>
        <v>592</v>
      </c>
      <c r="E227" s="128">
        <f>Données!X227</f>
        <v>75</v>
      </c>
      <c r="F227" s="31">
        <f>VPI!L227</f>
        <v>1070650.8700000001</v>
      </c>
      <c r="G227" s="8">
        <f t="shared" si="18"/>
        <v>28550.689866666671</v>
      </c>
      <c r="H227" s="26">
        <f t="shared" si="19"/>
        <v>52843.799333748866</v>
      </c>
      <c r="I227" s="8">
        <f t="shared" si="20"/>
        <v>28550.689866666671</v>
      </c>
      <c r="J227" s="8">
        <f>VPI!R227</f>
        <v>15422.760361904762</v>
      </c>
      <c r="K227" s="236">
        <f t="shared" si="21"/>
        <v>18201.421284646516</v>
      </c>
      <c r="L227" s="342">
        <f t="shared" si="22"/>
        <v>46752.111151313191</v>
      </c>
      <c r="M227" s="129"/>
      <c r="N227" s="130"/>
      <c r="O227" s="127"/>
      <c r="P227" s="127"/>
      <c r="Q227" s="131"/>
    </row>
    <row r="228" spans="1:17" s="126" customFormat="1" x14ac:dyDescent="0.25">
      <c r="A228" s="175">
        <f>Données!A228</f>
        <v>5785</v>
      </c>
      <c r="B228" s="353" t="str">
        <f>Données!B228</f>
        <v>Corcelles-le-Jorat</v>
      </c>
      <c r="C228" s="175">
        <f>Données!AR228</f>
        <v>0</v>
      </c>
      <c r="D228" s="354">
        <f>Données!Z228</f>
        <v>484</v>
      </c>
      <c r="E228" s="128">
        <f>Données!X228</f>
        <v>75</v>
      </c>
      <c r="F228" s="31">
        <f>VPI!L228</f>
        <v>1079404.3199999998</v>
      </c>
      <c r="G228" s="8">
        <f t="shared" si="18"/>
        <v>28784.115199999997</v>
      </c>
      <c r="H228" s="26">
        <f t="shared" si="19"/>
        <v>43203.376482321706</v>
      </c>
      <c r="I228" s="8">
        <f t="shared" si="20"/>
        <v>28784.115199999997</v>
      </c>
      <c r="J228" s="8">
        <f>VPI!R228</f>
        <v>15461.968933333332</v>
      </c>
      <c r="K228" s="236">
        <f t="shared" si="21"/>
        <v>18247.693917417451</v>
      </c>
      <c r="L228" s="342">
        <f t="shared" si="22"/>
        <v>47031.809117417448</v>
      </c>
      <c r="M228" s="129"/>
      <c r="N228" s="130"/>
      <c r="O228" s="127"/>
      <c r="P228" s="127"/>
      <c r="Q228" s="131"/>
    </row>
    <row r="229" spans="1:17" s="126" customFormat="1" x14ac:dyDescent="0.25">
      <c r="A229" s="175">
        <f>Données!A229</f>
        <v>5790</v>
      </c>
      <c r="B229" s="353" t="str">
        <f>Données!B229</f>
        <v>Maracon</v>
      </c>
      <c r="C229" s="175">
        <f>Données!AR229</f>
        <v>0</v>
      </c>
      <c r="D229" s="354">
        <f>Données!Z229</f>
        <v>544</v>
      </c>
      <c r="E229" s="128">
        <f>Données!X229</f>
        <v>74.5</v>
      </c>
      <c r="F229" s="31">
        <f>VPI!L229</f>
        <v>1117080.6700000002</v>
      </c>
      <c r="G229" s="8">
        <f t="shared" si="18"/>
        <v>29988.74281879195</v>
      </c>
      <c r="H229" s="26">
        <f t="shared" si="19"/>
        <v>48559.166955336797</v>
      </c>
      <c r="I229" s="8">
        <f t="shared" si="20"/>
        <v>29988.74281879195</v>
      </c>
      <c r="J229" s="8">
        <f>VPI!R229</f>
        <v>16326.697583892621</v>
      </c>
      <c r="K229" s="236">
        <f t="shared" si="21"/>
        <v>19268.217487543756</v>
      </c>
      <c r="L229" s="342">
        <f t="shared" si="22"/>
        <v>49256.960306335706</v>
      </c>
      <c r="M229" s="129"/>
      <c r="N229" s="130"/>
      <c r="O229" s="127"/>
      <c r="P229" s="127"/>
      <c r="Q229" s="131"/>
    </row>
    <row r="230" spans="1:17" s="126" customFormat="1" x14ac:dyDescent="0.25">
      <c r="A230" s="175">
        <f>Données!A230</f>
        <v>5792</v>
      </c>
      <c r="B230" s="353" t="str">
        <f>Données!B230</f>
        <v>Montpreveyres</v>
      </c>
      <c r="C230" s="175">
        <f>Données!AR230</f>
        <v>0</v>
      </c>
      <c r="D230" s="354">
        <f>Données!Z230</f>
        <v>662</v>
      </c>
      <c r="E230" s="128">
        <f>Données!X230</f>
        <v>75.5</v>
      </c>
      <c r="F230" s="31">
        <f>VPI!L230</f>
        <v>1334689.3199999998</v>
      </c>
      <c r="G230" s="8">
        <f t="shared" si="18"/>
        <v>35356.008476821189</v>
      </c>
      <c r="H230" s="26">
        <f t="shared" si="19"/>
        <v>59092.22155226647</v>
      </c>
      <c r="I230" s="8">
        <f t="shared" si="20"/>
        <v>35356.008476821189</v>
      </c>
      <c r="J230" s="8">
        <f>VPI!R230</f>
        <v>19363.161854304632</v>
      </c>
      <c r="K230" s="236">
        <f t="shared" si="21"/>
        <v>22851.75014347877</v>
      </c>
      <c r="L230" s="342">
        <f t="shared" si="22"/>
        <v>58207.758620299959</v>
      </c>
      <c r="M230" s="129"/>
      <c r="N230" s="130"/>
      <c r="O230" s="127"/>
      <c r="P230" s="127"/>
      <c r="Q230" s="131"/>
    </row>
    <row r="231" spans="1:17" s="126" customFormat="1" x14ac:dyDescent="0.25">
      <c r="A231" s="175">
        <f>Données!A231</f>
        <v>5798</v>
      </c>
      <c r="B231" s="353" t="str">
        <f>Données!B231</f>
        <v>Ropraz</v>
      </c>
      <c r="C231" s="175">
        <f>Données!AR231</f>
        <v>0</v>
      </c>
      <c r="D231" s="354">
        <f>Données!Z231</f>
        <v>529</v>
      </c>
      <c r="E231" s="128">
        <f>Données!X231</f>
        <v>77.5</v>
      </c>
      <c r="F231" s="31">
        <f>VPI!L231</f>
        <v>1150421.1599999999</v>
      </c>
      <c r="G231" s="8">
        <f t="shared" si="18"/>
        <v>29688.287999999997</v>
      </c>
      <c r="H231" s="26">
        <f t="shared" si="19"/>
        <v>47220.219337083021</v>
      </c>
      <c r="I231" s="8">
        <f t="shared" si="20"/>
        <v>29688.287999999997</v>
      </c>
      <c r="J231" s="8">
        <f>VPI!R231</f>
        <v>16208.351096774193</v>
      </c>
      <c r="K231" s="236">
        <f t="shared" si="21"/>
        <v>19128.548957458752</v>
      </c>
      <c r="L231" s="342">
        <f t="shared" si="22"/>
        <v>48816.836957458749</v>
      </c>
      <c r="M231" s="129"/>
      <c r="N231" s="130"/>
      <c r="O231" s="127"/>
      <c r="P231" s="127"/>
      <c r="Q231" s="131"/>
    </row>
    <row r="232" spans="1:17" s="126" customFormat="1" x14ac:dyDescent="0.25">
      <c r="A232" s="175">
        <f>Données!A232</f>
        <v>5799</v>
      </c>
      <c r="B232" s="353" t="str">
        <f>Données!B232</f>
        <v>Servion</v>
      </c>
      <c r="C232" s="175">
        <f>Données!AR232</f>
        <v>0</v>
      </c>
      <c r="D232" s="354">
        <f>Données!Z232</f>
        <v>2138</v>
      </c>
      <c r="E232" s="128">
        <f>Données!X232</f>
        <v>69</v>
      </c>
      <c r="F232" s="31">
        <f>VPI!L232</f>
        <v>4598118.1000000006</v>
      </c>
      <c r="G232" s="8">
        <f t="shared" si="18"/>
        <v>133278.78550724639</v>
      </c>
      <c r="H232" s="26">
        <f t="shared" si="19"/>
        <v>190844.66718843763</v>
      </c>
      <c r="I232" s="8">
        <f t="shared" si="20"/>
        <v>133278.78550724639</v>
      </c>
      <c r="J232" s="8">
        <f>VPI!R232</f>
        <v>73170.718115942043</v>
      </c>
      <c r="K232" s="236">
        <f t="shared" si="21"/>
        <v>86353.612121085622</v>
      </c>
      <c r="L232" s="342">
        <f t="shared" si="22"/>
        <v>219632.39762833202</v>
      </c>
      <c r="M232" s="129"/>
      <c r="N232" s="130"/>
      <c r="O232" s="127"/>
      <c r="P232" s="127"/>
      <c r="Q232" s="131"/>
    </row>
    <row r="233" spans="1:17" s="126" customFormat="1" x14ac:dyDescent="0.25">
      <c r="A233" s="175">
        <f>Données!A233</f>
        <v>5803</v>
      </c>
      <c r="B233" s="353" t="str">
        <f>Données!B233</f>
        <v>Vulliens</v>
      </c>
      <c r="C233" s="175">
        <f>Données!AR233</f>
        <v>0</v>
      </c>
      <c r="D233" s="354">
        <f>Données!Z233</f>
        <v>632</v>
      </c>
      <c r="E233" s="128">
        <f>Données!X233</f>
        <v>74</v>
      </c>
      <c r="F233" s="31">
        <f>VPI!L233</f>
        <v>1115692.0299999998</v>
      </c>
      <c r="G233" s="8">
        <f t="shared" si="18"/>
        <v>30153.838648648642</v>
      </c>
      <c r="H233" s="26">
        <f t="shared" si="19"/>
        <v>56414.326315758924</v>
      </c>
      <c r="I233" s="8">
        <f t="shared" si="20"/>
        <v>30153.838648648642</v>
      </c>
      <c r="J233" s="8">
        <f>VPI!R233</f>
        <v>16577.57405405405</v>
      </c>
      <c r="K233" s="236">
        <f t="shared" si="21"/>
        <v>19564.293430932743</v>
      </c>
      <c r="L233" s="342">
        <f t="shared" si="22"/>
        <v>49718.132079581381</v>
      </c>
      <c r="M233" s="129"/>
      <c r="N233" s="130"/>
      <c r="O233" s="127"/>
      <c r="P233" s="127"/>
      <c r="Q233" s="131"/>
    </row>
    <row r="234" spans="1:17" s="126" customFormat="1" x14ac:dyDescent="0.25">
      <c r="A234" s="175">
        <f>Données!A234</f>
        <v>5804</v>
      </c>
      <c r="B234" s="353" t="str">
        <f>Données!B234</f>
        <v>Jorat-Menthue</v>
      </c>
      <c r="C234" s="175">
        <f>Données!AR234</f>
        <v>0</v>
      </c>
      <c r="D234" s="354">
        <f>Données!Z234</f>
        <v>1565</v>
      </c>
      <c r="E234" s="128">
        <f>Données!X234</f>
        <v>70.5</v>
      </c>
      <c r="F234" s="31">
        <f>VPI!L234</f>
        <v>2895369.24</v>
      </c>
      <c r="G234" s="8">
        <f t="shared" si="18"/>
        <v>82138.134468085118</v>
      </c>
      <c r="H234" s="26">
        <f t="shared" si="19"/>
        <v>139696.86817114355</v>
      </c>
      <c r="I234" s="8">
        <f t="shared" si="20"/>
        <v>82138.134468085118</v>
      </c>
      <c r="J234" s="8">
        <f>VPI!R234</f>
        <v>45125.345957446807</v>
      </c>
      <c r="K234" s="236">
        <f t="shared" si="21"/>
        <v>53255.410387863347</v>
      </c>
      <c r="L234" s="342">
        <f t="shared" si="22"/>
        <v>135393.54485594848</v>
      </c>
      <c r="M234" s="129"/>
      <c r="N234" s="130"/>
      <c r="O234" s="127"/>
      <c r="P234" s="127"/>
      <c r="Q234" s="131"/>
    </row>
    <row r="235" spans="1:17" s="126" customFormat="1" x14ac:dyDescent="0.25">
      <c r="A235" s="175">
        <f>Données!A235</f>
        <v>5805</v>
      </c>
      <c r="B235" s="353" t="str">
        <f>Données!B235</f>
        <v>Oron</v>
      </c>
      <c r="C235" s="175">
        <f>Données!AR235</f>
        <v>0</v>
      </c>
      <c r="D235" s="354">
        <f>Données!Z235</f>
        <v>6119</v>
      </c>
      <c r="E235" s="128">
        <f>Données!X235</f>
        <v>69</v>
      </c>
      <c r="F235" s="31">
        <f>VPI!L235</f>
        <v>10909003.210000001</v>
      </c>
      <c r="G235" s="8">
        <f t="shared" si="18"/>
        <v>316202.99159420293</v>
      </c>
      <c r="H235" s="26">
        <f t="shared" si="19"/>
        <v>546201.36507298867</v>
      </c>
      <c r="I235" s="8">
        <f t="shared" si="20"/>
        <v>316202.99159420293</v>
      </c>
      <c r="J235" s="8">
        <f>VPI!R235</f>
        <v>174509.83123847167</v>
      </c>
      <c r="K235" s="236">
        <f t="shared" si="21"/>
        <v>205950.61338887995</v>
      </c>
      <c r="L235" s="342">
        <f t="shared" si="22"/>
        <v>522153.60498308286</v>
      </c>
      <c r="M235" s="129"/>
      <c r="N235" s="130"/>
      <c r="O235" s="127"/>
      <c r="P235" s="127"/>
      <c r="Q235" s="131"/>
    </row>
    <row r="236" spans="1:17" s="126" customFormat="1" x14ac:dyDescent="0.25">
      <c r="A236" s="175">
        <f>Données!A236</f>
        <v>5806</v>
      </c>
      <c r="B236" s="353" t="str">
        <f>Données!B236</f>
        <v>Jorat-Mézières</v>
      </c>
      <c r="C236" s="175">
        <f>Données!AR236</f>
        <v>0</v>
      </c>
      <c r="D236" s="354">
        <f>Données!Z236</f>
        <v>3110</v>
      </c>
      <c r="E236" s="128">
        <f>Données!X236</f>
        <v>73</v>
      </c>
      <c r="F236" s="31">
        <f>VPI!L236</f>
        <v>6913129.3299999991</v>
      </c>
      <c r="G236" s="8">
        <f t="shared" si="18"/>
        <v>189400.80356164381</v>
      </c>
      <c r="H236" s="26">
        <f t="shared" si="19"/>
        <v>277608.47285128204</v>
      </c>
      <c r="I236" s="8">
        <f t="shared" si="20"/>
        <v>189400.80356164381</v>
      </c>
      <c r="J236" s="8">
        <f>VPI!R236</f>
        <v>102977.86342465752</v>
      </c>
      <c r="K236" s="236">
        <f t="shared" si="21"/>
        <v>121530.99906906002</v>
      </c>
      <c r="L236" s="342">
        <f t="shared" si="22"/>
        <v>310931.80263070384</v>
      </c>
      <c r="M236" s="129"/>
      <c r="N236" s="130"/>
      <c r="O236" s="127"/>
      <c r="P236" s="127"/>
      <c r="Q236" s="131"/>
    </row>
    <row r="237" spans="1:17" s="126" customFormat="1" x14ac:dyDescent="0.25">
      <c r="A237" s="175">
        <f>Données!A237</f>
        <v>5812</v>
      </c>
      <c r="B237" s="353" t="str">
        <f>Données!B237</f>
        <v>Champtauroz</v>
      </c>
      <c r="C237" s="175">
        <f>Données!AR237</f>
        <v>0</v>
      </c>
      <c r="D237" s="354">
        <f>Données!Z237</f>
        <v>169</v>
      </c>
      <c r="E237" s="128">
        <f>Données!X237</f>
        <v>77</v>
      </c>
      <c r="F237" s="31">
        <f>VPI!L237</f>
        <v>258191.06999999998</v>
      </c>
      <c r="G237" s="8">
        <f t="shared" si="18"/>
        <v>6706.261558441558</v>
      </c>
      <c r="H237" s="26">
        <f t="shared" si="19"/>
        <v>15085.476498992497</v>
      </c>
      <c r="I237" s="8">
        <f t="shared" si="20"/>
        <v>6706.261558441558</v>
      </c>
      <c r="J237" s="8">
        <f>VPI!R237</f>
        <v>3602.9164935064928</v>
      </c>
      <c r="K237" s="236">
        <f t="shared" si="21"/>
        <v>4252.0404527386399</v>
      </c>
      <c r="L237" s="342">
        <f t="shared" si="22"/>
        <v>10958.302011180198</v>
      </c>
      <c r="M237" s="129"/>
      <c r="N237" s="130"/>
      <c r="O237" s="127"/>
      <c r="P237" s="127"/>
      <c r="Q237" s="131"/>
    </row>
    <row r="238" spans="1:17" s="126" customFormat="1" x14ac:dyDescent="0.25">
      <c r="A238" s="175">
        <f>Données!A238</f>
        <v>5813</v>
      </c>
      <c r="B238" s="353" t="str">
        <f>Données!B238</f>
        <v>Chevroux</v>
      </c>
      <c r="C238" s="175">
        <f>Données!AR238</f>
        <v>0</v>
      </c>
      <c r="D238" s="354">
        <f>Données!Z238</f>
        <v>522</v>
      </c>
      <c r="E238" s="128">
        <f>Données!X238</f>
        <v>68.5</v>
      </c>
      <c r="F238" s="31">
        <f>VPI!L238</f>
        <v>1099126.1600000001</v>
      </c>
      <c r="G238" s="8">
        <f t="shared" si="18"/>
        <v>32091.274744525552</v>
      </c>
      <c r="H238" s="26">
        <f t="shared" si="19"/>
        <v>46595.377115231262</v>
      </c>
      <c r="I238" s="8">
        <f t="shared" si="20"/>
        <v>32091.274744525552</v>
      </c>
      <c r="J238" s="8">
        <f>VPI!R238</f>
        <v>17498.80282238443</v>
      </c>
      <c r="K238" s="236">
        <f t="shared" si="21"/>
        <v>20651.496533260295</v>
      </c>
      <c r="L238" s="342">
        <f t="shared" si="22"/>
        <v>52742.771277785847</v>
      </c>
      <c r="M238" s="129"/>
      <c r="N238" s="130"/>
      <c r="O238" s="127"/>
      <c r="P238" s="127"/>
      <c r="Q238" s="131"/>
    </row>
    <row r="239" spans="1:17" s="126" customFormat="1" x14ac:dyDescent="0.25">
      <c r="A239" s="175">
        <f>Données!A239</f>
        <v>5816</v>
      </c>
      <c r="B239" s="353" t="str">
        <f>Données!B239</f>
        <v>Corcelles-près-Payerne</v>
      </c>
      <c r="C239" s="175">
        <f>Données!AR239</f>
        <v>0</v>
      </c>
      <c r="D239" s="354">
        <f>Données!Z239</f>
        <v>2852</v>
      </c>
      <c r="E239" s="128">
        <f>Données!X239</f>
        <v>68.5</v>
      </c>
      <c r="F239" s="31">
        <f>VPI!L239</f>
        <v>4050541.6599999997</v>
      </c>
      <c r="G239" s="8">
        <f t="shared" si="18"/>
        <v>118263.99007299269</v>
      </c>
      <c r="H239" s="26">
        <f t="shared" si="19"/>
        <v>254578.57381731717</v>
      </c>
      <c r="I239" s="8">
        <f t="shared" si="20"/>
        <v>118263.99007299269</v>
      </c>
      <c r="J239" s="8">
        <f>VPI!R239</f>
        <v>65701.749572471308</v>
      </c>
      <c r="K239" s="236">
        <f t="shared" si="21"/>
        <v>77538.987512297768</v>
      </c>
      <c r="L239" s="342">
        <f t="shared" si="22"/>
        <v>195802.97758529044</v>
      </c>
      <c r="M239" s="129"/>
      <c r="N239" s="130"/>
      <c r="O239" s="127"/>
      <c r="P239" s="127"/>
      <c r="Q239" s="131"/>
    </row>
    <row r="240" spans="1:17" s="126" customFormat="1" x14ac:dyDescent="0.25">
      <c r="A240" s="175">
        <f>Données!A240</f>
        <v>5817</v>
      </c>
      <c r="B240" s="353" t="str">
        <f>Données!B240</f>
        <v>Grandcour</v>
      </c>
      <c r="C240" s="175">
        <f>Données!AR240</f>
        <v>0</v>
      </c>
      <c r="D240" s="354">
        <f>Données!Z240</f>
        <v>1001</v>
      </c>
      <c r="E240" s="128">
        <f>Données!X240</f>
        <v>73.5</v>
      </c>
      <c r="F240" s="31">
        <f>VPI!L240</f>
        <v>1758816.1099999999</v>
      </c>
      <c r="G240" s="8">
        <f t="shared" si="18"/>
        <v>47858.941768707482</v>
      </c>
      <c r="H240" s="26">
        <f t="shared" si="19"/>
        <v>89352.437724801712</v>
      </c>
      <c r="I240" s="8">
        <f t="shared" si="20"/>
        <v>47858.941768707482</v>
      </c>
      <c r="J240" s="8">
        <f>VPI!R240</f>
        <v>25916.897414965984</v>
      </c>
      <c r="K240" s="236">
        <f t="shared" si="21"/>
        <v>30586.247673662398</v>
      </c>
      <c r="L240" s="342">
        <f t="shared" si="22"/>
        <v>78445.189442369883</v>
      </c>
      <c r="M240" s="129"/>
      <c r="N240" s="130"/>
      <c r="O240" s="127"/>
      <c r="P240" s="127"/>
      <c r="Q240" s="131"/>
    </row>
    <row r="241" spans="1:17" s="126" customFormat="1" x14ac:dyDescent="0.25">
      <c r="A241" s="175">
        <f>Données!A241</f>
        <v>5819</v>
      </c>
      <c r="B241" s="353" t="str">
        <f>Données!B241</f>
        <v>Henniez</v>
      </c>
      <c r="C241" s="175">
        <f>Données!AR241</f>
        <v>0</v>
      </c>
      <c r="D241" s="354">
        <f>Données!Z241</f>
        <v>414</v>
      </c>
      <c r="E241" s="128">
        <f>Données!X241</f>
        <v>69</v>
      </c>
      <c r="F241" s="31">
        <f>VPI!L241</f>
        <v>615054.25</v>
      </c>
      <c r="G241" s="8">
        <f t="shared" si="18"/>
        <v>17827.659420289856</v>
      </c>
      <c r="H241" s="26">
        <f t="shared" si="19"/>
        <v>36954.954263804109</v>
      </c>
      <c r="I241" s="8">
        <f t="shared" si="20"/>
        <v>17827.659420289856</v>
      </c>
      <c r="J241" s="8">
        <f>VPI!R241</f>
        <v>10275.75579710145</v>
      </c>
      <c r="K241" s="236">
        <f t="shared" si="21"/>
        <v>12127.100200764122</v>
      </c>
      <c r="L241" s="342">
        <f t="shared" si="22"/>
        <v>29954.759621053978</v>
      </c>
      <c r="M241" s="129"/>
      <c r="N241" s="130"/>
      <c r="O241" s="127"/>
      <c r="P241" s="127"/>
      <c r="Q241" s="131"/>
    </row>
    <row r="242" spans="1:17" s="126" customFormat="1" x14ac:dyDescent="0.25">
      <c r="A242" s="175">
        <f>Données!A242</f>
        <v>5821</v>
      </c>
      <c r="B242" s="353" t="str">
        <f>Données!B242</f>
        <v>Missy</v>
      </c>
      <c r="C242" s="175">
        <f>Données!AR242</f>
        <v>0</v>
      </c>
      <c r="D242" s="354">
        <f>Données!Z242</f>
        <v>387</v>
      </c>
      <c r="E242" s="128">
        <f>Données!X242</f>
        <v>72</v>
      </c>
      <c r="F242" s="31">
        <f>VPI!L242</f>
        <v>545859.28000000014</v>
      </c>
      <c r="G242" s="8">
        <f t="shared" si="18"/>
        <v>15162.757777777782</v>
      </c>
      <c r="H242" s="26">
        <f t="shared" si="19"/>
        <v>34544.848550947318</v>
      </c>
      <c r="I242" s="8">
        <f t="shared" si="20"/>
        <v>15162.757777777782</v>
      </c>
      <c r="J242" s="8">
        <f>VPI!R242</f>
        <v>8375.965000000002</v>
      </c>
      <c r="K242" s="236">
        <f t="shared" si="21"/>
        <v>9885.0312170463931</v>
      </c>
      <c r="L242" s="342">
        <f t="shared" si="22"/>
        <v>25047.788994824175</v>
      </c>
      <c r="M242" s="129"/>
      <c r="N242" s="130"/>
      <c r="O242" s="127"/>
      <c r="P242" s="127"/>
      <c r="Q242" s="131"/>
    </row>
    <row r="243" spans="1:17" s="126" customFormat="1" x14ac:dyDescent="0.25">
      <c r="A243" s="175">
        <f>Données!A243</f>
        <v>5822</v>
      </c>
      <c r="B243" s="353" t="str">
        <f>Données!B243</f>
        <v>Payerne</v>
      </c>
      <c r="C243" s="175">
        <f>Données!AR243</f>
        <v>0</v>
      </c>
      <c r="D243" s="354">
        <f>Données!Z243</f>
        <v>10382</v>
      </c>
      <c r="E243" s="128">
        <f>Données!X243</f>
        <v>73</v>
      </c>
      <c r="F243" s="31">
        <f>VPI!L243</f>
        <v>14809433.630000001</v>
      </c>
      <c r="G243" s="8">
        <f t="shared" si="18"/>
        <v>405737.90767123288</v>
      </c>
      <c r="H243" s="213">
        <f t="shared" si="19"/>
        <v>926730.27818071074</v>
      </c>
      <c r="I243" s="8">
        <f t="shared" si="20"/>
        <v>405737.90767123288</v>
      </c>
      <c r="J243" s="8">
        <f>VPI!R243</f>
        <v>226909.24698630138</v>
      </c>
      <c r="K243" s="236">
        <f t="shared" si="21"/>
        <v>267790.63545467047</v>
      </c>
      <c r="L243" s="342">
        <f t="shared" si="22"/>
        <v>673528.54312590335</v>
      </c>
      <c r="M243" s="129"/>
      <c r="N243" s="130"/>
      <c r="O243" s="127"/>
      <c r="P243" s="127"/>
      <c r="Q243" s="131"/>
    </row>
    <row r="244" spans="1:17" s="126" customFormat="1" x14ac:dyDescent="0.25">
      <c r="A244" s="175">
        <f>Données!A244</f>
        <v>5827</v>
      </c>
      <c r="B244" s="353" t="str">
        <f>Données!B244</f>
        <v>Trey</v>
      </c>
      <c r="C244" s="175">
        <f>Données!AR244</f>
        <v>0</v>
      </c>
      <c r="D244" s="354">
        <f>Données!Z244</f>
        <v>302</v>
      </c>
      <c r="E244" s="128">
        <f>Données!X244</f>
        <v>78</v>
      </c>
      <c r="F244" s="31">
        <f>VPI!L244</f>
        <v>552003.3600000001</v>
      </c>
      <c r="G244" s="8">
        <f t="shared" si="18"/>
        <v>14153.93230769231</v>
      </c>
      <c r="H244" s="26">
        <f t="shared" si="19"/>
        <v>26957.478714175941</v>
      </c>
      <c r="I244" s="8">
        <f t="shared" si="20"/>
        <v>14153.93230769231</v>
      </c>
      <c r="J244" s="8">
        <f>VPI!R244</f>
        <v>7715.2558974358981</v>
      </c>
      <c r="K244" s="236">
        <f t="shared" si="21"/>
        <v>9105.2846321176276</v>
      </c>
      <c r="L244" s="342">
        <f t="shared" si="22"/>
        <v>23259.216939809936</v>
      </c>
      <c r="M244" s="129"/>
      <c r="N244" s="130"/>
      <c r="O244" s="127"/>
      <c r="P244" s="127"/>
      <c r="Q244" s="131"/>
    </row>
    <row r="245" spans="1:17" s="126" customFormat="1" x14ac:dyDescent="0.25">
      <c r="A245" s="175">
        <f>Données!A245</f>
        <v>5828</v>
      </c>
      <c r="B245" s="353" t="str">
        <f>Données!B245</f>
        <v>Treytorrens (Payerne)</v>
      </c>
      <c r="C245" s="175">
        <f>Données!AR245</f>
        <v>0</v>
      </c>
      <c r="D245" s="354">
        <f>Données!Z245</f>
        <v>105</v>
      </c>
      <c r="E245" s="128">
        <f>Données!X245</f>
        <v>81.5</v>
      </c>
      <c r="F245" s="31">
        <f>VPI!L245</f>
        <v>215666.07</v>
      </c>
      <c r="G245" s="8">
        <f t="shared" si="18"/>
        <v>5292.4188957055212</v>
      </c>
      <c r="H245" s="26">
        <f t="shared" si="19"/>
        <v>9372.6333277764043</v>
      </c>
      <c r="I245" s="8">
        <f t="shared" si="20"/>
        <v>5292.4188957055212</v>
      </c>
      <c r="J245" s="8">
        <f>VPI!R245</f>
        <v>2864.8065848670758</v>
      </c>
      <c r="K245" s="236">
        <f t="shared" si="21"/>
        <v>3380.9480486381099</v>
      </c>
      <c r="L245" s="342">
        <f t="shared" si="22"/>
        <v>8673.3669443436302</v>
      </c>
      <c r="M245" s="129"/>
      <c r="N245" s="130"/>
      <c r="O245" s="127"/>
      <c r="P245" s="127"/>
      <c r="Q245" s="131"/>
    </row>
    <row r="246" spans="1:17" s="126" customFormat="1" x14ac:dyDescent="0.25">
      <c r="A246" s="175">
        <f>Données!A246</f>
        <v>5830</v>
      </c>
      <c r="B246" s="353" t="str">
        <f>Données!B246</f>
        <v>Villarzel</v>
      </c>
      <c r="C246" s="175">
        <f>Données!AR246</f>
        <v>0</v>
      </c>
      <c r="D246" s="354">
        <f>Données!Z246</f>
        <v>487</v>
      </c>
      <c r="E246" s="128">
        <f>Données!X246</f>
        <v>75</v>
      </c>
      <c r="F246" s="31">
        <f>VPI!L246</f>
        <v>872652.85</v>
      </c>
      <c r="G246" s="8">
        <f t="shared" si="18"/>
        <v>23270.742666666665</v>
      </c>
      <c r="H246" s="26">
        <f t="shared" si="19"/>
        <v>43471.16600597246</v>
      </c>
      <c r="I246" s="8">
        <f t="shared" si="20"/>
        <v>23270.742666666665</v>
      </c>
      <c r="J246" s="8">
        <f>VPI!R246</f>
        <v>12474.180666666667</v>
      </c>
      <c r="K246" s="236">
        <f t="shared" si="21"/>
        <v>14721.607038362334</v>
      </c>
      <c r="L246" s="342">
        <f t="shared" si="22"/>
        <v>37992.349705029003</v>
      </c>
      <c r="M246" s="129"/>
      <c r="N246" s="130"/>
      <c r="O246" s="127"/>
      <c r="P246" s="127"/>
      <c r="Q246" s="131"/>
    </row>
    <row r="247" spans="1:17" s="126" customFormat="1" x14ac:dyDescent="0.25">
      <c r="A247" s="175">
        <f>Données!A247</f>
        <v>5831</v>
      </c>
      <c r="B247" s="353" t="str">
        <f>Données!B247</f>
        <v>Valbroye</v>
      </c>
      <c r="C247" s="175">
        <f>Données!AR247</f>
        <v>0</v>
      </c>
      <c r="D247" s="354">
        <f>Données!Z247</f>
        <v>3362</v>
      </c>
      <c r="E247" s="128">
        <f>Données!X247</f>
        <v>70.5</v>
      </c>
      <c r="F247" s="31">
        <f>VPI!L247</f>
        <v>5620237.2800000003</v>
      </c>
      <c r="G247" s="8">
        <f t="shared" si="18"/>
        <v>159439.35546099293</v>
      </c>
      <c r="H247" s="26">
        <f t="shared" si="19"/>
        <v>300102.7928379454</v>
      </c>
      <c r="I247" s="8">
        <f t="shared" si="20"/>
        <v>159439.35546099293</v>
      </c>
      <c r="J247" s="8">
        <f>VPI!R247</f>
        <v>87477.16732860521</v>
      </c>
      <c r="K247" s="236">
        <f t="shared" si="21"/>
        <v>103237.6006611839</v>
      </c>
      <c r="L247" s="342">
        <f t="shared" si="22"/>
        <v>262676.95612217684</v>
      </c>
      <c r="M247" s="129"/>
      <c r="N247" s="130"/>
      <c r="O247" s="127"/>
      <c r="P247" s="127"/>
      <c r="Q247" s="131"/>
    </row>
    <row r="248" spans="1:17" s="126" customFormat="1" x14ac:dyDescent="0.25">
      <c r="A248" s="175">
        <f>Données!A248</f>
        <v>5841</v>
      </c>
      <c r="B248" s="353" t="str">
        <f>Données!B248</f>
        <v>Château-d'Oex</v>
      </c>
      <c r="C248" s="175">
        <f>Données!AR248</f>
        <v>0</v>
      </c>
      <c r="D248" s="354">
        <f>Données!Z248</f>
        <v>3569</v>
      </c>
      <c r="E248" s="128">
        <f>Données!X248</f>
        <v>81.5</v>
      </c>
      <c r="F248" s="31">
        <f>VPI!L248</f>
        <v>9030201.8100000005</v>
      </c>
      <c r="G248" s="8">
        <f t="shared" si="18"/>
        <v>221600.04441717794</v>
      </c>
      <c r="H248" s="26">
        <f t="shared" si="19"/>
        <v>318580.26996984746</v>
      </c>
      <c r="I248" s="8">
        <f t="shared" si="20"/>
        <v>221600.04441717794</v>
      </c>
      <c r="J248" s="8">
        <f>VPI!R248</f>
        <v>123828.98781186093</v>
      </c>
      <c r="K248" s="236">
        <f t="shared" si="21"/>
        <v>146138.7923774159</v>
      </c>
      <c r="L248" s="342">
        <f t="shared" si="22"/>
        <v>367738.83679459384</v>
      </c>
      <c r="M248" s="129"/>
      <c r="N248" s="130"/>
      <c r="O248" s="127"/>
      <c r="P248" s="127"/>
      <c r="Q248" s="131"/>
    </row>
    <row r="249" spans="1:17" s="126" customFormat="1" x14ac:dyDescent="0.25">
      <c r="A249" s="175">
        <f>Données!A249</f>
        <v>5842</v>
      </c>
      <c r="B249" s="353" t="str">
        <f>Données!B249</f>
        <v>Rossinière</v>
      </c>
      <c r="C249" s="175">
        <f>Données!AR249</f>
        <v>0</v>
      </c>
      <c r="D249" s="354">
        <f>Données!Z249</f>
        <v>534</v>
      </c>
      <c r="E249" s="128">
        <f>Données!X249</f>
        <v>81</v>
      </c>
      <c r="F249" s="31">
        <f>VPI!L249</f>
        <v>1236470.4600000002</v>
      </c>
      <c r="G249" s="8">
        <f t="shared" si="18"/>
        <v>30530.134814814821</v>
      </c>
      <c r="H249" s="26">
        <f t="shared" si="19"/>
        <v>47666.535209834285</v>
      </c>
      <c r="I249" s="8">
        <f t="shared" si="20"/>
        <v>30530.134814814821</v>
      </c>
      <c r="J249" s="8">
        <f>VPI!R249</f>
        <v>16474.219053497945</v>
      </c>
      <c r="K249" s="236">
        <f t="shared" si="21"/>
        <v>19442.317347348948</v>
      </c>
      <c r="L249" s="342">
        <f t="shared" si="22"/>
        <v>49972.452162163769</v>
      </c>
      <c r="M249" s="129"/>
      <c r="N249" s="130"/>
      <c r="O249" s="127"/>
      <c r="P249" s="127"/>
      <c r="Q249" s="131"/>
    </row>
    <row r="250" spans="1:17" s="126" customFormat="1" x14ac:dyDescent="0.25">
      <c r="A250" s="175">
        <f>Données!A250</f>
        <v>5843</v>
      </c>
      <c r="B250" s="353" t="str">
        <f>Données!B250</f>
        <v>Rougemont</v>
      </c>
      <c r="C250" s="175">
        <f>Données!AR250</f>
        <v>0</v>
      </c>
      <c r="D250" s="354">
        <f>Données!Z250</f>
        <v>830</v>
      </c>
      <c r="E250" s="128">
        <f>Données!X250</f>
        <v>79</v>
      </c>
      <c r="F250" s="31">
        <f>VPI!L250</f>
        <v>6240508.6400000006</v>
      </c>
      <c r="G250" s="8">
        <f t="shared" si="18"/>
        <v>157987.56050632912</v>
      </c>
      <c r="H250" s="26">
        <f t="shared" si="19"/>
        <v>74088.434876708721</v>
      </c>
      <c r="I250" s="8">
        <f t="shared" si="20"/>
        <v>74088.434876708721</v>
      </c>
      <c r="J250" s="8">
        <f>VPI!R250</f>
        <v>89736.824345991568</v>
      </c>
      <c r="K250" s="236">
        <f t="shared" si="21"/>
        <v>105904.37161314968</v>
      </c>
      <c r="L250" s="342">
        <f t="shared" si="22"/>
        <v>179992.8064898584</v>
      </c>
      <c r="M250" s="129"/>
      <c r="N250" s="130"/>
      <c r="O250" s="127"/>
      <c r="P250" s="127"/>
      <c r="Q250" s="131"/>
    </row>
    <row r="251" spans="1:17" s="126" customFormat="1" x14ac:dyDescent="0.25">
      <c r="A251" s="175">
        <f>Données!A251</f>
        <v>5851</v>
      </c>
      <c r="B251" s="353" t="str">
        <f>Données!B251</f>
        <v>Allaman</v>
      </c>
      <c r="C251" s="175">
        <f>Données!AR251</f>
        <v>0</v>
      </c>
      <c r="D251" s="354">
        <f>Données!Z251</f>
        <v>420</v>
      </c>
      <c r="E251" s="128">
        <f>Données!X251</f>
        <v>65</v>
      </c>
      <c r="F251" s="31">
        <f>VPI!L251</f>
        <v>1374358.71</v>
      </c>
      <c r="G251" s="8">
        <f t="shared" si="18"/>
        <v>42287.960307692309</v>
      </c>
      <c r="H251" s="26">
        <f t="shared" si="19"/>
        <v>37490.533311105617</v>
      </c>
      <c r="I251" s="8">
        <f t="shared" si="20"/>
        <v>37490.533311105617</v>
      </c>
      <c r="J251" s="8">
        <f>VPI!R251</f>
        <v>24432.115794871796</v>
      </c>
      <c r="K251" s="236">
        <f t="shared" si="21"/>
        <v>28833.95851472635</v>
      </c>
      <c r="L251" s="342">
        <f t="shared" si="22"/>
        <v>66324.491825831967</v>
      </c>
      <c r="M251" s="129"/>
      <c r="N251" s="130"/>
      <c r="O251" s="127"/>
      <c r="P251" s="127"/>
      <c r="Q251" s="131"/>
    </row>
    <row r="252" spans="1:17" s="126" customFormat="1" x14ac:dyDescent="0.25">
      <c r="A252" s="175">
        <f>Données!A252</f>
        <v>5852</v>
      </c>
      <c r="B252" s="353" t="str">
        <f>Données!B252</f>
        <v>Bursinel</v>
      </c>
      <c r="C252" s="175">
        <f>Données!AR252</f>
        <v>0</v>
      </c>
      <c r="D252" s="354">
        <f>Données!Z252</f>
        <v>503</v>
      </c>
      <c r="E252" s="128">
        <f>Données!X252</f>
        <v>62</v>
      </c>
      <c r="F252" s="31">
        <f>VPI!L252</f>
        <v>2004777.72</v>
      </c>
      <c r="G252" s="8">
        <f t="shared" si="18"/>
        <v>64670.249032258063</v>
      </c>
      <c r="H252" s="26">
        <f t="shared" si="19"/>
        <v>44899.376798776488</v>
      </c>
      <c r="I252" s="8">
        <f t="shared" si="20"/>
        <v>44899.376798776488</v>
      </c>
      <c r="J252" s="8">
        <f>VPI!R252</f>
        <v>35649.594677419358</v>
      </c>
      <c r="K252" s="236">
        <f t="shared" si="21"/>
        <v>42072.448519226287</v>
      </c>
      <c r="L252" s="342">
        <f t="shared" si="22"/>
        <v>86971.825318002782</v>
      </c>
      <c r="M252" s="129"/>
      <c r="N252" s="130"/>
      <c r="O252" s="127"/>
      <c r="P252" s="127"/>
      <c r="Q252" s="131"/>
    </row>
    <row r="253" spans="1:17" s="126" customFormat="1" x14ac:dyDescent="0.25">
      <c r="A253" s="175">
        <f>Données!A253</f>
        <v>5853</v>
      </c>
      <c r="B253" s="353" t="str">
        <f>Données!B253</f>
        <v>Bursins</v>
      </c>
      <c r="C253" s="175">
        <f>Données!AR253</f>
        <v>0</v>
      </c>
      <c r="D253" s="354">
        <f>Données!Z253</f>
        <v>767</v>
      </c>
      <c r="E253" s="128">
        <f>Données!X253</f>
        <v>71</v>
      </c>
      <c r="F253" s="31">
        <f>VPI!L253</f>
        <v>3138113.0499999993</v>
      </c>
      <c r="G253" s="8">
        <f t="shared" si="18"/>
        <v>88397.55070422533</v>
      </c>
      <c r="H253" s="26">
        <f t="shared" si="19"/>
        <v>68464.854880042869</v>
      </c>
      <c r="I253" s="8">
        <f t="shared" si="20"/>
        <v>68464.854880042869</v>
      </c>
      <c r="J253" s="8">
        <f>VPI!R253</f>
        <v>47536.23239436619</v>
      </c>
      <c r="K253" s="236">
        <f t="shared" si="21"/>
        <v>56100.657197001383</v>
      </c>
      <c r="L253" s="342">
        <f t="shared" si="22"/>
        <v>124565.51207704426</v>
      </c>
      <c r="M253" s="129"/>
      <c r="N253" s="130"/>
      <c r="O253" s="127"/>
      <c r="P253" s="127"/>
      <c r="Q253" s="131"/>
    </row>
    <row r="254" spans="1:17" s="126" customFormat="1" x14ac:dyDescent="0.25">
      <c r="A254" s="175">
        <f>Données!A254</f>
        <v>5854</v>
      </c>
      <c r="B254" s="353" t="str">
        <f>Données!B254</f>
        <v>Burtigny</v>
      </c>
      <c r="C254" s="175">
        <f>Données!AR254</f>
        <v>0</v>
      </c>
      <c r="D254" s="354">
        <f>Données!Z254</f>
        <v>414</v>
      </c>
      <c r="E254" s="128">
        <f>Données!X254</f>
        <v>78.5</v>
      </c>
      <c r="F254" s="31">
        <f>VPI!L254</f>
        <v>1115720.98</v>
      </c>
      <c r="G254" s="8">
        <f t="shared" si="18"/>
        <v>28426.012229299362</v>
      </c>
      <c r="H254" s="26">
        <f t="shared" si="19"/>
        <v>36954.954263804109</v>
      </c>
      <c r="I254" s="8">
        <f t="shared" si="20"/>
        <v>28426.012229299362</v>
      </c>
      <c r="J254" s="8">
        <f>VPI!R254</f>
        <v>15260.883397027597</v>
      </c>
      <c r="K254" s="236">
        <f t="shared" si="21"/>
        <v>18010.379553797415</v>
      </c>
      <c r="L254" s="342">
        <f t="shared" si="22"/>
        <v>46436.391783096777</v>
      </c>
      <c r="M254" s="129"/>
      <c r="N254" s="130"/>
      <c r="O254" s="127"/>
      <c r="P254" s="127"/>
      <c r="Q254" s="131"/>
    </row>
    <row r="255" spans="1:17" s="126" customFormat="1" x14ac:dyDescent="0.25">
      <c r="A255" s="175">
        <f>Données!A255</f>
        <v>5855</v>
      </c>
      <c r="B255" s="353" t="str">
        <f>Données!B255</f>
        <v>Dully</v>
      </c>
      <c r="C255" s="175">
        <f>Données!AR255</f>
        <v>0</v>
      </c>
      <c r="D255" s="354">
        <f>Données!Z255</f>
        <v>631</v>
      </c>
      <c r="E255" s="128">
        <f>Données!X255</f>
        <v>53</v>
      </c>
      <c r="F255" s="31">
        <f>VPI!L255</f>
        <v>3964635.47</v>
      </c>
      <c r="G255" s="8">
        <f t="shared" si="18"/>
        <v>149608.88566037736</v>
      </c>
      <c r="H255" s="26">
        <f t="shared" si="19"/>
        <v>56325.063141208673</v>
      </c>
      <c r="I255" s="8">
        <f t="shared" si="20"/>
        <v>56325.063141208673</v>
      </c>
      <c r="J255" s="8">
        <f>VPI!R255</f>
        <v>82571.89</v>
      </c>
      <c r="K255" s="236">
        <f t="shared" si="21"/>
        <v>97448.557903539549</v>
      </c>
      <c r="L255" s="342">
        <f t="shared" si="22"/>
        <v>153773.62104474823</v>
      </c>
      <c r="M255" s="129"/>
      <c r="N255" s="130"/>
      <c r="O255" s="127"/>
      <c r="P255" s="127"/>
      <c r="Q255" s="131"/>
    </row>
    <row r="256" spans="1:17" s="126" customFormat="1" x14ac:dyDescent="0.25">
      <c r="A256" s="175">
        <f>Données!A256</f>
        <v>5856</v>
      </c>
      <c r="B256" s="353" t="str">
        <f>Données!B256</f>
        <v>Essertines-sur-Rolle</v>
      </c>
      <c r="C256" s="175">
        <f>Données!AR256</f>
        <v>0</v>
      </c>
      <c r="D256" s="354">
        <f>Données!Z256</f>
        <v>757</v>
      </c>
      <c r="E256" s="128">
        <f>Données!X256</f>
        <v>66.5</v>
      </c>
      <c r="F256" s="31">
        <f>VPI!L256</f>
        <v>2236565.91</v>
      </c>
      <c r="G256" s="8">
        <f t="shared" si="18"/>
        <v>67265.140150375941</v>
      </c>
      <c r="H256" s="26">
        <f t="shared" si="19"/>
        <v>67572.223134540356</v>
      </c>
      <c r="I256" s="8">
        <f t="shared" si="20"/>
        <v>67265.140150375941</v>
      </c>
      <c r="J256" s="8">
        <f>VPI!R256</f>
        <v>36688.113684210526</v>
      </c>
      <c r="K256" s="236">
        <f t="shared" si="21"/>
        <v>43298.073602619865</v>
      </c>
      <c r="L256" s="342">
        <f t="shared" si="22"/>
        <v>110563.2137529958</v>
      </c>
      <c r="M256" s="129"/>
      <c r="N256" s="130"/>
      <c r="O256" s="127"/>
      <c r="P256" s="127"/>
      <c r="Q256" s="131"/>
    </row>
    <row r="257" spans="1:17" s="126" customFormat="1" x14ac:dyDescent="0.25">
      <c r="A257" s="175">
        <f>Données!A257</f>
        <v>5857</v>
      </c>
      <c r="B257" s="353" t="str">
        <f>Données!B257</f>
        <v>Gilly</v>
      </c>
      <c r="C257" s="175">
        <f>Données!AR257</f>
        <v>0</v>
      </c>
      <c r="D257" s="354">
        <f>Données!Z257</f>
        <v>1446</v>
      </c>
      <c r="E257" s="128">
        <f>Données!X257</f>
        <v>64.5</v>
      </c>
      <c r="F257" s="31">
        <f>VPI!L257</f>
        <v>5157981.4400000004</v>
      </c>
      <c r="G257" s="8">
        <f t="shared" si="18"/>
        <v>159937.40899224806</v>
      </c>
      <c r="H257" s="26">
        <f t="shared" si="19"/>
        <v>129074.55039966361</v>
      </c>
      <c r="I257" s="8">
        <f t="shared" si="20"/>
        <v>129074.55039966361</v>
      </c>
      <c r="J257" s="8">
        <f>VPI!R257</f>
        <v>86828.689767441872</v>
      </c>
      <c r="K257" s="236">
        <f t="shared" si="21"/>
        <v>102472.28932862058</v>
      </c>
      <c r="L257" s="342">
        <f t="shared" si="22"/>
        <v>231546.83972828419</v>
      </c>
      <c r="M257" s="129"/>
      <c r="N257" s="130"/>
      <c r="O257" s="127"/>
      <c r="P257" s="127"/>
      <c r="Q257" s="131"/>
    </row>
    <row r="258" spans="1:17" s="126" customFormat="1" x14ac:dyDescent="0.25">
      <c r="A258" s="175">
        <f>Données!A258</f>
        <v>5858</v>
      </c>
      <c r="B258" s="353" t="str">
        <f>Données!B258</f>
        <v>Luins</v>
      </c>
      <c r="C258" s="175">
        <f>Données!AR258</f>
        <v>0</v>
      </c>
      <c r="D258" s="354">
        <f>Données!Z258</f>
        <v>618</v>
      </c>
      <c r="E258" s="128">
        <f>Données!X258</f>
        <v>58.5</v>
      </c>
      <c r="F258" s="31">
        <f>VPI!L258</f>
        <v>2246955.56</v>
      </c>
      <c r="G258" s="8">
        <f t="shared" si="18"/>
        <v>76818.993504273501</v>
      </c>
      <c r="H258" s="26">
        <f t="shared" si="19"/>
        <v>55164.641872055407</v>
      </c>
      <c r="I258" s="8">
        <f t="shared" si="20"/>
        <v>55164.641872055407</v>
      </c>
      <c r="J258" s="8">
        <f>VPI!R258</f>
        <v>41178.091054131051</v>
      </c>
      <c r="K258" s="236">
        <f t="shared" si="21"/>
        <v>48596.993364760259</v>
      </c>
      <c r="L258" s="342">
        <f t="shared" si="22"/>
        <v>103761.63523681567</v>
      </c>
      <c r="M258" s="129"/>
      <c r="N258" s="130"/>
      <c r="O258" s="127"/>
      <c r="P258" s="127"/>
      <c r="Q258" s="131"/>
    </row>
    <row r="259" spans="1:17" s="126" customFormat="1" x14ac:dyDescent="0.25">
      <c r="A259" s="175">
        <f>Données!A259</f>
        <v>5859</v>
      </c>
      <c r="B259" s="353" t="str">
        <f>Données!B259</f>
        <v>Mont-sur-Rolle</v>
      </c>
      <c r="C259" s="175">
        <f>Données!AR259</f>
        <v>0</v>
      </c>
      <c r="D259" s="354">
        <f>Données!Z259</f>
        <v>2761</v>
      </c>
      <c r="E259" s="128">
        <f>Données!X259</f>
        <v>63.5</v>
      </c>
      <c r="F259" s="31">
        <f>VPI!L259</f>
        <v>9353287.3399999999</v>
      </c>
      <c r="G259" s="8">
        <f t="shared" si="18"/>
        <v>294591.72724409448</v>
      </c>
      <c r="H259" s="26">
        <f t="shared" si="19"/>
        <v>246455.62493324428</v>
      </c>
      <c r="I259" s="8">
        <f t="shared" si="20"/>
        <v>246455.62493324428</v>
      </c>
      <c r="J259" s="8">
        <f>VPI!R259</f>
        <v>158441.81716535432</v>
      </c>
      <c r="K259" s="236">
        <f t="shared" si="21"/>
        <v>186987.68545058201</v>
      </c>
      <c r="L259" s="342">
        <f t="shared" si="22"/>
        <v>433443.31038382626</v>
      </c>
      <c r="M259" s="129"/>
      <c r="N259" s="130"/>
      <c r="O259" s="127"/>
      <c r="P259" s="127"/>
      <c r="Q259" s="131"/>
    </row>
    <row r="260" spans="1:17" s="126" customFormat="1" x14ac:dyDescent="0.25">
      <c r="A260" s="175">
        <f>Données!A260</f>
        <v>5860</v>
      </c>
      <c r="B260" s="353" t="str">
        <f>Données!B260</f>
        <v>Perroy</v>
      </c>
      <c r="C260" s="175">
        <f>Données!AR260</f>
        <v>0</v>
      </c>
      <c r="D260" s="354">
        <f>Données!Z260</f>
        <v>1542</v>
      </c>
      <c r="E260" s="128">
        <f>Données!X260</f>
        <v>58.5</v>
      </c>
      <c r="F260" s="31">
        <f>VPI!L260</f>
        <v>7165392.5899999999</v>
      </c>
      <c r="G260" s="8">
        <f t="shared" si="18"/>
        <v>244970.68683760683</v>
      </c>
      <c r="H260" s="26">
        <f t="shared" si="19"/>
        <v>137643.81515648775</v>
      </c>
      <c r="I260" s="8">
        <f t="shared" si="20"/>
        <v>137643.81515648775</v>
      </c>
      <c r="J260" s="8">
        <f>VPI!R260</f>
        <v>132374.98733727811</v>
      </c>
      <c r="K260" s="236">
        <f t="shared" si="21"/>
        <v>156224.49260295558</v>
      </c>
      <c r="L260" s="342">
        <f t="shared" si="22"/>
        <v>293868.3077594433</v>
      </c>
      <c r="M260" s="129"/>
      <c r="N260" s="130"/>
      <c r="O260" s="127"/>
      <c r="P260" s="127"/>
      <c r="Q260" s="131"/>
    </row>
    <row r="261" spans="1:17" s="126" customFormat="1" x14ac:dyDescent="0.25">
      <c r="A261" s="175">
        <f>Données!A261</f>
        <v>5861</v>
      </c>
      <c r="B261" s="353" t="str">
        <f>Données!B261</f>
        <v>Rolle</v>
      </c>
      <c r="C261" s="175">
        <f>Données!AR261</f>
        <v>0</v>
      </c>
      <c r="D261" s="354">
        <f>Données!Z261</f>
        <v>6323</v>
      </c>
      <c r="E261" s="128">
        <f>Données!X261</f>
        <v>59.5</v>
      </c>
      <c r="F261" s="31">
        <f>VPI!L261</f>
        <v>51138668.290000007</v>
      </c>
      <c r="G261" s="8">
        <f t="shared" si="18"/>
        <v>1718946.8332773112</v>
      </c>
      <c r="H261" s="26">
        <f t="shared" si="19"/>
        <v>564411.05268124002</v>
      </c>
      <c r="I261" s="8">
        <f t="shared" si="20"/>
        <v>564411.05268124002</v>
      </c>
      <c r="J261" s="8">
        <f>VPI!R261</f>
        <v>897513.79815126071</v>
      </c>
      <c r="K261" s="236">
        <f t="shared" si="21"/>
        <v>1059215.4948659749</v>
      </c>
      <c r="L261" s="342">
        <f t="shared" si="22"/>
        <v>1623626.5475472149</v>
      </c>
      <c r="M261" s="129"/>
      <c r="N261" s="130"/>
      <c r="O261" s="127"/>
      <c r="P261" s="127"/>
      <c r="Q261" s="131"/>
    </row>
    <row r="262" spans="1:17" s="126" customFormat="1" x14ac:dyDescent="0.25">
      <c r="A262" s="175">
        <f>Données!A262</f>
        <v>5862</v>
      </c>
      <c r="B262" s="353" t="str">
        <f>Données!B262</f>
        <v>Tartegnin</v>
      </c>
      <c r="C262" s="175">
        <f>Données!AR262</f>
        <v>0</v>
      </c>
      <c r="D262" s="354">
        <f>Données!Z262</f>
        <v>249</v>
      </c>
      <c r="E262" s="128">
        <f>Données!X262</f>
        <v>79</v>
      </c>
      <c r="F262" s="31">
        <f>VPI!L262</f>
        <v>768725.8</v>
      </c>
      <c r="G262" s="8">
        <f t="shared" si="18"/>
        <v>19461.412658227848</v>
      </c>
      <c r="H262" s="26">
        <f t="shared" si="19"/>
        <v>22226.530463012616</v>
      </c>
      <c r="I262" s="8">
        <f t="shared" si="20"/>
        <v>19461.412658227848</v>
      </c>
      <c r="J262" s="8">
        <f>VPI!R262</f>
        <v>10371.497468354431</v>
      </c>
      <c r="K262" s="236">
        <f t="shared" si="21"/>
        <v>12240.091290042541</v>
      </c>
      <c r="L262" s="342">
        <f t="shared" si="22"/>
        <v>31701.503948270387</v>
      </c>
      <c r="M262" s="129"/>
      <c r="N262" s="130"/>
      <c r="O262" s="127"/>
      <c r="P262" s="127"/>
      <c r="Q262" s="131"/>
    </row>
    <row r="263" spans="1:17" s="126" customFormat="1" x14ac:dyDescent="0.25">
      <c r="A263" s="175">
        <f>Données!A263</f>
        <v>5863</v>
      </c>
      <c r="B263" s="353" t="str">
        <f>Données!B263</f>
        <v>Vinzel</v>
      </c>
      <c r="C263" s="175">
        <f>Données!AR263</f>
        <v>0</v>
      </c>
      <c r="D263" s="354">
        <f>Données!Z263</f>
        <v>378</v>
      </c>
      <c r="E263" s="128">
        <f>Données!X263</f>
        <v>67</v>
      </c>
      <c r="F263" s="31">
        <f>VPI!L263</f>
        <v>1486512.28</v>
      </c>
      <c r="G263" s="8">
        <f t="shared" ref="G263:G305" si="23">F263/E263*2</f>
        <v>44373.500895522389</v>
      </c>
      <c r="H263" s="26">
        <f t="shared" ref="H263:H305" si="24">+$G$306/$D$306*D263</f>
        <v>33741.479979995056</v>
      </c>
      <c r="I263" s="8">
        <f t="shared" ref="I263:I305" si="25">IF(C263=1,0,IF(H263&gt;G263,G263,H263))</f>
        <v>33741.479979995056</v>
      </c>
      <c r="J263" s="8">
        <f>VPI!R263</f>
        <v>23661.929552238806</v>
      </c>
      <c r="K263" s="236">
        <f t="shared" ref="K263:K305" si="26">+$K$5*J263</f>
        <v>27925.010703773609</v>
      </c>
      <c r="L263" s="342">
        <f t="shared" ref="L263:L305" si="27">+K263+I263</f>
        <v>61666.490683768665</v>
      </c>
      <c r="M263" s="129"/>
      <c r="N263" s="130"/>
      <c r="O263" s="127"/>
      <c r="P263" s="127"/>
      <c r="Q263" s="131"/>
    </row>
    <row r="264" spans="1:17" s="126" customFormat="1" x14ac:dyDescent="0.25">
      <c r="A264" s="175">
        <f>Données!A264</f>
        <v>5871</v>
      </c>
      <c r="B264" s="353" t="str">
        <f>Données!B264</f>
        <v>L'Abbaye</v>
      </c>
      <c r="C264" s="175">
        <f>Données!AR264</f>
        <v>0</v>
      </c>
      <c r="D264" s="354">
        <f>Données!Z264</f>
        <v>1536</v>
      </c>
      <c r="E264" s="128">
        <f>Données!X264</f>
        <v>77.3</v>
      </c>
      <c r="F264" s="31">
        <f>VPI!L264</f>
        <v>3583241.2699999996</v>
      </c>
      <c r="G264" s="8">
        <f t="shared" si="23"/>
        <v>92709.994049159111</v>
      </c>
      <c r="H264" s="26">
        <f t="shared" si="24"/>
        <v>137108.23610918625</v>
      </c>
      <c r="I264" s="8">
        <f t="shared" si="25"/>
        <v>92709.994049159111</v>
      </c>
      <c r="J264" s="8">
        <f>VPI!R264</f>
        <v>50236.516429495467</v>
      </c>
      <c r="K264" s="236">
        <f t="shared" si="26"/>
        <v>59287.441284822293</v>
      </c>
      <c r="L264" s="342">
        <f t="shared" si="27"/>
        <v>151997.43533398141</v>
      </c>
      <c r="M264" s="129"/>
      <c r="N264" s="130"/>
      <c r="O264" s="127"/>
      <c r="P264" s="127"/>
      <c r="Q264" s="131"/>
    </row>
    <row r="265" spans="1:17" s="126" customFormat="1" x14ac:dyDescent="0.25">
      <c r="A265" s="175">
        <f>Données!A265</f>
        <v>5872</v>
      </c>
      <c r="B265" s="353" t="str">
        <f>Données!B265</f>
        <v>Le Chenit</v>
      </c>
      <c r="C265" s="175">
        <f>Données!AR265</f>
        <v>0</v>
      </c>
      <c r="D265" s="354">
        <f>Données!Z265</f>
        <v>4617</v>
      </c>
      <c r="E265" s="128">
        <f>Données!X265</f>
        <v>66.83</v>
      </c>
      <c r="F265" s="31">
        <f>VPI!L265</f>
        <v>20318682.919999998</v>
      </c>
      <c r="G265" s="8">
        <f t="shared" si="23"/>
        <v>608070.71434984286</v>
      </c>
      <c r="H265" s="26">
        <f t="shared" si="24"/>
        <v>412128.07689851103</v>
      </c>
      <c r="I265" s="8">
        <f t="shared" si="25"/>
        <v>412128.07689851103</v>
      </c>
      <c r="J265" s="8">
        <f>VPI!R265</f>
        <v>317064.3538829867</v>
      </c>
      <c r="K265" s="236">
        <f t="shared" si="26"/>
        <v>374188.65001775528</v>
      </c>
      <c r="L265" s="342">
        <f t="shared" si="27"/>
        <v>786316.72691626637</v>
      </c>
      <c r="M265" s="129"/>
      <c r="N265" s="130"/>
      <c r="O265" s="127"/>
      <c r="P265" s="127"/>
      <c r="Q265" s="131"/>
    </row>
    <row r="266" spans="1:17" s="126" customFormat="1" x14ac:dyDescent="0.25">
      <c r="A266" s="175">
        <f>Données!A266</f>
        <v>5873</v>
      </c>
      <c r="B266" s="353" t="str">
        <f>Données!B266</f>
        <v>Le Lieu</v>
      </c>
      <c r="C266" s="175">
        <f>Données!AR266</f>
        <v>0</v>
      </c>
      <c r="D266" s="354">
        <f>Données!Z266</f>
        <v>886</v>
      </c>
      <c r="E266" s="128">
        <f>Données!X266</f>
        <v>70</v>
      </c>
      <c r="F266" s="31">
        <f>VPI!L266</f>
        <v>2313033.9300000002</v>
      </c>
      <c r="G266" s="8">
        <f t="shared" si="23"/>
        <v>66086.683714285726</v>
      </c>
      <c r="H266" s="26">
        <f t="shared" si="24"/>
        <v>79087.172651522793</v>
      </c>
      <c r="I266" s="8">
        <f t="shared" si="25"/>
        <v>66086.683714285726</v>
      </c>
      <c r="J266" s="8">
        <f>VPI!R266</f>
        <v>35207.025785714286</v>
      </c>
      <c r="K266" s="236">
        <f t="shared" si="26"/>
        <v>41550.143649256286</v>
      </c>
      <c r="L266" s="342">
        <f t="shared" si="27"/>
        <v>107636.82736354202</v>
      </c>
      <c r="M266" s="129"/>
      <c r="N266" s="130"/>
      <c r="O266" s="127"/>
      <c r="P266" s="127"/>
      <c r="Q266" s="131"/>
    </row>
    <row r="267" spans="1:17" s="126" customFormat="1" x14ac:dyDescent="0.25">
      <c r="A267" s="175">
        <f>Données!A267</f>
        <v>5882</v>
      </c>
      <c r="B267" s="353" t="str">
        <f>Données!B267</f>
        <v>Chardonne</v>
      </c>
      <c r="C267" s="175">
        <f>Données!AR267</f>
        <v>1</v>
      </c>
      <c r="D267" s="354">
        <f>Données!Z267</f>
        <v>3195</v>
      </c>
      <c r="E267" s="128">
        <f>Données!X267</f>
        <v>68</v>
      </c>
      <c r="F267" s="31">
        <f>VPI!L267</f>
        <v>12611430.639999999</v>
      </c>
      <c r="G267" s="8">
        <f t="shared" si="23"/>
        <v>370924.43058823526</v>
      </c>
      <c r="H267" s="26">
        <f t="shared" si="24"/>
        <v>285195.84268805344</v>
      </c>
      <c r="I267" s="8">
        <f t="shared" si="25"/>
        <v>0</v>
      </c>
      <c r="J267" s="8">
        <f>VPI!R267</f>
        <v>201724.94897058822</v>
      </c>
      <c r="K267" s="236">
        <f t="shared" si="26"/>
        <v>238068.97686790174</v>
      </c>
      <c r="L267" s="342">
        <f t="shared" si="27"/>
        <v>238068.97686790174</v>
      </c>
      <c r="M267" s="129"/>
      <c r="N267" s="130"/>
      <c r="O267" s="127"/>
      <c r="P267" s="127"/>
      <c r="Q267" s="131"/>
    </row>
    <row r="268" spans="1:17" s="126" customFormat="1" x14ac:dyDescent="0.25">
      <c r="A268" s="175">
        <f>Données!A268</f>
        <v>5883</v>
      </c>
      <c r="B268" s="353" t="str">
        <f>Données!B268</f>
        <v>Corseaux</v>
      </c>
      <c r="C268" s="175">
        <f>Données!AR268</f>
        <v>1</v>
      </c>
      <c r="D268" s="354">
        <f>Données!Z268</f>
        <v>2307</v>
      </c>
      <c r="E268" s="128">
        <f>Données!X268</f>
        <v>67.5</v>
      </c>
      <c r="F268" s="31">
        <f>VPI!L268</f>
        <v>11462007.049999999</v>
      </c>
      <c r="G268" s="8">
        <f t="shared" si="23"/>
        <v>339615.02370370366</v>
      </c>
      <c r="H268" s="26">
        <f t="shared" si="24"/>
        <v>205930.14368743013</v>
      </c>
      <c r="I268" s="8">
        <f t="shared" si="25"/>
        <v>0</v>
      </c>
      <c r="J268" s="8">
        <f>VPI!R268</f>
        <v>180896.25407407407</v>
      </c>
      <c r="K268" s="236">
        <f t="shared" si="26"/>
        <v>213487.65408749648</v>
      </c>
      <c r="L268" s="342">
        <f t="shared" si="27"/>
        <v>213487.65408749648</v>
      </c>
      <c r="M268" s="129"/>
      <c r="N268" s="130"/>
      <c r="O268" s="127"/>
      <c r="P268" s="127"/>
      <c r="Q268" s="131"/>
    </row>
    <row r="269" spans="1:17" s="126" customFormat="1" x14ac:dyDescent="0.25">
      <c r="A269" s="175">
        <f>Données!A269</f>
        <v>5884</v>
      </c>
      <c r="B269" s="353" t="str">
        <f>Données!B269</f>
        <v>Corsier-sur-Vevey</v>
      </c>
      <c r="C269" s="175">
        <f>Données!AR269</f>
        <v>1</v>
      </c>
      <c r="D269" s="354">
        <f>Données!Z269</f>
        <v>3367</v>
      </c>
      <c r="E269" s="128">
        <f>Données!X269</f>
        <v>64.5</v>
      </c>
      <c r="F269" s="31">
        <f>VPI!L269</f>
        <v>7284765.2000000002</v>
      </c>
      <c r="G269" s="8">
        <f t="shared" si="23"/>
        <v>225884.19224806203</v>
      </c>
      <c r="H269" s="26">
        <f t="shared" si="24"/>
        <v>300549.10871069669</v>
      </c>
      <c r="I269" s="8">
        <f t="shared" si="25"/>
        <v>0</v>
      </c>
      <c r="J269" s="8">
        <f>VPI!R269</f>
        <v>128051.27881136951</v>
      </c>
      <c r="K269" s="236">
        <f t="shared" si="26"/>
        <v>151121.79771919997</v>
      </c>
      <c r="L269" s="342">
        <f t="shared" si="27"/>
        <v>151121.79771919997</v>
      </c>
      <c r="M269" s="129"/>
      <c r="N269" s="130"/>
      <c r="O269" s="127"/>
      <c r="P269" s="127"/>
      <c r="Q269" s="131"/>
    </row>
    <row r="270" spans="1:17" s="126" customFormat="1" x14ac:dyDescent="0.25">
      <c r="A270" s="175">
        <f>Données!A270</f>
        <v>5885</v>
      </c>
      <c r="B270" s="353" t="str">
        <f>Données!B270</f>
        <v>Jongny</v>
      </c>
      <c r="C270" s="175">
        <f>Données!AR270</f>
        <v>1</v>
      </c>
      <c r="D270" s="354">
        <f>Données!Z270</f>
        <v>1842</v>
      </c>
      <c r="E270" s="128">
        <f>Données!X270</f>
        <v>69.5</v>
      </c>
      <c r="F270" s="31">
        <f>VPI!L270</f>
        <v>6733282.0799999991</v>
      </c>
      <c r="G270" s="8">
        <f t="shared" si="23"/>
        <v>193763.51309352517</v>
      </c>
      <c r="H270" s="26">
        <f t="shared" si="24"/>
        <v>164422.76752156319</v>
      </c>
      <c r="I270" s="8">
        <f t="shared" si="25"/>
        <v>0</v>
      </c>
      <c r="J270" s="8">
        <f>VPI!R270</f>
        <v>104091.36242206233</v>
      </c>
      <c r="K270" s="236">
        <f t="shared" si="26"/>
        <v>122845.1130069163</v>
      </c>
      <c r="L270" s="342">
        <f t="shared" si="27"/>
        <v>122845.1130069163</v>
      </c>
      <c r="M270" s="129"/>
      <c r="N270" s="130"/>
      <c r="O270" s="127"/>
      <c r="P270" s="127"/>
      <c r="Q270" s="131"/>
    </row>
    <row r="271" spans="1:17" s="126" customFormat="1" x14ac:dyDescent="0.25">
      <c r="A271" s="175">
        <f>Données!A271</f>
        <v>5886</v>
      </c>
      <c r="B271" s="353" t="str">
        <f>Données!B271</f>
        <v>Montreux</v>
      </c>
      <c r="C271" s="175">
        <f>Données!AR271</f>
        <v>1</v>
      </c>
      <c r="D271" s="354">
        <f>Données!Z271</f>
        <v>26100</v>
      </c>
      <c r="E271" s="128">
        <f>Données!X271</f>
        <v>65</v>
      </c>
      <c r="F271" s="31">
        <f>VPI!L271</f>
        <v>66860556.350000001</v>
      </c>
      <c r="G271" s="8">
        <f t="shared" si="23"/>
        <v>2057247.8876923078</v>
      </c>
      <c r="H271" s="26">
        <f t="shared" si="24"/>
        <v>2329768.8557615634</v>
      </c>
      <c r="I271" s="8">
        <f t="shared" si="25"/>
        <v>0</v>
      </c>
      <c r="J271" s="8">
        <f>VPI!R271</f>
        <v>1153112.7161538461</v>
      </c>
      <c r="K271" s="236">
        <f t="shared" si="26"/>
        <v>1360864.711821733</v>
      </c>
      <c r="L271" s="342">
        <f t="shared" si="27"/>
        <v>1360864.711821733</v>
      </c>
      <c r="M271" s="129"/>
      <c r="N271" s="130"/>
      <c r="O271" s="127"/>
      <c r="P271" s="127"/>
      <c r="Q271" s="131"/>
    </row>
    <row r="272" spans="1:17" s="126" customFormat="1" x14ac:dyDescent="0.25">
      <c r="A272" s="175">
        <f>Données!A272</f>
        <v>5889</v>
      </c>
      <c r="B272" s="353" t="str">
        <f>Données!B272</f>
        <v>La Tour-de-Peilz</v>
      </c>
      <c r="C272" s="175">
        <f>Données!AR272</f>
        <v>1</v>
      </c>
      <c r="D272" s="354">
        <f>Données!Z272</f>
        <v>12402</v>
      </c>
      <c r="E272" s="128">
        <f>Données!X272</f>
        <v>64</v>
      </c>
      <c r="F272" s="31">
        <f>VPI!L272</f>
        <v>42472134.739999995</v>
      </c>
      <c r="G272" s="8">
        <f t="shared" si="23"/>
        <v>1327254.2106249998</v>
      </c>
      <c r="H272" s="26">
        <f t="shared" si="24"/>
        <v>1107041.8907722186</v>
      </c>
      <c r="I272" s="8">
        <f t="shared" si="25"/>
        <v>0</v>
      </c>
      <c r="J272" s="8">
        <f>VPI!R272</f>
        <v>709179.36611979152</v>
      </c>
      <c r="K272" s="236">
        <f t="shared" si="26"/>
        <v>836949.554180242</v>
      </c>
      <c r="L272" s="342">
        <f t="shared" si="27"/>
        <v>836949.554180242</v>
      </c>
      <c r="M272" s="129"/>
      <c r="N272" s="130"/>
      <c r="O272" s="127"/>
      <c r="P272" s="127"/>
      <c r="Q272" s="131"/>
    </row>
    <row r="273" spans="1:17" s="126" customFormat="1" x14ac:dyDescent="0.25">
      <c r="A273" s="175">
        <f>Données!A273</f>
        <v>5890</v>
      </c>
      <c r="B273" s="353" t="str">
        <f>Données!B273</f>
        <v>Vevey</v>
      </c>
      <c r="C273" s="175">
        <f>Données!AR273</f>
        <v>1</v>
      </c>
      <c r="D273" s="354">
        <f>Données!Z273</f>
        <v>19754</v>
      </c>
      <c r="E273" s="128">
        <f>Données!X273</f>
        <v>74.5</v>
      </c>
      <c r="F273" s="31">
        <f>VPI!L273</f>
        <v>65647938.030000009</v>
      </c>
      <c r="G273" s="8">
        <f t="shared" si="23"/>
        <v>1762360.7524832217</v>
      </c>
      <c r="H273" s="26">
        <f t="shared" si="24"/>
        <v>1763304.7500656673</v>
      </c>
      <c r="I273" s="8">
        <f t="shared" si="25"/>
        <v>0</v>
      </c>
      <c r="J273" s="8">
        <f>VPI!R273</f>
        <v>945087.70393736032</v>
      </c>
      <c r="K273" s="236">
        <f t="shared" si="26"/>
        <v>1115360.6129284808</v>
      </c>
      <c r="L273" s="342">
        <f t="shared" si="27"/>
        <v>1115360.6129284808</v>
      </c>
      <c r="M273" s="129"/>
      <c r="N273" s="130"/>
      <c r="O273" s="127"/>
      <c r="P273" s="127"/>
      <c r="Q273" s="131"/>
    </row>
    <row r="274" spans="1:17" s="126" customFormat="1" x14ac:dyDescent="0.25">
      <c r="A274" s="175">
        <f>Données!A274</f>
        <v>5891</v>
      </c>
      <c r="B274" s="353" t="str">
        <f>Données!B274</f>
        <v>Veytaux</v>
      </c>
      <c r="C274" s="175">
        <f>Données!AR274</f>
        <v>1</v>
      </c>
      <c r="D274" s="354">
        <f>Données!Z274</f>
        <v>972</v>
      </c>
      <c r="E274" s="128">
        <f>Données!X274</f>
        <v>69.5</v>
      </c>
      <c r="F274" s="31">
        <f>VPI!L274</f>
        <v>2542288.36</v>
      </c>
      <c r="G274" s="8">
        <f t="shared" si="23"/>
        <v>73159.377266187046</v>
      </c>
      <c r="H274" s="26">
        <f t="shared" si="24"/>
        <v>86763.805662844417</v>
      </c>
      <c r="I274" s="8">
        <f t="shared" si="25"/>
        <v>0</v>
      </c>
      <c r="J274" s="8">
        <f>VPI!R274</f>
        <v>41113.316211031175</v>
      </c>
      <c r="K274" s="236">
        <f t="shared" si="26"/>
        <v>48520.548280985247</v>
      </c>
      <c r="L274" s="342">
        <f t="shared" si="27"/>
        <v>48520.548280985247</v>
      </c>
      <c r="M274" s="129"/>
      <c r="N274" s="130"/>
      <c r="O274" s="127"/>
      <c r="P274" s="127"/>
      <c r="Q274" s="131"/>
    </row>
    <row r="275" spans="1:17" s="126" customFormat="1" x14ac:dyDescent="0.25">
      <c r="A275" s="175">
        <f>Données!A275</f>
        <v>5892</v>
      </c>
      <c r="B275" s="353" t="str">
        <f>Données!B275</f>
        <v>Blonay-Saint-Légier</v>
      </c>
      <c r="C275" s="175">
        <f>Données!AR275</f>
        <v>1</v>
      </c>
      <c r="D275" s="354">
        <f>Données!Z275</f>
        <v>12137</v>
      </c>
      <c r="E275" s="128">
        <f>Données!X275</f>
        <v>68.5</v>
      </c>
      <c r="F275" s="31">
        <f>VPI!L275</f>
        <v>47714485.139999993</v>
      </c>
      <c r="G275" s="8">
        <f t="shared" si="23"/>
        <v>1393123.6537226276</v>
      </c>
      <c r="H275" s="26">
        <f t="shared" si="24"/>
        <v>1083387.149516402</v>
      </c>
      <c r="I275" s="8">
        <f t="shared" si="25"/>
        <v>0</v>
      </c>
      <c r="J275" s="8">
        <f>VPI!R275</f>
        <v>749734.6567883211</v>
      </c>
      <c r="K275" s="236">
        <f t="shared" si="26"/>
        <v>884811.5395484718</v>
      </c>
      <c r="L275" s="342">
        <f t="shared" si="27"/>
        <v>884811.5395484718</v>
      </c>
      <c r="M275" s="129"/>
      <c r="N275" s="130"/>
      <c r="O275" s="127"/>
      <c r="P275" s="127"/>
      <c r="Q275" s="131"/>
    </row>
    <row r="276" spans="1:17" s="126" customFormat="1" x14ac:dyDescent="0.25">
      <c r="A276" s="175">
        <f>Données!A276</f>
        <v>5902</v>
      </c>
      <c r="B276" s="353" t="str">
        <f>Données!B276</f>
        <v>Belmont-sur-Yverdon</v>
      </c>
      <c r="C276" s="175">
        <f>Données!AR276</f>
        <v>0</v>
      </c>
      <c r="D276" s="354">
        <f>Données!Z276</f>
        <v>434</v>
      </c>
      <c r="E276" s="128">
        <f>Données!X276</f>
        <v>70</v>
      </c>
      <c r="F276" s="31">
        <f>VPI!L276</f>
        <v>764482.2</v>
      </c>
      <c r="G276" s="8">
        <f t="shared" si="23"/>
        <v>21842.348571428571</v>
      </c>
      <c r="H276" s="26">
        <f t="shared" si="24"/>
        <v>38740.217754809135</v>
      </c>
      <c r="I276" s="8">
        <f t="shared" si="25"/>
        <v>21842.348571428571</v>
      </c>
      <c r="J276" s="8">
        <f>VPI!R276</f>
        <v>11918.01</v>
      </c>
      <c r="K276" s="236">
        <f t="shared" si="26"/>
        <v>14065.233187468077</v>
      </c>
      <c r="L276" s="342">
        <f t="shared" si="27"/>
        <v>35907.581758896646</v>
      </c>
      <c r="M276" s="129"/>
      <c r="N276" s="130"/>
      <c r="O276" s="127"/>
      <c r="P276" s="127"/>
      <c r="Q276" s="131"/>
    </row>
    <row r="277" spans="1:17" s="126" customFormat="1" x14ac:dyDescent="0.25">
      <c r="A277" s="175">
        <f>Données!A277</f>
        <v>5903</v>
      </c>
      <c r="B277" s="353" t="str">
        <f>Données!B277</f>
        <v>Bioley-Magnoux</v>
      </c>
      <c r="C277" s="175">
        <f>Données!AR277</f>
        <v>0</v>
      </c>
      <c r="D277" s="354">
        <f>Données!Z277</f>
        <v>247</v>
      </c>
      <c r="E277" s="128">
        <f>Données!X277</f>
        <v>72</v>
      </c>
      <c r="F277" s="31">
        <f>VPI!L277</f>
        <v>412357.27</v>
      </c>
      <c r="G277" s="8">
        <f t="shared" si="23"/>
        <v>11454.368611111111</v>
      </c>
      <c r="H277" s="26">
        <f t="shared" si="24"/>
        <v>22048.004113912113</v>
      </c>
      <c r="I277" s="8">
        <f t="shared" si="25"/>
        <v>11454.368611111111</v>
      </c>
      <c r="J277" s="8">
        <f>VPI!R277</f>
        <v>6275.4313293650803</v>
      </c>
      <c r="K277" s="236">
        <f t="shared" si="26"/>
        <v>7406.052268748108</v>
      </c>
      <c r="L277" s="342">
        <f t="shared" si="27"/>
        <v>18860.420879859219</v>
      </c>
      <c r="M277" s="129"/>
      <c r="N277" s="130"/>
      <c r="O277" s="127"/>
      <c r="P277" s="127"/>
      <c r="Q277" s="131"/>
    </row>
    <row r="278" spans="1:17" s="126" customFormat="1" x14ac:dyDescent="0.25">
      <c r="A278" s="175">
        <f>Données!A278</f>
        <v>5904</v>
      </c>
      <c r="B278" s="353" t="str">
        <f>Données!B278</f>
        <v>Chamblon</v>
      </c>
      <c r="C278" s="175">
        <f>Données!AR278</f>
        <v>1</v>
      </c>
      <c r="D278" s="354">
        <f>Données!Z278</f>
        <v>567</v>
      </c>
      <c r="E278" s="128">
        <f>Données!X278</f>
        <v>66</v>
      </c>
      <c r="F278" s="31">
        <f>VPI!L278</f>
        <v>1142343.9700000002</v>
      </c>
      <c r="G278" s="8">
        <f t="shared" si="23"/>
        <v>34616.483939393947</v>
      </c>
      <c r="H278" s="26">
        <f t="shared" si="24"/>
        <v>50612.219969992577</v>
      </c>
      <c r="I278" s="8">
        <f t="shared" si="25"/>
        <v>0</v>
      </c>
      <c r="J278" s="8">
        <f>VPI!R278</f>
        <v>18890.250303030305</v>
      </c>
      <c r="K278" s="236">
        <f t="shared" si="26"/>
        <v>22293.635890703292</v>
      </c>
      <c r="L278" s="342">
        <f t="shared" si="27"/>
        <v>22293.635890703292</v>
      </c>
      <c r="M278" s="129"/>
      <c r="N278" s="130"/>
      <c r="O278" s="127"/>
      <c r="P278" s="127"/>
      <c r="Q278" s="131"/>
    </row>
    <row r="279" spans="1:17" s="126" customFormat="1" x14ac:dyDescent="0.25">
      <c r="A279" s="175">
        <f>Données!A279</f>
        <v>5905</v>
      </c>
      <c r="B279" s="353" t="str">
        <f>Données!B279</f>
        <v>Champvent</v>
      </c>
      <c r="C279" s="175">
        <f>Données!AR279</f>
        <v>0</v>
      </c>
      <c r="D279" s="354">
        <f>Données!Z279</f>
        <v>733</v>
      </c>
      <c r="E279" s="128">
        <f>Données!X279</f>
        <v>70</v>
      </c>
      <c r="F279" s="31">
        <f>VPI!L279</f>
        <v>1394865.89</v>
      </c>
      <c r="G279" s="8">
        <f t="shared" si="23"/>
        <v>39853.311142857143</v>
      </c>
      <c r="H279" s="26">
        <f t="shared" si="24"/>
        <v>65429.906945334325</v>
      </c>
      <c r="I279" s="8">
        <f t="shared" si="25"/>
        <v>39853.311142857143</v>
      </c>
      <c r="J279" s="8">
        <f>VPI!R279</f>
        <v>21534.177714285714</v>
      </c>
      <c r="K279" s="236">
        <f t="shared" si="26"/>
        <v>25413.90979297776</v>
      </c>
      <c r="L279" s="342">
        <f t="shared" si="27"/>
        <v>65267.220935834906</v>
      </c>
      <c r="M279" s="129"/>
      <c r="N279" s="130"/>
      <c r="O279" s="127"/>
      <c r="P279" s="127"/>
      <c r="Q279" s="131"/>
    </row>
    <row r="280" spans="1:17" s="126" customFormat="1" x14ac:dyDescent="0.25">
      <c r="A280" s="175">
        <f>Données!A280</f>
        <v>5907</v>
      </c>
      <c r="B280" s="353" t="str">
        <f>Données!B280</f>
        <v>Chavannes-le-Chêne</v>
      </c>
      <c r="C280" s="175">
        <f>Données!AR280</f>
        <v>0</v>
      </c>
      <c r="D280" s="354">
        <f>Données!Z280</f>
        <v>317</v>
      </c>
      <c r="E280" s="128">
        <f>Données!X280</f>
        <v>75</v>
      </c>
      <c r="F280" s="31">
        <f>VPI!L280</f>
        <v>581663.55000000005</v>
      </c>
      <c r="G280" s="8">
        <f t="shared" si="23"/>
        <v>15511.028000000002</v>
      </c>
      <c r="H280" s="26">
        <f t="shared" si="24"/>
        <v>28296.426332429714</v>
      </c>
      <c r="I280" s="8">
        <f t="shared" si="25"/>
        <v>15511.028000000002</v>
      </c>
      <c r="J280" s="8">
        <f>VPI!R280</f>
        <v>8453.4726666666666</v>
      </c>
      <c r="K280" s="236">
        <f t="shared" si="26"/>
        <v>9976.5031494816885</v>
      </c>
      <c r="L280" s="342">
        <f t="shared" si="27"/>
        <v>25487.531149481692</v>
      </c>
      <c r="M280" s="129"/>
      <c r="N280" s="130"/>
      <c r="O280" s="127"/>
      <c r="P280" s="127"/>
      <c r="Q280" s="131"/>
    </row>
    <row r="281" spans="1:17" s="126" customFormat="1" x14ac:dyDescent="0.25">
      <c r="A281" s="175">
        <f>Données!A281</f>
        <v>5908</v>
      </c>
      <c r="B281" s="353" t="str">
        <f>Données!B281</f>
        <v>Chêne-Pâquier</v>
      </c>
      <c r="C281" s="175">
        <f>Données!AR281</f>
        <v>0</v>
      </c>
      <c r="D281" s="354">
        <f>Données!Z281</f>
        <v>163</v>
      </c>
      <c r="E281" s="128">
        <f>Données!X281</f>
        <v>75</v>
      </c>
      <c r="F281" s="31">
        <f>VPI!L281</f>
        <v>345289.15000000008</v>
      </c>
      <c r="G281" s="8">
        <f t="shared" si="23"/>
        <v>9207.7106666666696</v>
      </c>
      <c r="H281" s="26">
        <f t="shared" si="24"/>
        <v>14549.897451690989</v>
      </c>
      <c r="I281" s="8">
        <f t="shared" si="25"/>
        <v>9207.7106666666696</v>
      </c>
      <c r="J281" s="8">
        <f>VPI!R281</f>
        <v>4917.9366666666683</v>
      </c>
      <c r="K281" s="236">
        <f t="shared" si="26"/>
        <v>5803.9828811912521</v>
      </c>
      <c r="L281" s="342">
        <f t="shared" si="27"/>
        <v>15011.693547857922</v>
      </c>
      <c r="M281" s="129"/>
      <c r="N281" s="130"/>
      <c r="O281" s="127"/>
      <c r="P281" s="127"/>
      <c r="Q281" s="131"/>
    </row>
    <row r="282" spans="1:17" s="126" customFormat="1" x14ac:dyDescent="0.25">
      <c r="A282" s="175">
        <f>Données!A282</f>
        <v>5909</v>
      </c>
      <c r="B282" s="353" t="str">
        <f>Données!B282</f>
        <v>Cheseaux-Noréaz</v>
      </c>
      <c r="C282" s="175">
        <f>Données!AR282</f>
        <v>1</v>
      </c>
      <c r="D282" s="354">
        <f>Données!Z282</f>
        <v>735</v>
      </c>
      <c r="E282" s="128">
        <f>Données!X282</f>
        <v>67</v>
      </c>
      <c r="F282" s="31">
        <f>VPI!L282</f>
        <v>2116641.2400000002</v>
      </c>
      <c r="G282" s="8">
        <f t="shared" si="23"/>
        <v>63183.320597014936</v>
      </c>
      <c r="H282" s="26">
        <f t="shared" si="24"/>
        <v>65608.433294434828</v>
      </c>
      <c r="I282" s="8">
        <f t="shared" si="25"/>
        <v>0</v>
      </c>
      <c r="J282" s="8">
        <f>VPI!R282</f>
        <v>34179.649850746275</v>
      </c>
      <c r="K282" s="236">
        <f t="shared" si="26"/>
        <v>40337.669243166842</v>
      </c>
      <c r="L282" s="342">
        <f t="shared" si="27"/>
        <v>40337.669243166842</v>
      </c>
      <c r="M282" s="129"/>
      <c r="N282" s="130"/>
      <c r="O282" s="127"/>
      <c r="P282" s="127"/>
      <c r="Q282" s="131"/>
    </row>
    <row r="283" spans="1:17" s="126" customFormat="1" x14ac:dyDescent="0.25">
      <c r="A283" s="175">
        <f>Données!A283</f>
        <v>5910</v>
      </c>
      <c r="B283" s="353" t="str">
        <f>Données!B283</f>
        <v>Cronay</v>
      </c>
      <c r="C283" s="175">
        <f>Données!AR283</f>
        <v>0</v>
      </c>
      <c r="D283" s="354">
        <f>Données!Z283</f>
        <v>410</v>
      </c>
      <c r="E283" s="128">
        <f>Données!X283</f>
        <v>77</v>
      </c>
      <c r="F283" s="31">
        <f>VPI!L283</f>
        <v>751140.10999999987</v>
      </c>
      <c r="G283" s="8">
        <f t="shared" si="23"/>
        <v>19510.132727272725</v>
      </c>
      <c r="H283" s="213">
        <f t="shared" si="24"/>
        <v>36597.901565603097</v>
      </c>
      <c r="I283" s="8">
        <f t="shared" si="25"/>
        <v>19510.132727272725</v>
      </c>
      <c r="J283" s="8">
        <f>VPI!R283</f>
        <v>10620.023506493504</v>
      </c>
      <c r="K283" s="236">
        <f t="shared" si="26"/>
        <v>12533.393332882213</v>
      </c>
      <c r="L283" s="342">
        <f t="shared" si="27"/>
        <v>32043.526060154938</v>
      </c>
      <c r="M283" s="129"/>
      <c r="N283" s="130"/>
      <c r="O283" s="127"/>
      <c r="P283" s="127"/>
      <c r="Q283" s="131"/>
    </row>
    <row r="284" spans="1:17" s="126" customFormat="1" x14ac:dyDescent="0.25">
      <c r="A284" s="175">
        <f>Données!A284</f>
        <v>5911</v>
      </c>
      <c r="B284" s="353" t="str">
        <f>Données!B284</f>
        <v>Cuarny</v>
      </c>
      <c r="C284" s="175">
        <f>Données!AR284</f>
        <v>0</v>
      </c>
      <c r="D284" s="354">
        <f>Données!Z284</f>
        <v>236</v>
      </c>
      <c r="E284" s="128">
        <f>Données!X284</f>
        <v>77</v>
      </c>
      <c r="F284" s="31">
        <f>VPI!L284</f>
        <v>547271.23999999987</v>
      </c>
      <c r="G284" s="8">
        <f t="shared" si="23"/>
        <v>14214.837402597399</v>
      </c>
      <c r="H284" s="26">
        <f t="shared" si="24"/>
        <v>21066.109193859345</v>
      </c>
      <c r="I284" s="8">
        <f t="shared" si="25"/>
        <v>14214.837402597399</v>
      </c>
      <c r="J284" s="8">
        <f>VPI!R284</f>
        <v>7630.7251948051926</v>
      </c>
      <c r="K284" s="236">
        <f t="shared" si="26"/>
        <v>9005.5243496542462</v>
      </c>
      <c r="L284" s="342">
        <f t="shared" si="27"/>
        <v>23220.361752251643</v>
      </c>
      <c r="M284" s="129"/>
      <c r="N284" s="130"/>
      <c r="O284" s="127"/>
      <c r="P284" s="127"/>
      <c r="Q284" s="131"/>
    </row>
    <row r="285" spans="1:17" s="126" customFormat="1" x14ac:dyDescent="0.25">
      <c r="A285" s="175">
        <f>Données!A285</f>
        <v>5912</v>
      </c>
      <c r="B285" s="353" t="str">
        <f>Données!B285</f>
        <v>Démoret</v>
      </c>
      <c r="C285" s="175">
        <f>Données!AR285</f>
        <v>0</v>
      </c>
      <c r="D285" s="354">
        <f>Données!Z285</f>
        <v>167</v>
      </c>
      <c r="E285" s="128">
        <f>Données!X285</f>
        <v>78</v>
      </c>
      <c r="F285" s="31">
        <f>VPI!L285</f>
        <v>213375.35999999999</v>
      </c>
      <c r="G285" s="8">
        <f t="shared" si="23"/>
        <v>5471.1630769230769</v>
      </c>
      <c r="H285" s="26">
        <f t="shared" si="24"/>
        <v>14906.950149891994</v>
      </c>
      <c r="I285" s="8">
        <f t="shared" si="25"/>
        <v>5471.1630769230769</v>
      </c>
      <c r="J285" s="8">
        <f>VPI!R285</f>
        <v>3035.5994871794869</v>
      </c>
      <c r="K285" s="236">
        <f t="shared" si="26"/>
        <v>3582.5120679490951</v>
      </c>
      <c r="L285" s="342">
        <f t="shared" si="27"/>
        <v>9053.6751448721716</v>
      </c>
      <c r="M285" s="129"/>
      <c r="N285" s="130"/>
      <c r="O285" s="127"/>
      <c r="P285" s="127"/>
      <c r="Q285" s="131"/>
    </row>
    <row r="286" spans="1:17" s="126" customFormat="1" x14ac:dyDescent="0.25">
      <c r="A286" s="175">
        <f>Données!A286</f>
        <v>5913</v>
      </c>
      <c r="B286" s="353" t="str">
        <f>Données!B286</f>
        <v>Donneloye</v>
      </c>
      <c r="C286" s="175">
        <f>Données!AR286</f>
        <v>0</v>
      </c>
      <c r="D286" s="354">
        <f>Données!Z286</f>
        <v>905</v>
      </c>
      <c r="E286" s="128">
        <f>Données!X286</f>
        <v>73</v>
      </c>
      <c r="F286" s="31">
        <f>VPI!L286</f>
        <v>1475517.02</v>
      </c>
      <c r="G286" s="8">
        <f t="shared" si="23"/>
        <v>40425.123835616439</v>
      </c>
      <c r="H286" s="26">
        <f t="shared" si="24"/>
        <v>80783.172967977574</v>
      </c>
      <c r="I286" s="8">
        <f t="shared" si="25"/>
        <v>40425.123835616439</v>
      </c>
      <c r="J286" s="8">
        <f>VPI!R286</f>
        <v>21868.165342465756</v>
      </c>
      <c r="K286" s="236">
        <f t="shared" si="26"/>
        <v>25808.070720186388</v>
      </c>
      <c r="L286" s="342">
        <f t="shared" si="27"/>
        <v>66233.194555802824</v>
      </c>
      <c r="M286" s="129"/>
      <c r="N286" s="130"/>
      <c r="O286" s="127"/>
      <c r="P286" s="127"/>
      <c r="Q286" s="131"/>
    </row>
    <row r="287" spans="1:17" s="126" customFormat="1" x14ac:dyDescent="0.25">
      <c r="A287" s="175">
        <f>Données!A287</f>
        <v>5914</v>
      </c>
      <c r="B287" s="353" t="str">
        <f>Données!B287</f>
        <v>Ependes</v>
      </c>
      <c r="C287" s="175">
        <f>Données!AR287</f>
        <v>1</v>
      </c>
      <c r="D287" s="354">
        <f>Données!Z287</f>
        <v>372</v>
      </c>
      <c r="E287" s="128">
        <f>Données!X287</f>
        <v>73.5</v>
      </c>
      <c r="F287" s="31">
        <f>VPI!L287</f>
        <v>648484.5199999999</v>
      </c>
      <c r="G287" s="8">
        <f t="shared" si="23"/>
        <v>17645.837278911564</v>
      </c>
      <c r="H287" s="26">
        <f t="shared" si="24"/>
        <v>33205.900932693541</v>
      </c>
      <c r="I287" s="8">
        <f t="shared" si="25"/>
        <v>0</v>
      </c>
      <c r="J287" s="8">
        <f>VPI!R287</f>
        <v>9826.1438095238063</v>
      </c>
      <c r="K287" s="236">
        <f t="shared" si="26"/>
        <v>11596.483306738981</v>
      </c>
      <c r="L287" s="342">
        <f t="shared" si="27"/>
        <v>11596.483306738981</v>
      </c>
      <c r="M287" s="129"/>
      <c r="N287" s="130"/>
      <c r="O287" s="127"/>
      <c r="P287" s="127"/>
      <c r="Q287" s="131"/>
    </row>
    <row r="288" spans="1:17" s="126" customFormat="1" x14ac:dyDescent="0.25">
      <c r="A288" s="175">
        <f>Données!A288</f>
        <v>5919</v>
      </c>
      <c r="B288" s="353" t="str">
        <f>Données!B288</f>
        <v>Mathod</v>
      </c>
      <c r="C288" s="175">
        <f>Données!AR288</f>
        <v>1</v>
      </c>
      <c r="D288" s="354">
        <f>Données!Z288</f>
        <v>685</v>
      </c>
      <c r="E288" s="128">
        <f>Données!X288</f>
        <v>72</v>
      </c>
      <c r="F288" s="31">
        <f>VPI!L288</f>
        <v>1362454.5999999999</v>
      </c>
      <c r="G288" s="8">
        <f t="shared" si="23"/>
        <v>37845.961111111108</v>
      </c>
      <c r="H288" s="26">
        <f t="shared" si="24"/>
        <v>61145.27456692225</v>
      </c>
      <c r="I288" s="8">
        <f t="shared" si="25"/>
        <v>0</v>
      </c>
      <c r="J288" s="8">
        <f>VPI!R288</f>
        <v>20854.383912037036</v>
      </c>
      <c r="K288" s="236">
        <f t="shared" si="26"/>
        <v>24611.640089560562</v>
      </c>
      <c r="L288" s="342">
        <f t="shared" si="27"/>
        <v>24611.640089560562</v>
      </c>
      <c r="M288" s="129"/>
      <c r="N288" s="130"/>
      <c r="O288" s="127"/>
      <c r="P288" s="127"/>
      <c r="Q288" s="131"/>
    </row>
    <row r="289" spans="1:17" s="126" customFormat="1" x14ac:dyDescent="0.25">
      <c r="A289" s="175">
        <f>Données!A289</f>
        <v>5921</v>
      </c>
      <c r="B289" s="353" t="str">
        <f>Données!B289</f>
        <v>Molondin</v>
      </c>
      <c r="C289" s="175">
        <f>Données!AR289</f>
        <v>0</v>
      </c>
      <c r="D289" s="354">
        <f>Données!Z289</f>
        <v>258</v>
      </c>
      <c r="E289" s="128">
        <f>Données!X289</f>
        <v>81</v>
      </c>
      <c r="F289" s="31">
        <f>VPI!L289</f>
        <v>375057.92000000004</v>
      </c>
      <c r="G289" s="8">
        <f t="shared" si="23"/>
        <v>9260.6893827160511</v>
      </c>
      <c r="H289" s="26">
        <f t="shared" si="24"/>
        <v>23029.899033964877</v>
      </c>
      <c r="I289" s="8">
        <f t="shared" si="25"/>
        <v>9260.6893827160511</v>
      </c>
      <c r="J289" s="8">
        <f>VPI!R289</f>
        <v>5090.9675308641981</v>
      </c>
      <c r="K289" s="236">
        <f t="shared" si="26"/>
        <v>6008.1880675912789</v>
      </c>
      <c r="L289" s="342">
        <f t="shared" si="27"/>
        <v>15268.877450307329</v>
      </c>
      <c r="M289" s="129"/>
      <c r="N289" s="130"/>
      <c r="O289" s="127"/>
      <c r="P289" s="127"/>
      <c r="Q289" s="131"/>
    </row>
    <row r="290" spans="1:17" s="126" customFormat="1" x14ac:dyDescent="0.25">
      <c r="A290" s="175">
        <f>Données!A290</f>
        <v>5922</v>
      </c>
      <c r="B290" s="353" t="str">
        <f>Données!B290</f>
        <v>Montagny-près-Yverdon</v>
      </c>
      <c r="C290" s="175">
        <f>Données!AR290</f>
        <v>0</v>
      </c>
      <c r="D290" s="354">
        <f>Données!Z290</f>
        <v>770</v>
      </c>
      <c r="E290" s="128">
        <f>Données!X290</f>
        <v>64.5</v>
      </c>
      <c r="F290" s="31">
        <f>VPI!L290</f>
        <v>2165350.36</v>
      </c>
      <c r="G290" s="8">
        <f t="shared" si="23"/>
        <v>67142.646821705421</v>
      </c>
      <c r="H290" s="26">
        <f t="shared" si="24"/>
        <v>68732.64440369363</v>
      </c>
      <c r="I290" s="8">
        <f t="shared" si="25"/>
        <v>67142.646821705421</v>
      </c>
      <c r="J290" s="8">
        <f>VPI!R290</f>
        <v>39799.996472868217</v>
      </c>
      <c r="K290" s="236">
        <f t="shared" si="26"/>
        <v>46970.612648529284</v>
      </c>
      <c r="L290" s="342">
        <f t="shared" si="27"/>
        <v>114113.25947023471</v>
      </c>
      <c r="M290" s="129"/>
      <c r="N290" s="130"/>
      <c r="O290" s="127"/>
      <c r="P290" s="127"/>
      <c r="Q290" s="131"/>
    </row>
    <row r="291" spans="1:17" s="126" customFormat="1" x14ac:dyDescent="0.25">
      <c r="A291" s="175">
        <f>Données!A291</f>
        <v>5923</v>
      </c>
      <c r="B291" s="353" t="str">
        <f>Données!B291</f>
        <v>Oppens</v>
      </c>
      <c r="C291" s="175">
        <f>Données!AR291</f>
        <v>0</v>
      </c>
      <c r="D291" s="354">
        <f>Données!Z291</f>
        <v>202</v>
      </c>
      <c r="E291" s="128">
        <f>Données!X291</f>
        <v>81</v>
      </c>
      <c r="F291" s="31">
        <f>VPI!L291</f>
        <v>333858.17000000004</v>
      </c>
      <c r="G291" s="8">
        <f t="shared" si="23"/>
        <v>8243.4116049382719</v>
      </c>
      <c r="H291" s="26">
        <f t="shared" si="24"/>
        <v>18031.161259150795</v>
      </c>
      <c r="I291" s="8">
        <f t="shared" si="25"/>
        <v>8243.4116049382719</v>
      </c>
      <c r="J291" s="8">
        <f>VPI!R291</f>
        <v>4459.4095061728403</v>
      </c>
      <c r="K291" s="236">
        <f t="shared" si="26"/>
        <v>5262.8446009638237</v>
      </c>
      <c r="L291" s="342">
        <f t="shared" si="27"/>
        <v>13506.256205902097</v>
      </c>
      <c r="M291" s="129"/>
      <c r="N291" s="271"/>
      <c r="O291" s="127"/>
      <c r="P291" s="127"/>
      <c r="Q291" s="131"/>
    </row>
    <row r="292" spans="1:17" s="126" customFormat="1" x14ac:dyDescent="0.25">
      <c r="A292" s="175">
        <f>Données!A292</f>
        <v>5924</v>
      </c>
      <c r="B292" s="353" t="str">
        <f>Données!B292</f>
        <v>Orges</v>
      </c>
      <c r="C292" s="175">
        <f>Données!AR292</f>
        <v>0</v>
      </c>
      <c r="D292" s="354">
        <f>Données!Z292</f>
        <v>407</v>
      </c>
      <c r="E292" s="128">
        <f>Données!X292</f>
        <v>74</v>
      </c>
      <c r="F292" s="31">
        <f>VPI!L292</f>
        <v>799424.65999999992</v>
      </c>
      <c r="G292" s="8">
        <f t="shared" si="23"/>
        <v>21606.07189189189</v>
      </c>
      <c r="H292" s="26">
        <f t="shared" si="24"/>
        <v>36330.112041952343</v>
      </c>
      <c r="I292" s="8">
        <f t="shared" si="25"/>
        <v>21606.07189189189</v>
      </c>
      <c r="J292" s="8">
        <f>VPI!R292</f>
        <v>11637.592027027025</v>
      </c>
      <c r="K292" s="236">
        <f t="shared" si="26"/>
        <v>13734.29335944125</v>
      </c>
      <c r="L292" s="342">
        <f t="shared" si="27"/>
        <v>35340.36525133314</v>
      </c>
      <c r="M292" s="129"/>
      <c r="N292" s="130"/>
      <c r="O292" s="127"/>
      <c r="P292" s="127"/>
      <c r="Q292" s="131"/>
    </row>
    <row r="293" spans="1:17" s="126" customFormat="1" x14ac:dyDescent="0.25">
      <c r="A293" s="175">
        <f>Données!A293</f>
        <v>5925</v>
      </c>
      <c r="B293" s="353" t="str">
        <f>Données!B293</f>
        <v>Orzens</v>
      </c>
      <c r="C293" s="175">
        <f>Données!AR293</f>
        <v>0</v>
      </c>
      <c r="D293" s="354">
        <f>Données!Z293</f>
        <v>212</v>
      </c>
      <c r="E293" s="128">
        <f>Données!X293</f>
        <v>79</v>
      </c>
      <c r="F293" s="31">
        <f>VPI!L293</f>
        <v>379499.44999999995</v>
      </c>
      <c r="G293" s="8">
        <f t="shared" si="23"/>
        <v>9607.5810126582273</v>
      </c>
      <c r="H293" s="26">
        <f t="shared" si="24"/>
        <v>18923.793004653311</v>
      </c>
      <c r="I293" s="8">
        <f t="shared" si="25"/>
        <v>9607.5810126582273</v>
      </c>
      <c r="J293" s="8">
        <f>VPI!R293</f>
        <v>5249.0272151898725</v>
      </c>
      <c r="K293" s="236">
        <f t="shared" si="26"/>
        <v>6194.7247727608665</v>
      </c>
      <c r="L293" s="342">
        <f t="shared" si="27"/>
        <v>15802.305785419094</v>
      </c>
      <c r="M293" s="129"/>
      <c r="N293" s="130"/>
      <c r="O293" s="127"/>
      <c r="P293" s="127"/>
      <c r="Q293" s="131"/>
    </row>
    <row r="294" spans="1:17" s="126" customFormat="1" x14ac:dyDescent="0.25">
      <c r="A294" s="175">
        <f>Données!A294</f>
        <v>5926</v>
      </c>
      <c r="B294" s="353" t="str">
        <f>Données!B294</f>
        <v>Pomy</v>
      </c>
      <c r="C294" s="175">
        <f>Données!AR294</f>
        <v>1</v>
      </c>
      <c r="D294" s="354">
        <f>Données!Z294</f>
        <v>868</v>
      </c>
      <c r="E294" s="128">
        <f>Données!X294</f>
        <v>71</v>
      </c>
      <c r="F294" s="31">
        <f>VPI!L294</f>
        <v>1761814.9899999998</v>
      </c>
      <c r="G294" s="8">
        <f t="shared" si="23"/>
        <v>49628.591267605625</v>
      </c>
      <c r="H294" s="26">
        <f t="shared" si="24"/>
        <v>77480.43550961827</v>
      </c>
      <c r="I294" s="8">
        <f t="shared" si="25"/>
        <v>0</v>
      </c>
      <c r="J294" s="8">
        <f>VPI!R294</f>
        <v>26782.680140845066</v>
      </c>
      <c r="K294" s="236">
        <f t="shared" si="26"/>
        <v>31608.015227907697</v>
      </c>
      <c r="L294" s="342">
        <f t="shared" si="27"/>
        <v>31608.015227907697</v>
      </c>
      <c r="M294" s="129"/>
      <c r="N294" s="130"/>
      <c r="O294" s="127"/>
      <c r="P294" s="127"/>
      <c r="Q294" s="131"/>
    </row>
    <row r="295" spans="1:17" s="126" customFormat="1" x14ac:dyDescent="0.25">
      <c r="A295" s="175">
        <f>Données!A295</f>
        <v>5928</v>
      </c>
      <c r="B295" s="353" t="str">
        <f>Données!B295</f>
        <v>Rovray</v>
      </c>
      <c r="C295" s="175">
        <f>Données!AR295</f>
        <v>0</v>
      </c>
      <c r="D295" s="354">
        <f>Données!Z295</f>
        <v>197</v>
      </c>
      <c r="E295" s="128">
        <f>Données!X295</f>
        <v>71.5</v>
      </c>
      <c r="F295" s="31">
        <f>VPI!L295</f>
        <v>338033.95</v>
      </c>
      <c r="G295" s="8">
        <f t="shared" si="23"/>
        <v>9455.4951048951061</v>
      </c>
      <c r="H295" s="26">
        <f t="shared" si="24"/>
        <v>17584.845386399538</v>
      </c>
      <c r="I295" s="8">
        <f t="shared" si="25"/>
        <v>9455.4951048951061</v>
      </c>
      <c r="J295" s="8">
        <f>VPI!R295</f>
        <v>5095.519580419581</v>
      </c>
      <c r="K295" s="236">
        <f t="shared" si="26"/>
        <v>6013.5602428518605</v>
      </c>
      <c r="L295" s="342">
        <f t="shared" si="27"/>
        <v>15469.055347746966</v>
      </c>
      <c r="M295" s="129"/>
      <c r="N295" s="130"/>
      <c r="O295" s="127"/>
      <c r="P295" s="127"/>
      <c r="Q295" s="131"/>
    </row>
    <row r="296" spans="1:17" s="126" customFormat="1" x14ac:dyDescent="0.25">
      <c r="A296" s="175">
        <f>Données!A296</f>
        <v>5929</v>
      </c>
      <c r="B296" s="353" t="str">
        <f>Données!B296</f>
        <v>Suchy</v>
      </c>
      <c r="C296" s="175">
        <f>Données!AR296</f>
        <v>1</v>
      </c>
      <c r="D296" s="354">
        <f>Données!Z296</f>
        <v>671</v>
      </c>
      <c r="E296" s="128">
        <f>Données!X296</f>
        <v>70</v>
      </c>
      <c r="F296" s="31">
        <f>VPI!L296</f>
        <v>1394249.2799999998</v>
      </c>
      <c r="G296" s="8">
        <f t="shared" si="23"/>
        <v>39835.693714285706</v>
      </c>
      <c r="H296" s="26">
        <f t="shared" si="24"/>
        <v>59895.590123218732</v>
      </c>
      <c r="I296" s="8">
        <f t="shared" si="25"/>
        <v>0</v>
      </c>
      <c r="J296" s="8">
        <f>VPI!R296</f>
        <v>21603.071857142855</v>
      </c>
      <c r="K296" s="236">
        <f t="shared" si="26"/>
        <v>25495.216335306257</v>
      </c>
      <c r="L296" s="342">
        <f t="shared" si="27"/>
        <v>25495.216335306257</v>
      </c>
      <c r="M296" s="129"/>
      <c r="N296" s="130"/>
      <c r="O296" s="127"/>
      <c r="P296" s="127"/>
      <c r="Q296" s="131"/>
    </row>
    <row r="297" spans="1:17" s="126" customFormat="1" x14ac:dyDescent="0.25">
      <c r="A297" s="175">
        <f>Données!A297</f>
        <v>5930</v>
      </c>
      <c r="B297" s="353" t="str">
        <f>Données!B297</f>
        <v>Suscévaz</v>
      </c>
      <c r="C297" s="175">
        <f>Données!AR297</f>
        <v>1</v>
      </c>
      <c r="D297" s="354">
        <f>Données!Z297</f>
        <v>220</v>
      </c>
      <c r="E297" s="128">
        <f>Données!X297</f>
        <v>72</v>
      </c>
      <c r="F297" s="31">
        <f>VPI!L297</f>
        <v>381589.79</v>
      </c>
      <c r="G297" s="8">
        <f t="shared" si="23"/>
        <v>10599.716388888888</v>
      </c>
      <c r="H297" s="26">
        <f t="shared" si="24"/>
        <v>19637.898401055321</v>
      </c>
      <c r="I297" s="8">
        <f t="shared" si="25"/>
        <v>0</v>
      </c>
      <c r="J297" s="8">
        <f>VPI!R297</f>
        <v>5749.1651388888886</v>
      </c>
      <c r="K297" s="236">
        <f t="shared" si="26"/>
        <v>6784.9706714237118</v>
      </c>
      <c r="L297" s="342">
        <f t="shared" si="27"/>
        <v>6784.9706714237118</v>
      </c>
      <c r="M297" s="129"/>
      <c r="N297" s="130"/>
      <c r="O297" s="127"/>
      <c r="P297" s="127"/>
      <c r="Q297" s="131"/>
    </row>
    <row r="298" spans="1:17" s="126" customFormat="1" x14ac:dyDescent="0.25">
      <c r="A298" s="175">
        <f>Données!A298</f>
        <v>5931</v>
      </c>
      <c r="B298" s="353" t="str">
        <f>Données!B298</f>
        <v>Treycovagnes</v>
      </c>
      <c r="C298" s="175">
        <f>Données!AR298</f>
        <v>1</v>
      </c>
      <c r="D298" s="354">
        <f>Données!Z298</f>
        <v>520</v>
      </c>
      <c r="E298" s="128">
        <f>Données!X298</f>
        <v>75</v>
      </c>
      <c r="F298" s="31">
        <f>VPI!L298</f>
        <v>1136175.0599999998</v>
      </c>
      <c r="G298" s="8">
        <f t="shared" si="23"/>
        <v>30298.001599999996</v>
      </c>
      <c r="H298" s="26">
        <f t="shared" si="24"/>
        <v>46416.850766130759</v>
      </c>
      <c r="I298" s="8">
        <f t="shared" si="25"/>
        <v>0</v>
      </c>
      <c r="J298" s="8">
        <f>VPI!R298</f>
        <v>16306.743466666663</v>
      </c>
      <c r="K298" s="236">
        <f t="shared" si="26"/>
        <v>19244.66831181449</v>
      </c>
      <c r="L298" s="342">
        <f t="shared" si="27"/>
        <v>19244.66831181449</v>
      </c>
      <c r="M298" s="129"/>
      <c r="N298" s="130"/>
      <c r="O298" s="127"/>
      <c r="P298" s="127"/>
      <c r="Q298" s="131"/>
    </row>
    <row r="299" spans="1:17" s="126" customFormat="1" x14ac:dyDescent="0.25">
      <c r="A299" s="175">
        <f>Données!A299</f>
        <v>5932</v>
      </c>
      <c r="B299" s="353" t="str">
        <f>Données!B299</f>
        <v>Ursins</v>
      </c>
      <c r="C299" s="175">
        <f>Données!AR299</f>
        <v>0</v>
      </c>
      <c r="D299" s="354">
        <f>Données!Z299</f>
        <v>230</v>
      </c>
      <c r="E299" s="128">
        <f>Données!X299</f>
        <v>75</v>
      </c>
      <c r="F299" s="31">
        <f>VPI!L299</f>
        <v>560073.75</v>
      </c>
      <c r="G299" s="8">
        <f t="shared" si="23"/>
        <v>14935.3</v>
      </c>
      <c r="H299" s="26">
        <f t="shared" si="24"/>
        <v>20530.530146557838</v>
      </c>
      <c r="I299" s="8">
        <f t="shared" si="25"/>
        <v>14935.3</v>
      </c>
      <c r="J299" s="8">
        <f>VPI!R299</f>
        <v>7945.6340000000009</v>
      </c>
      <c r="K299" s="236">
        <f t="shared" si="26"/>
        <v>9377.1690938566717</v>
      </c>
      <c r="L299" s="342">
        <f t="shared" si="27"/>
        <v>24312.469093856671</v>
      </c>
      <c r="M299" s="129"/>
      <c r="N299" s="130"/>
      <c r="O299" s="127"/>
      <c r="P299" s="127"/>
      <c r="Q299" s="131"/>
    </row>
    <row r="300" spans="1:17" s="126" customFormat="1" x14ac:dyDescent="0.25">
      <c r="A300" s="175">
        <f>Données!A300</f>
        <v>5933</v>
      </c>
      <c r="B300" s="353" t="str">
        <f>Données!B300</f>
        <v>Valeyres-sous-Montagny</v>
      </c>
      <c r="C300" s="175">
        <f>Données!AR300</f>
        <v>0</v>
      </c>
      <c r="D300" s="354">
        <f>Données!Z300</f>
        <v>703</v>
      </c>
      <c r="E300" s="128">
        <f>Données!X300</f>
        <v>70.5</v>
      </c>
      <c r="F300" s="31">
        <f>VPI!L300</f>
        <v>1528610.58</v>
      </c>
      <c r="G300" s="8">
        <f t="shared" si="23"/>
        <v>43364.839148936175</v>
      </c>
      <c r="H300" s="26">
        <f t="shared" si="24"/>
        <v>62752.01170882678</v>
      </c>
      <c r="I300" s="8">
        <f t="shared" si="25"/>
        <v>43364.839148936175</v>
      </c>
      <c r="J300" s="8">
        <f>VPI!R300</f>
        <v>23478.314609929079</v>
      </c>
      <c r="K300" s="236">
        <f t="shared" si="26"/>
        <v>27708.314545581947</v>
      </c>
      <c r="L300" s="342">
        <f t="shared" si="27"/>
        <v>71073.153694518114</v>
      </c>
      <c r="M300" s="129"/>
      <c r="N300" s="130"/>
      <c r="O300" s="127"/>
      <c r="P300" s="127"/>
      <c r="Q300" s="131"/>
    </row>
    <row r="301" spans="1:17" s="126" customFormat="1" x14ac:dyDescent="0.25">
      <c r="A301" s="175">
        <f>Données!A301</f>
        <v>5934</v>
      </c>
      <c r="B301" s="353" t="str">
        <f>Données!B301</f>
        <v>Valeyres-sous-Ursins</v>
      </c>
      <c r="C301" s="175">
        <f>Données!AR301</f>
        <v>0</v>
      </c>
      <c r="D301" s="354">
        <f>Données!Z301</f>
        <v>241</v>
      </c>
      <c r="E301" s="128">
        <f>Données!X301</f>
        <v>77</v>
      </c>
      <c r="F301" s="31">
        <f>VPI!L301</f>
        <v>1261162.01</v>
      </c>
      <c r="G301" s="8">
        <f t="shared" si="23"/>
        <v>32757.454805194804</v>
      </c>
      <c r="H301" s="26">
        <f t="shared" si="24"/>
        <v>21512.425066610602</v>
      </c>
      <c r="I301" s="8">
        <f t="shared" si="25"/>
        <v>21512.425066610602</v>
      </c>
      <c r="J301" s="8">
        <f>VPI!R301</f>
        <v>16787.585844155841</v>
      </c>
      <c r="K301" s="236">
        <f t="shared" si="26"/>
        <v>19812.142258035532</v>
      </c>
      <c r="L301" s="342">
        <f t="shared" si="27"/>
        <v>41324.567324646137</v>
      </c>
      <c r="M301" s="129"/>
      <c r="N301" s="130"/>
      <c r="O301" s="127"/>
      <c r="P301" s="127"/>
      <c r="Q301" s="131"/>
    </row>
    <row r="302" spans="1:17" s="126" customFormat="1" x14ac:dyDescent="0.25">
      <c r="A302" s="175">
        <f>Données!A302</f>
        <v>5935</v>
      </c>
      <c r="B302" s="353" t="str">
        <f>Données!B302</f>
        <v>Villars-Epeney</v>
      </c>
      <c r="C302" s="175">
        <f>Données!AR302</f>
        <v>0</v>
      </c>
      <c r="D302" s="354">
        <f>Données!Z302</f>
        <v>92</v>
      </c>
      <c r="E302" s="128">
        <f>Données!X302</f>
        <v>68</v>
      </c>
      <c r="F302" s="31">
        <f>VPI!L302</f>
        <v>436398.09</v>
      </c>
      <c r="G302" s="8">
        <f t="shared" si="23"/>
        <v>12835.23794117647</v>
      </c>
      <c r="H302" s="26">
        <f t="shared" si="24"/>
        <v>8212.212058623134</v>
      </c>
      <c r="I302" s="8">
        <f t="shared" si="25"/>
        <v>8212.212058623134</v>
      </c>
      <c r="J302" s="8">
        <f>VPI!R302</f>
        <v>6724.4138235294122</v>
      </c>
      <c r="K302" s="236">
        <f t="shared" si="26"/>
        <v>7935.9262558912933</v>
      </c>
      <c r="L302" s="342">
        <f t="shared" si="27"/>
        <v>16148.138314514428</v>
      </c>
      <c r="M302" s="129"/>
      <c r="N302" s="130"/>
      <c r="O302" s="127"/>
      <c r="P302" s="127"/>
      <c r="Q302" s="131"/>
    </row>
    <row r="303" spans="1:17" s="126" customFormat="1" x14ac:dyDescent="0.25">
      <c r="A303" s="175">
        <f>Données!A303</f>
        <v>5937</v>
      </c>
      <c r="B303" s="353" t="str">
        <f>Données!B303</f>
        <v>Vugelles-La Mothe</v>
      </c>
      <c r="C303" s="175">
        <f>Données!AR303</f>
        <v>0</v>
      </c>
      <c r="D303" s="354">
        <f>Données!Z303</f>
        <v>142</v>
      </c>
      <c r="E303" s="128">
        <f>Données!X303</f>
        <v>70</v>
      </c>
      <c r="F303" s="31">
        <f>VPI!L303</f>
        <v>216167.49000000002</v>
      </c>
      <c r="G303" s="8">
        <f t="shared" si="23"/>
        <v>6176.2140000000009</v>
      </c>
      <c r="H303" s="26">
        <f t="shared" si="24"/>
        <v>12675.370786135707</v>
      </c>
      <c r="I303" s="8">
        <f t="shared" si="25"/>
        <v>6176.2140000000009</v>
      </c>
      <c r="J303" s="8">
        <f>VPI!R303</f>
        <v>3343.8941428571434</v>
      </c>
      <c r="K303" s="236">
        <f t="shared" si="26"/>
        <v>3946.3510161087643</v>
      </c>
      <c r="L303" s="342">
        <f t="shared" si="27"/>
        <v>10122.565016108765</v>
      </c>
      <c r="M303" s="129"/>
      <c r="N303" s="130"/>
      <c r="O303" s="127"/>
      <c r="P303" s="127"/>
      <c r="Q303" s="131"/>
    </row>
    <row r="304" spans="1:17" s="126" customFormat="1" x14ac:dyDescent="0.25">
      <c r="A304" s="175">
        <f>Données!A304</f>
        <v>5938</v>
      </c>
      <c r="B304" s="353" t="str">
        <f>Données!B304</f>
        <v>Yverdon-les-Bains</v>
      </c>
      <c r="C304" s="175">
        <f>Données!AR304</f>
        <v>1</v>
      </c>
      <c r="D304" s="354">
        <f>Données!Z304</f>
        <v>29897</v>
      </c>
      <c r="E304" s="128">
        <f>Données!X304</f>
        <v>75</v>
      </c>
      <c r="F304" s="31">
        <f>VPI!L304</f>
        <v>53113161.310000002</v>
      </c>
      <c r="G304" s="8">
        <f t="shared" si="23"/>
        <v>1416350.9682666666</v>
      </c>
      <c r="H304" s="26">
        <f t="shared" si="24"/>
        <v>2668701.129528868</v>
      </c>
      <c r="I304" s="8">
        <f t="shared" si="25"/>
        <v>0</v>
      </c>
      <c r="J304" s="8">
        <f>VPI!R304</f>
        <v>780594.69946666679</v>
      </c>
      <c r="K304" s="236">
        <f t="shared" si="26"/>
        <v>921231.52043841477</v>
      </c>
      <c r="L304" s="342">
        <f t="shared" si="27"/>
        <v>921231.52043841477</v>
      </c>
      <c r="M304" s="129"/>
      <c r="N304" s="130"/>
      <c r="O304" s="127"/>
      <c r="P304" s="127"/>
      <c r="Q304" s="131"/>
    </row>
    <row r="305" spans="1:17" s="126" customFormat="1" x14ac:dyDescent="0.25">
      <c r="A305" s="176">
        <f>Données!A305</f>
        <v>5939</v>
      </c>
      <c r="B305" s="353" t="str">
        <f>Données!B305</f>
        <v>Yvonand</v>
      </c>
      <c r="C305" s="176">
        <f>Données!AR305</f>
        <v>0</v>
      </c>
      <c r="D305" s="354">
        <f>Données!Z305</f>
        <v>3535</v>
      </c>
      <c r="E305" s="128">
        <f>Données!X305</f>
        <v>71.5</v>
      </c>
      <c r="F305" s="31">
        <f>VPI!L305</f>
        <v>6312733.9500000002</v>
      </c>
      <c r="G305" s="225">
        <f t="shared" si="23"/>
        <v>176579.97062937063</v>
      </c>
      <c r="H305" s="70">
        <f t="shared" si="24"/>
        <v>315545.3220351389</v>
      </c>
      <c r="I305" s="8">
        <f t="shared" si="25"/>
        <v>176579.97062937063</v>
      </c>
      <c r="J305" s="225">
        <f>VPI!R305</f>
        <v>97394.348251748248</v>
      </c>
      <c r="K305" s="51">
        <f t="shared" si="26"/>
        <v>114941.52289705354</v>
      </c>
      <c r="L305" s="343">
        <f t="shared" si="27"/>
        <v>291521.49352642416</v>
      </c>
      <c r="M305" s="129"/>
      <c r="N305" s="130"/>
      <c r="O305" s="127"/>
      <c r="P305" s="127"/>
      <c r="Q305" s="131"/>
    </row>
    <row r="306" spans="1:17" s="126" customFormat="1" x14ac:dyDescent="0.25">
      <c r="A306" s="25"/>
      <c r="B306" s="74">
        <f>COUNTA(B6:B305)</f>
        <v>300</v>
      </c>
      <c r="C306" s="176">
        <f>SUM(C6:C305)</f>
        <v>51</v>
      </c>
      <c r="D306" s="137">
        <f>SUM(D6:D305)</f>
        <v>831327</v>
      </c>
      <c r="E306" s="137"/>
      <c r="F306" s="137">
        <f t="shared" ref="F306:J306" si="28">SUM(F6:F305)</f>
        <v>2505291591.1699982</v>
      </c>
      <c r="G306" s="141">
        <f>SUM(G6:G305)</f>
        <v>74206887.109336898</v>
      </c>
      <c r="H306" s="137">
        <f t="shared" si="28"/>
        <v>74206887.109336883</v>
      </c>
      <c r="I306" s="137">
        <f t="shared" si="28"/>
        <v>23499059.994744197</v>
      </c>
      <c r="J306" s="141">
        <f t="shared" si="28"/>
        <v>40270921.104040481</v>
      </c>
      <c r="K306" s="141">
        <f>SUM(K6:K305)</f>
        <v>47526382.005255789</v>
      </c>
      <c r="L306" s="406">
        <f>SUM(L6:L305)</f>
        <v>71025442.00000003</v>
      </c>
      <c r="M306" s="127"/>
      <c r="N306" s="266"/>
      <c r="O306" s="127"/>
      <c r="P306" s="127"/>
    </row>
    <row r="307" spans="1:17" s="126" customFormat="1" x14ac:dyDescent="0.25">
      <c r="A307" s="125"/>
      <c r="B307" s="125"/>
      <c r="C307" s="125"/>
      <c r="D307" s="125"/>
      <c r="E307" s="125"/>
      <c r="F307" s="125"/>
      <c r="G307" s="125"/>
      <c r="H307" s="140"/>
      <c r="I307" s="125"/>
      <c r="J307" s="132"/>
      <c r="K307" s="125"/>
      <c r="L307" s="132"/>
      <c r="M307" s="125"/>
      <c r="N307" s="127"/>
      <c r="P307" s="127"/>
      <c r="Q307" s="127"/>
    </row>
    <row r="308" spans="1:17" x14ac:dyDescent="0.25">
      <c r="H308" s="140"/>
      <c r="I308" s="140"/>
      <c r="J308" s="140"/>
      <c r="K308" s="140"/>
      <c r="L308" s="230"/>
      <c r="M308" s="140"/>
    </row>
  </sheetData>
  <sheetProtection sheet="1" objects="1" scenarios="1"/>
  <protectedRanges>
    <protectedRange sqref="C6:C305" name="Plage1"/>
  </protectedRanges>
  <mergeCells count="11">
    <mergeCell ref="E1:F1"/>
    <mergeCell ref="L4:L5"/>
    <mergeCell ref="B4:B5"/>
    <mergeCell ref="A4:A5"/>
    <mergeCell ref="J4:J5"/>
    <mergeCell ref="I4:I5"/>
    <mergeCell ref="H4:H5"/>
    <mergeCell ref="F4:F5"/>
    <mergeCell ref="E4:E5"/>
    <mergeCell ref="C4:C5"/>
    <mergeCell ref="G4:G5"/>
  </mergeCells>
  <hyperlinks>
    <hyperlink ref="C1" location="Taux!A1" display="← Précédent" xr:uid="{C8901635-E034-47DD-93A2-BAA21240173B}"/>
    <hyperlink ref="E1:F1" location="Synthèse!A1" display="Suivant →" xr:uid="{E0670AFE-D86B-4F7C-A3A7-5583CCD7E9BB}"/>
    <hyperlink ref="D1" location="'Table des matières'!A1" display="Table des             matières" xr:uid="{47FAC582-202D-4B6D-B66A-647C53FD6C30}"/>
  </hyperlinks>
  <printOptions horizontalCentered="1" verticalCentered="1"/>
  <pageMargins left="0.78740157480314965" right="0.78740157480314965" top="0.98425196850393704" bottom="0.98425196850393704" header="0.51181102362204722" footer="0.51181102362204722"/>
  <pageSetup paperSize="8" fitToHeight="9" orientation="landscape" r:id="rId1"/>
  <headerFooter alignWithMargins="0">
    <oddFooter>&amp;L&amp;8SCL - Division finances communales&amp;C- &amp;N -&amp;R&amp;8ASFiCo/FW/Juillet 2014</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7">
    <tabColor theme="3" tint="0.59999389629810485"/>
  </sheetPr>
  <dimension ref="A1:J307"/>
  <sheetViews>
    <sheetView topLeftCell="A130" workbookViewId="0">
      <selection activeCell="C3" sqref="C3:E3"/>
    </sheetView>
  </sheetViews>
  <sheetFormatPr baseColWidth="10" defaultColWidth="10.75" defaultRowHeight="15" x14ac:dyDescent="0.25"/>
  <cols>
    <col min="1" max="1" width="7.5" style="11" customWidth="1"/>
    <col min="2" max="2" width="20.875" style="11" customWidth="1"/>
    <col min="3" max="3" width="7.5" style="13" customWidth="1"/>
    <col min="4" max="4" width="10.5" style="85" customWidth="1"/>
    <col min="5" max="5" width="16.125" style="85" customWidth="1"/>
    <col min="6" max="6" width="12.5" style="11" customWidth="1"/>
    <col min="7" max="7" width="15.625" style="11" customWidth="1"/>
    <col min="8" max="8" width="10.25" style="217" customWidth="1"/>
    <col min="9" max="9" width="12" style="11" bestFit="1" customWidth="1"/>
    <col min="10" max="10" width="10.75" style="11" customWidth="1"/>
    <col min="11" max="16384" width="10.75" style="11"/>
  </cols>
  <sheetData>
    <row r="1" spans="1:10" s="33" customFormat="1" ht="26.25" x14ac:dyDescent="0.2">
      <c r="A1" s="295" t="s">
        <v>428</v>
      </c>
      <c r="B1" s="296"/>
      <c r="C1" s="404" t="s">
        <v>405</v>
      </c>
      <c r="D1" s="308" t="s">
        <v>397</v>
      </c>
      <c r="E1" s="303" t="s">
        <v>406</v>
      </c>
      <c r="F1" s="298"/>
      <c r="G1" s="49"/>
      <c r="H1" s="219"/>
      <c r="I1" s="49"/>
    </row>
    <row r="2" spans="1:10" s="33" customFormat="1" ht="15.75" x14ac:dyDescent="0.2">
      <c r="A2" s="356" t="str">
        <f>Paramètres!B4</f>
        <v>Décompte 2022</v>
      </c>
      <c r="C2" s="80"/>
      <c r="D2" s="164"/>
      <c r="E2" s="164"/>
      <c r="F2" s="49"/>
      <c r="G2" s="49"/>
      <c r="H2" s="219"/>
      <c r="I2" s="49"/>
      <c r="J2" s="49"/>
    </row>
    <row r="3" spans="1:10" x14ac:dyDescent="0.25">
      <c r="D3" s="11"/>
      <c r="E3" s="11"/>
    </row>
    <row r="4" spans="1:10" ht="53.25" customHeight="1" x14ac:dyDescent="0.25">
      <c r="A4" s="559" t="s">
        <v>44</v>
      </c>
      <c r="B4" s="559" t="s">
        <v>84</v>
      </c>
      <c r="C4" s="558" t="s">
        <v>301</v>
      </c>
      <c r="D4" s="561" t="s">
        <v>257</v>
      </c>
      <c r="E4" s="561" t="s">
        <v>413</v>
      </c>
      <c r="F4" s="562" t="s">
        <v>277</v>
      </c>
      <c r="G4" s="563" t="s">
        <v>394</v>
      </c>
      <c r="H4" s="560" t="s">
        <v>410</v>
      </c>
      <c r="I4" s="561" t="s">
        <v>124</v>
      </c>
    </row>
    <row r="5" spans="1:10" s="87" customFormat="1" x14ac:dyDescent="0.25">
      <c r="A5" s="393">
        <f>Données!A6</f>
        <v>5401</v>
      </c>
      <c r="B5" s="392" t="str">
        <f>Données!B6</f>
        <v>Aigle</v>
      </c>
      <c r="C5" s="396">
        <f>VPI!Q6</f>
        <v>66</v>
      </c>
      <c r="D5" s="400">
        <f>Données!Z6</f>
        <v>10943</v>
      </c>
      <c r="E5" s="177">
        <f>VPI!R6</f>
        <v>294634.51575757569</v>
      </c>
      <c r="F5" s="331">
        <f>'Péréquation directe'!K12</f>
        <v>-4506024.4410090633</v>
      </c>
      <c r="G5" s="507">
        <f>PCS!I12</f>
        <v>4779381.8301891685</v>
      </c>
      <c r="H5" s="341">
        <f>'Facture policière'!L6</f>
        <v>347717.71203473059</v>
      </c>
      <c r="I5" s="474">
        <f>SUM(F5:H5)</f>
        <v>621075.10121483577</v>
      </c>
      <c r="J5" s="179"/>
    </row>
    <row r="6" spans="1:10" s="87" customFormat="1" x14ac:dyDescent="0.25">
      <c r="A6" s="394">
        <f>Données!A7</f>
        <v>5402</v>
      </c>
      <c r="B6" s="398" t="str">
        <f>Données!B7</f>
        <v>Bex</v>
      </c>
      <c r="C6" s="396">
        <f>VPI!Q7</f>
        <v>71</v>
      </c>
      <c r="D6" s="401">
        <f>Données!Z7</f>
        <v>8165</v>
      </c>
      <c r="E6" s="177">
        <f>VPI!R7</f>
        <v>191961.18746478873</v>
      </c>
      <c r="F6" s="313">
        <f>'Péréquation directe'!K13</f>
        <v>-4258220.9644185472</v>
      </c>
      <c r="G6" s="326">
        <f>PCS!I13</f>
        <v>3156566.4650544017</v>
      </c>
      <c r="H6" s="342">
        <f>'Facture policière'!L7</f>
        <v>226546.11505071129</v>
      </c>
      <c r="I6" s="450">
        <f t="shared" ref="I6:I69" si="0">SUM(F6:H6)</f>
        <v>-875108.38431343425</v>
      </c>
      <c r="J6" s="179"/>
    </row>
    <row r="7" spans="1:10" s="87" customFormat="1" x14ac:dyDescent="0.25">
      <c r="A7" s="394">
        <f>Données!A8</f>
        <v>5403</v>
      </c>
      <c r="B7" s="398" t="str">
        <f>Données!B8</f>
        <v>Chessel</v>
      </c>
      <c r="C7" s="396">
        <f>VPI!Q8</f>
        <v>65</v>
      </c>
      <c r="D7" s="401">
        <f>Données!Z8</f>
        <v>528</v>
      </c>
      <c r="E7" s="177">
        <f>VPI!R8</f>
        <v>13521.430615384616</v>
      </c>
      <c r="F7" s="313">
        <f>'Péréquation directe'!K14</f>
        <v>-11994.108973925962</v>
      </c>
      <c r="G7" s="326">
        <f>PCS!I14</f>
        <v>173877.8221936679</v>
      </c>
      <c r="H7" s="342">
        <f>'Facture policière'!L8</f>
        <v>40042.717315531248</v>
      </c>
      <c r="I7" s="450">
        <f t="shared" si="0"/>
        <v>201926.43053527319</v>
      </c>
      <c r="J7" s="179"/>
    </row>
    <row r="8" spans="1:10" s="87" customFormat="1" x14ac:dyDescent="0.25">
      <c r="A8" s="394">
        <f>Données!A9</f>
        <v>5404</v>
      </c>
      <c r="B8" s="398" t="str">
        <f>Données!B9</f>
        <v>Corbeyrier</v>
      </c>
      <c r="C8" s="396">
        <f>VPI!Q9</f>
        <v>74</v>
      </c>
      <c r="D8" s="401">
        <f>Données!Z9</f>
        <v>440</v>
      </c>
      <c r="E8" s="177">
        <f>VPI!R9</f>
        <v>11663.247882882884</v>
      </c>
      <c r="F8" s="313">
        <f>'Péréquation directe'!K15</f>
        <v>-43979.106797453074</v>
      </c>
      <c r="G8" s="326">
        <f>PCS!I15</f>
        <v>240436.6856603307</v>
      </c>
      <c r="H8" s="342">
        <f>'Facture policière'!L9</f>
        <v>34619.810994136067</v>
      </c>
      <c r="I8" s="450">
        <f t="shared" si="0"/>
        <v>231077.38985701368</v>
      </c>
      <c r="J8" s="179"/>
    </row>
    <row r="9" spans="1:10" s="87" customFormat="1" x14ac:dyDescent="0.25">
      <c r="A9" s="394">
        <f>Données!A10</f>
        <v>5405</v>
      </c>
      <c r="B9" s="398" t="str">
        <f>Données!B10</f>
        <v>Gryon</v>
      </c>
      <c r="C9" s="396">
        <f>VPI!Q10</f>
        <v>73.5</v>
      </c>
      <c r="D9" s="401">
        <f>Données!Z10</f>
        <v>1390</v>
      </c>
      <c r="E9" s="177">
        <f>VPI!R10</f>
        <v>73286.214467120197</v>
      </c>
      <c r="F9" s="313">
        <f>'Péréquation directe'!K16</f>
        <v>1137701.6929653725</v>
      </c>
      <c r="G9" s="326">
        <f>PCS!I16</f>
        <v>1534568.4400685588</v>
      </c>
      <c r="H9" s="342">
        <f>'Facture policière'!L10</f>
        <v>210033.79266318015</v>
      </c>
      <c r="I9" s="450">
        <f t="shared" si="0"/>
        <v>2882303.9256971115</v>
      </c>
      <c r="J9" s="179"/>
    </row>
    <row r="10" spans="1:10" s="87" customFormat="1" x14ac:dyDescent="0.25">
      <c r="A10" s="394">
        <f>Données!A11</f>
        <v>5406</v>
      </c>
      <c r="B10" s="398" t="str">
        <f>Données!B11</f>
        <v>Lavey-Morcles</v>
      </c>
      <c r="C10" s="396">
        <f>VPI!Q11</f>
        <v>71.5</v>
      </c>
      <c r="D10" s="401">
        <f>Données!Z11</f>
        <v>977</v>
      </c>
      <c r="E10" s="177">
        <f>VPI!R11</f>
        <v>22111.529381387842</v>
      </c>
      <c r="F10" s="313">
        <f>'Péréquation directe'!K17</f>
        <v>-216581.07410930912</v>
      </c>
      <c r="G10" s="326">
        <f>PCS!I17</f>
        <v>424926.29425514146</v>
      </c>
      <c r="H10" s="342">
        <f>'Facture policière'!L11</f>
        <v>65635.409976528943</v>
      </c>
      <c r="I10" s="450">
        <f t="shared" si="0"/>
        <v>273980.6301223613</v>
      </c>
      <c r="J10" s="179"/>
    </row>
    <row r="11" spans="1:10" s="87" customFormat="1" x14ac:dyDescent="0.25">
      <c r="A11" s="394">
        <f>Données!A12</f>
        <v>5407</v>
      </c>
      <c r="B11" s="398" t="str">
        <f>Données!B12</f>
        <v>Leysin</v>
      </c>
      <c r="C11" s="396">
        <f>VPI!Q12</f>
        <v>78</v>
      </c>
      <c r="D11" s="401">
        <f>Données!Z12</f>
        <v>3752</v>
      </c>
      <c r="E11" s="177">
        <f>VPI!R12</f>
        <v>89841.412521367529</v>
      </c>
      <c r="F11" s="313">
        <f>'Péréquation directe'!K18</f>
        <v>-1749019.0109240308</v>
      </c>
      <c r="G11" s="326">
        <f>PCS!I18</f>
        <v>1522223.7491072789</v>
      </c>
      <c r="H11" s="342">
        <f>'Facture policière'!L12</f>
        <v>261995.47509932017</v>
      </c>
      <c r="I11" s="450">
        <f t="shared" si="0"/>
        <v>35200.213282568264</v>
      </c>
      <c r="J11" s="179"/>
    </row>
    <row r="12" spans="1:10" s="87" customFormat="1" x14ac:dyDescent="0.25">
      <c r="A12" s="394">
        <f>Données!A13</f>
        <v>5408</v>
      </c>
      <c r="B12" s="398" t="str">
        <f>Données!B13</f>
        <v>Noville</v>
      </c>
      <c r="C12" s="396">
        <f>VPI!Q13</f>
        <v>75</v>
      </c>
      <c r="D12" s="401">
        <f>Données!Z13</f>
        <v>1169</v>
      </c>
      <c r="E12" s="177">
        <f>VPI!R13</f>
        <v>41973.380088888902</v>
      </c>
      <c r="F12" s="313">
        <f>'Péréquation directe'!K19</f>
        <v>286641.23066257581</v>
      </c>
      <c r="G12" s="326">
        <f>PCS!I19</f>
        <v>616919.96635608468</v>
      </c>
      <c r="H12" s="342">
        <f>'Facture policière'!L13</f>
        <v>123666.59704379812</v>
      </c>
      <c r="I12" s="450">
        <f t="shared" si="0"/>
        <v>1027227.7940624586</v>
      </c>
      <c r="J12" s="179"/>
    </row>
    <row r="13" spans="1:10" s="87" customFormat="1" x14ac:dyDescent="0.25">
      <c r="A13" s="394">
        <f>Données!A14</f>
        <v>5409</v>
      </c>
      <c r="B13" s="398" t="str">
        <f>Données!B14</f>
        <v>Ollon</v>
      </c>
      <c r="C13" s="396">
        <f>VPI!Q14</f>
        <v>68</v>
      </c>
      <c r="D13" s="401">
        <f>Données!Z14</f>
        <v>7971</v>
      </c>
      <c r="E13" s="177">
        <f>VPI!R14</f>
        <v>405938.29721719451</v>
      </c>
      <c r="F13" s="313">
        <f>'Péréquation directe'!K20</f>
        <v>4073182.65399238</v>
      </c>
      <c r="G13" s="326">
        <f>PCS!I20</f>
        <v>7443378.5928236805</v>
      </c>
      <c r="H13" s="342">
        <f>'Facture policière'!L14</f>
        <v>479074.67858170654</v>
      </c>
      <c r="I13" s="450">
        <f t="shared" si="0"/>
        <v>11995635.925397769</v>
      </c>
      <c r="J13" s="179"/>
    </row>
    <row r="14" spans="1:10" s="87" customFormat="1" x14ac:dyDescent="0.25">
      <c r="A14" s="394">
        <f>Données!A15</f>
        <v>5410</v>
      </c>
      <c r="B14" s="398" t="str">
        <f>Données!B15</f>
        <v>Ormont-Dessous</v>
      </c>
      <c r="C14" s="396">
        <f>VPI!Q15</f>
        <v>77</v>
      </c>
      <c r="D14" s="401">
        <f>Données!Z15</f>
        <v>1178</v>
      </c>
      <c r="E14" s="177">
        <f>VPI!R15</f>
        <v>38418.577099567097</v>
      </c>
      <c r="F14" s="313">
        <f>'Péréquation directe'!K21</f>
        <v>102737.66855324781</v>
      </c>
      <c r="G14" s="326">
        <f>PCS!I21</f>
        <v>706227.40638427949</v>
      </c>
      <c r="H14" s="342">
        <f>'Facture policière'!L15</f>
        <v>111528.53591714913</v>
      </c>
      <c r="I14" s="450">
        <f t="shared" si="0"/>
        <v>920493.61085467646</v>
      </c>
      <c r="J14" s="179"/>
    </row>
    <row r="15" spans="1:10" s="87" customFormat="1" x14ac:dyDescent="0.25">
      <c r="A15" s="394">
        <f>Données!A16</f>
        <v>5411</v>
      </c>
      <c r="B15" s="398" t="str">
        <f>Données!B16</f>
        <v>Ormont-Dessus</v>
      </c>
      <c r="C15" s="396">
        <f>VPI!Q16</f>
        <v>76</v>
      </c>
      <c r="D15" s="401">
        <f>Données!Z16</f>
        <v>1425</v>
      </c>
      <c r="E15" s="177">
        <f>VPI!R16</f>
        <v>76161.465657894747</v>
      </c>
      <c r="F15" s="313">
        <f>'Péréquation directe'!K22</f>
        <v>1180282.74258792</v>
      </c>
      <c r="G15" s="326">
        <f>PCS!I22</f>
        <v>1596559.6266558808</v>
      </c>
      <c r="H15" s="342">
        <f>'Facture policière'!L16</f>
        <v>217083.21517107065</v>
      </c>
      <c r="I15" s="450">
        <f t="shared" si="0"/>
        <v>2993925.5844148714</v>
      </c>
      <c r="J15" s="179"/>
    </row>
    <row r="16" spans="1:10" s="87" customFormat="1" x14ac:dyDescent="0.25">
      <c r="A16" s="394">
        <f>Données!A17</f>
        <v>5412</v>
      </c>
      <c r="B16" s="398" t="str">
        <f>Données!B17</f>
        <v>Rennaz</v>
      </c>
      <c r="C16" s="396">
        <f>VPI!Q17</f>
        <v>69</v>
      </c>
      <c r="D16" s="401">
        <f>Données!Z17</f>
        <v>929</v>
      </c>
      <c r="E16" s="177">
        <f>VPI!R17</f>
        <v>32240.440579710143</v>
      </c>
      <c r="F16" s="313">
        <f>'Péréquation directe'!K23</f>
        <v>256543.07997644594</v>
      </c>
      <c r="G16" s="326">
        <f>PCS!I23</f>
        <v>802242.41463401238</v>
      </c>
      <c r="H16" s="342">
        <f>'Facture policière'!L17</f>
        <v>92736.249472041745</v>
      </c>
      <c r="I16" s="450">
        <f t="shared" si="0"/>
        <v>1151521.7440825002</v>
      </c>
      <c r="J16" s="179"/>
    </row>
    <row r="17" spans="1:10" s="87" customFormat="1" x14ac:dyDescent="0.25">
      <c r="A17" s="394">
        <f>Données!A18</f>
        <v>5413</v>
      </c>
      <c r="B17" s="398" t="str">
        <f>Données!B18</f>
        <v>Roche</v>
      </c>
      <c r="C17" s="396">
        <f>VPI!Q18</f>
        <v>68</v>
      </c>
      <c r="D17" s="401">
        <f>Données!Z18</f>
        <v>1943</v>
      </c>
      <c r="E17" s="177">
        <f>VPI!R18</f>
        <v>42596.643504901964</v>
      </c>
      <c r="F17" s="313">
        <f>'Péréquation directe'!K24</f>
        <v>-603783.38295126602</v>
      </c>
      <c r="G17" s="326">
        <f>PCS!I24</f>
        <v>901218.02389351116</v>
      </c>
      <c r="H17" s="342">
        <f>'Facture policière'!L18</f>
        <v>125671.85638731139</v>
      </c>
      <c r="I17" s="450">
        <f t="shared" si="0"/>
        <v>423106.4973295565</v>
      </c>
      <c r="J17" s="179"/>
    </row>
    <row r="18" spans="1:10" s="87" customFormat="1" x14ac:dyDescent="0.25">
      <c r="A18" s="394">
        <f>Données!A19</f>
        <v>5414</v>
      </c>
      <c r="B18" s="398" t="str">
        <f>Données!B19</f>
        <v>Villeneuve</v>
      </c>
      <c r="C18" s="396">
        <f>VPI!Q19</f>
        <v>67.5</v>
      </c>
      <c r="D18" s="401">
        <f>Données!Z19</f>
        <v>5980</v>
      </c>
      <c r="E18" s="177">
        <f>VPI!R19</f>
        <v>165881.46711111109</v>
      </c>
      <c r="F18" s="313">
        <f>'Péréquation directe'!K25</f>
        <v>-1558994.7098828028</v>
      </c>
      <c r="G18" s="326">
        <f>PCS!I25</f>
        <v>2991786.2995681698</v>
      </c>
      <c r="H18" s="342">
        <f>'Facture policière'!L19</f>
        <v>483258.77975832403</v>
      </c>
      <c r="I18" s="450">
        <f t="shared" si="0"/>
        <v>1916050.3694436909</v>
      </c>
      <c r="J18" s="179"/>
    </row>
    <row r="19" spans="1:10" s="87" customFormat="1" x14ac:dyDescent="0.25">
      <c r="A19" s="394">
        <f>Données!A20</f>
        <v>5415</v>
      </c>
      <c r="B19" s="398" t="str">
        <f>Données!B20</f>
        <v>Yvorne</v>
      </c>
      <c r="C19" s="396">
        <f>VPI!Q20</f>
        <v>71.5</v>
      </c>
      <c r="D19" s="401">
        <f>Données!Z20</f>
        <v>1088</v>
      </c>
      <c r="E19" s="177">
        <f>VPI!R20</f>
        <v>33675.515990675995</v>
      </c>
      <c r="F19" s="313">
        <f>'Péréquation directe'!K26</f>
        <v>97185.487293755985</v>
      </c>
      <c r="G19" s="326">
        <f>PCS!I26</f>
        <v>587015.35422385996</v>
      </c>
      <c r="H19" s="342">
        <f>'Facture policière'!L20</f>
        <v>100366.54831441618</v>
      </c>
      <c r="I19" s="450">
        <f t="shared" si="0"/>
        <v>784567.38983203215</v>
      </c>
      <c r="J19" s="179"/>
    </row>
    <row r="20" spans="1:10" s="87" customFormat="1" x14ac:dyDescent="0.25">
      <c r="A20" s="394">
        <f>Données!A21</f>
        <v>5422</v>
      </c>
      <c r="B20" s="398" t="str">
        <f>Données!B21</f>
        <v>Aubonne</v>
      </c>
      <c r="C20" s="396">
        <f>VPI!Q21</f>
        <v>70</v>
      </c>
      <c r="D20" s="401">
        <f>Données!Z21</f>
        <v>3794</v>
      </c>
      <c r="E20" s="177">
        <f>VPI!R21</f>
        <v>297608.37742857152</v>
      </c>
      <c r="F20" s="313">
        <f>'Péréquation directe'!K27</f>
        <v>4454872.3197995806</v>
      </c>
      <c r="G20" s="326">
        <f>PCS!I27</f>
        <v>7270396.5294174887</v>
      </c>
      <c r="H20" s="342">
        <f>'Facture policière'!L21</f>
        <v>689891.84745923034</v>
      </c>
      <c r="I20" s="450">
        <f t="shared" si="0"/>
        <v>12415160.696676299</v>
      </c>
      <c r="J20" s="179"/>
    </row>
    <row r="21" spans="1:10" s="87" customFormat="1" x14ac:dyDescent="0.25">
      <c r="A21" s="394">
        <f>Données!A22</f>
        <v>5423</v>
      </c>
      <c r="B21" s="398" t="str">
        <f>Données!B22</f>
        <v>Ballens</v>
      </c>
      <c r="C21" s="396">
        <f>VPI!Q22</f>
        <v>73</v>
      </c>
      <c r="D21" s="401">
        <f>Données!Z22</f>
        <v>590</v>
      </c>
      <c r="E21" s="177">
        <f>VPI!R22</f>
        <v>17345.890547945211</v>
      </c>
      <c r="F21" s="313">
        <f>'Péréquation directe'!K28</f>
        <v>17755.978851792868</v>
      </c>
      <c r="G21" s="326">
        <f>PCS!I28</f>
        <v>310612.50892769074</v>
      </c>
      <c r="H21" s="342">
        <f>'Facture policière'!L22</f>
        <v>52806.8307919051</v>
      </c>
      <c r="I21" s="450">
        <f t="shared" si="0"/>
        <v>381175.31857138872</v>
      </c>
      <c r="J21" s="179"/>
    </row>
    <row r="22" spans="1:10" s="87" customFormat="1" x14ac:dyDescent="0.25">
      <c r="A22" s="394">
        <f>Données!A23</f>
        <v>5424</v>
      </c>
      <c r="B22" s="398" t="str">
        <f>Données!B23</f>
        <v>Berolle</v>
      </c>
      <c r="C22" s="396">
        <f>VPI!Q23</f>
        <v>75.5</v>
      </c>
      <c r="D22" s="401">
        <f>Données!Z23</f>
        <v>305</v>
      </c>
      <c r="E22" s="177">
        <f>VPI!R23</f>
        <v>10263.254304635762</v>
      </c>
      <c r="F22" s="313">
        <f>'Péréquation directe'!K29</f>
        <v>54993.01858581329</v>
      </c>
      <c r="G22" s="326">
        <f>PCS!I29</f>
        <v>158104.1897340763</v>
      </c>
      <c r="H22" s="342">
        <f>'Facture policière'!L23</f>
        <v>31201.676162586788</v>
      </c>
      <c r="I22" s="450">
        <f t="shared" si="0"/>
        <v>244298.88448247637</v>
      </c>
      <c r="J22" s="179"/>
    </row>
    <row r="23" spans="1:10" s="87" customFormat="1" x14ac:dyDescent="0.25">
      <c r="A23" s="394">
        <f>Données!A24</f>
        <v>5425</v>
      </c>
      <c r="B23" s="398" t="str">
        <f>Données!B24</f>
        <v>Bière</v>
      </c>
      <c r="C23" s="396">
        <f>VPI!Q24</f>
        <v>69</v>
      </c>
      <c r="D23" s="401">
        <f>Données!Z24</f>
        <v>1688</v>
      </c>
      <c r="E23" s="177">
        <f>VPI!R24</f>
        <v>42247.955252373817</v>
      </c>
      <c r="F23" s="313">
        <f>'Péréquation directe'!K30</f>
        <v>-318152.90059435589</v>
      </c>
      <c r="G23" s="326">
        <f>PCS!I30</f>
        <v>610465.04552122077</v>
      </c>
      <c r="H23" s="342">
        <f>'Facture policière'!L24</f>
        <v>127413.31649249933</v>
      </c>
      <c r="I23" s="450">
        <f t="shared" si="0"/>
        <v>419725.4614193642</v>
      </c>
      <c r="J23" s="179"/>
    </row>
    <row r="24" spans="1:10" s="87" customFormat="1" x14ac:dyDescent="0.25">
      <c r="A24" s="394">
        <f>Données!A25</f>
        <v>5426</v>
      </c>
      <c r="B24" s="398" t="str">
        <f>Données!B25</f>
        <v>Bougy-Villars</v>
      </c>
      <c r="C24" s="396">
        <f>VPI!Q25</f>
        <v>64.5</v>
      </c>
      <c r="D24" s="401">
        <f>Données!Z25</f>
        <v>506</v>
      </c>
      <c r="E24" s="177">
        <f>VPI!R25</f>
        <v>61985.534935400508</v>
      </c>
      <c r="F24" s="313">
        <f>'Péréquation directe'!K31</f>
        <v>1125280.0026492148</v>
      </c>
      <c r="G24" s="326">
        <f>PCS!I31</f>
        <v>2020761.7979258406</v>
      </c>
      <c r="H24" s="342">
        <f>'Facture policière'!L25</f>
        <v>118320.4027365901</v>
      </c>
      <c r="I24" s="450">
        <f t="shared" si="0"/>
        <v>3264362.2033116454</v>
      </c>
      <c r="J24" s="179"/>
    </row>
    <row r="25" spans="1:10" s="87" customFormat="1" x14ac:dyDescent="0.25">
      <c r="A25" s="394">
        <f>Données!A26</f>
        <v>5427</v>
      </c>
      <c r="B25" s="398" t="str">
        <f>Données!B26</f>
        <v>Féchy</v>
      </c>
      <c r="C25" s="396">
        <f>VPI!Q26</f>
        <v>64</v>
      </c>
      <c r="D25" s="401">
        <f>Données!Z26</f>
        <v>887</v>
      </c>
      <c r="E25" s="177">
        <f>VPI!R26</f>
        <v>86972.782199519221</v>
      </c>
      <c r="F25" s="313">
        <f>'Péréquation directe'!K32</f>
        <v>1556055.9131342652</v>
      </c>
      <c r="G25" s="326">
        <f>PCS!I32</f>
        <v>2222375.8528949213</v>
      </c>
      <c r="H25" s="342">
        <f>'Facture policière'!L26</f>
        <v>181818.77818013303</v>
      </c>
      <c r="I25" s="450">
        <f t="shared" si="0"/>
        <v>3960250.5442093196</v>
      </c>
      <c r="J25" s="179"/>
    </row>
    <row r="26" spans="1:10" s="87" customFormat="1" x14ac:dyDescent="0.25">
      <c r="A26" s="394">
        <f>Données!A27</f>
        <v>5428</v>
      </c>
      <c r="B26" s="398" t="str">
        <f>Données!B27</f>
        <v>Gimel</v>
      </c>
      <c r="C26" s="396">
        <f>VPI!Q27</f>
        <v>74.5</v>
      </c>
      <c r="D26" s="401">
        <f>Données!Z27</f>
        <v>2414</v>
      </c>
      <c r="E26" s="177">
        <f>VPI!R27</f>
        <v>71357.587986577171</v>
      </c>
      <c r="F26" s="313">
        <f>'Péréquation directe'!K33</f>
        <v>-280396.51847928669</v>
      </c>
      <c r="G26" s="326">
        <f>PCS!I33</f>
        <v>1279034.3093786244</v>
      </c>
      <c r="H26" s="342">
        <f>'Facture policière'!L27</f>
        <v>214826.4300186722</v>
      </c>
      <c r="I26" s="450">
        <f t="shared" si="0"/>
        <v>1213464.22091801</v>
      </c>
      <c r="J26" s="179"/>
    </row>
    <row r="27" spans="1:10" s="87" customFormat="1" x14ac:dyDescent="0.25">
      <c r="A27" s="394">
        <f>Données!A28</f>
        <v>5429</v>
      </c>
      <c r="B27" s="398" t="str">
        <f>Données!B28</f>
        <v>Longirod</v>
      </c>
      <c r="C27" s="396">
        <f>VPI!Q28</f>
        <v>77.5</v>
      </c>
      <c r="D27" s="401">
        <f>Données!Z28</f>
        <v>542</v>
      </c>
      <c r="E27" s="177">
        <f>VPI!R28</f>
        <v>17142.381290322584</v>
      </c>
      <c r="F27" s="313">
        <f>'Péréquation directe'!K34</f>
        <v>40562.43349737383</v>
      </c>
      <c r="G27" s="326">
        <f>PCS!I34</f>
        <v>260400.78729858942</v>
      </c>
      <c r="H27" s="342">
        <f>'Facture policière'!L28</f>
        <v>51612.613418187269</v>
      </c>
      <c r="I27" s="450">
        <f t="shared" si="0"/>
        <v>352575.8342141505</v>
      </c>
      <c r="J27" s="179"/>
    </row>
    <row r="28" spans="1:10" s="87" customFormat="1" x14ac:dyDescent="0.25">
      <c r="A28" s="394">
        <f>Données!A29</f>
        <v>5430</v>
      </c>
      <c r="B28" s="398" t="str">
        <f>Données!B29</f>
        <v>Marchissy</v>
      </c>
      <c r="C28" s="396">
        <f>VPI!Q29</f>
        <v>77.5</v>
      </c>
      <c r="D28" s="401">
        <f>Données!Z29</f>
        <v>501</v>
      </c>
      <c r="E28" s="177">
        <f>VPI!R29</f>
        <v>17121.715483870968</v>
      </c>
      <c r="F28" s="313">
        <f>'Péréquation directe'!K35</f>
        <v>92636.974411996052</v>
      </c>
      <c r="G28" s="326">
        <f>PCS!I35</f>
        <v>260078.70108699036</v>
      </c>
      <c r="H28" s="342">
        <f>'Facture policière'!L29</f>
        <v>52033.075943755524</v>
      </c>
      <c r="I28" s="450">
        <f t="shared" si="0"/>
        <v>404748.75144274189</v>
      </c>
      <c r="J28" s="179"/>
    </row>
    <row r="29" spans="1:10" s="87" customFormat="1" x14ac:dyDescent="0.25">
      <c r="A29" s="394">
        <f>Données!A30</f>
        <v>5431</v>
      </c>
      <c r="B29" s="398" t="str">
        <f>Données!B30</f>
        <v>Mollens</v>
      </c>
      <c r="C29" s="396">
        <f>VPI!Q30</f>
        <v>74</v>
      </c>
      <c r="D29" s="401">
        <f>Données!Z30</f>
        <v>324</v>
      </c>
      <c r="E29" s="177">
        <f>VPI!R30</f>
        <v>9475.049594594595</v>
      </c>
      <c r="F29" s="313">
        <f>'Péréquation directe'!K36</f>
        <v>4051.1554338497517</v>
      </c>
      <c r="G29" s="326">
        <f>PCS!I36</f>
        <v>139478.73920889135</v>
      </c>
      <c r="H29" s="342">
        <f>'Facture policière'!L30</f>
        <v>28638.235655061908</v>
      </c>
      <c r="I29" s="450">
        <f t="shared" si="0"/>
        <v>172168.130297803</v>
      </c>
      <c r="J29" s="179"/>
    </row>
    <row r="30" spans="1:10" s="87" customFormat="1" x14ac:dyDescent="0.25">
      <c r="A30" s="394">
        <f>Données!A31</f>
        <v>5434</v>
      </c>
      <c r="B30" s="398" t="str">
        <f>Données!B31</f>
        <v>Saint-George</v>
      </c>
      <c r="C30" s="396">
        <f>VPI!Q31</f>
        <v>69.5</v>
      </c>
      <c r="D30" s="401">
        <f>Données!Z31</f>
        <v>1069</v>
      </c>
      <c r="E30" s="177">
        <f>VPI!R31</f>
        <v>41109.419880095913</v>
      </c>
      <c r="F30" s="313">
        <f>'Péréquation directe'!K37</f>
        <v>429563.46370221139</v>
      </c>
      <c r="G30" s="326">
        <f>PCS!I37</f>
        <v>818544.74917459267</v>
      </c>
      <c r="H30" s="342">
        <f>'Facture policière'!L31</f>
        <v>123520.33672530056</v>
      </c>
      <c r="I30" s="450">
        <f t="shared" si="0"/>
        <v>1371628.5496021048</v>
      </c>
      <c r="J30" s="179"/>
    </row>
    <row r="31" spans="1:10" s="87" customFormat="1" x14ac:dyDescent="0.25">
      <c r="A31" s="394">
        <f>Données!A32</f>
        <v>5435</v>
      </c>
      <c r="B31" s="398" t="str">
        <f>Données!B32</f>
        <v>Saint-Livres</v>
      </c>
      <c r="C31" s="396">
        <f>VPI!Q32</f>
        <v>69</v>
      </c>
      <c r="D31" s="401">
        <f>Données!Z32</f>
        <v>698</v>
      </c>
      <c r="E31" s="177">
        <f>VPI!R32</f>
        <v>25462.29188405797</v>
      </c>
      <c r="F31" s="313">
        <f>'Péréquation directe'!K38</f>
        <v>240110.50317230279</v>
      </c>
      <c r="G31" s="326">
        <f>PCS!I38</f>
        <v>477396.42430491594</v>
      </c>
      <c r="H31" s="342">
        <f>'Facture policière'!L32</f>
        <v>77092.089452381144</v>
      </c>
      <c r="I31" s="450">
        <f t="shared" si="0"/>
        <v>794599.01692959981</v>
      </c>
      <c r="J31" s="179"/>
    </row>
    <row r="32" spans="1:10" s="87" customFormat="1" x14ac:dyDescent="0.25">
      <c r="A32" s="394">
        <f>Données!A33</f>
        <v>5436</v>
      </c>
      <c r="B32" s="398" t="str">
        <f>Données!B33</f>
        <v>Saint-Oyens</v>
      </c>
      <c r="C32" s="396">
        <f>VPI!Q33</f>
        <v>79</v>
      </c>
      <c r="D32" s="401">
        <f>Données!Z33</f>
        <v>456</v>
      </c>
      <c r="E32" s="177">
        <f>VPI!R33</f>
        <v>16425.371772151899</v>
      </c>
      <c r="F32" s="313">
        <f>'Péréquation directe'!K39</f>
        <v>115367.01367871414</v>
      </c>
      <c r="G32" s="326">
        <f>PCS!I39</f>
        <v>213347.94036360169</v>
      </c>
      <c r="H32" s="342">
        <f>'Facture policière'!L33</f>
        <v>49900.742092652901</v>
      </c>
      <c r="I32" s="450">
        <f t="shared" si="0"/>
        <v>378615.69613496872</v>
      </c>
      <c r="J32" s="179"/>
    </row>
    <row r="33" spans="1:10" s="87" customFormat="1" x14ac:dyDescent="0.25">
      <c r="A33" s="394">
        <f>Données!A34</f>
        <v>5437</v>
      </c>
      <c r="B33" s="398" t="str">
        <f>Données!B34</f>
        <v>Saubraz</v>
      </c>
      <c r="C33" s="396">
        <f>VPI!Q34</f>
        <v>80</v>
      </c>
      <c r="D33" s="401">
        <f>Données!Z34</f>
        <v>449</v>
      </c>
      <c r="E33" s="177">
        <f>VPI!R34</f>
        <v>12127.91725</v>
      </c>
      <c r="F33" s="313">
        <f>'Péréquation directe'!K40</f>
        <v>-71122.938292517298</v>
      </c>
      <c r="G33" s="326">
        <f>PCS!I40</f>
        <v>225977.54433987406</v>
      </c>
      <c r="H33" s="342">
        <f>'Facture policière'!L34</f>
        <v>36576.3768898708</v>
      </c>
      <c r="I33" s="450">
        <f t="shared" si="0"/>
        <v>191430.98293722756</v>
      </c>
      <c r="J33" s="179"/>
    </row>
    <row r="34" spans="1:10" s="87" customFormat="1" x14ac:dyDescent="0.25">
      <c r="A34" s="394">
        <f>Données!A35</f>
        <v>5451</v>
      </c>
      <c r="B34" s="398" t="str">
        <f>Données!B35</f>
        <v>Avenches</v>
      </c>
      <c r="C34" s="396">
        <f>VPI!Q35</f>
        <v>66.5</v>
      </c>
      <c r="D34" s="401">
        <f>Données!Z35</f>
        <v>4699</v>
      </c>
      <c r="E34" s="177">
        <f>VPI!R35</f>
        <v>142633.11649122802</v>
      </c>
      <c r="F34" s="313">
        <f>'Péréquation directe'!K41</f>
        <v>-491078.60577428108</v>
      </c>
      <c r="G34" s="326">
        <f>PCS!I41</f>
        <v>2263185.6519300975</v>
      </c>
      <c r="H34" s="342">
        <f>'Facture policière'!L35</f>
        <v>419631.67554712627</v>
      </c>
      <c r="I34" s="450">
        <f t="shared" si="0"/>
        <v>2191738.7217029426</v>
      </c>
      <c r="J34" s="179"/>
    </row>
    <row r="35" spans="1:10" s="87" customFormat="1" x14ac:dyDescent="0.25">
      <c r="A35" s="394">
        <f>Données!A36</f>
        <v>5456</v>
      </c>
      <c r="B35" s="398" t="str">
        <f>Données!B36</f>
        <v>Cudrefin</v>
      </c>
      <c r="C35" s="396">
        <f>VPI!Q36</f>
        <v>59</v>
      </c>
      <c r="D35" s="401">
        <f>Données!Z36</f>
        <v>1876</v>
      </c>
      <c r="E35" s="177">
        <f>VPI!R36</f>
        <v>64060.385932203382</v>
      </c>
      <c r="F35" s="313">
        <f>'Péréquation directe'!K42</f>
        <v>411836.57682225853</v>
      </c>
      <c r="G35" s="326">
        <f>PCS!I42</f>
        <v>1069956.6656406117</v>
      </c>
      <c r="H35" s="342">
        <f>'Facture policière'!L36</f>
        <v>190860.59435111468</v>
      </c>
      <c r="I35" s="450">
        <f t="shared" si="0"/>
        <v>1672653.8368139849</v>
      </c>
      <c r="J35" s="179"/>
    </row>
    <row r="36" spans="1:10" s="87" customFormat="1" x14ac:dyDescent="0.25">
      <c r="A36" s="394">
        <f>Données!A37</f>
        <v>5458</v>
      </c>
      <c r="B36" s="398" t="str">
        <f>Données!B37</f>
        <v>Faoug</v>
      </c>
      <c r="C36" s="396">
        <f>VPI!Q37</f>
        <v>65</v>
      </c>
      <c r="D36" s="401">
        <f>Données!Z37</f>
        <v>904</v>
      </c>
      <c r="E36" s="177">
        <f>VPI!R37</f>
        <v>32630.920512820507</v>
      </c>
      <c r="F36" s="313">
        <f>'Péréquation directe'!K43</f>
        <v>321651.82383413595</v>
      </c>
      <c r="G36" s="326">
        <f>PCS!I43</f>
        <v>461279.38476306357</v>
      </c>
      <c r="H36" s="342">
        <f>'Facture policière'!L37</f>
        <v>97419.084991937067</v>
      </c>
      <c r="I36" s="450">
        <f t="shared" si="0"/>
        <v>880350.29358913656</v>
      </c>
      <c r="J36" s="179"/>
    </row>
    <row r="37" spans="1:10" s="87" customFormat="1" x14ac:dyDescent="0.25">
      <c r="A37" s="394">
        <f>Données!A38</f>
        <v>5464</v>
      </c>
      <c r="B37" s="398" t="str">
        <f>Données!B38</f>
        <v>Vully-les-Lacs</v>
      </c>
      <c r="C37" s="396">
        <f>VPI!Q38</f>
        <v>67</v>
      </c>
      <c r="D37" s="401">
        <f>Données!Z38</f>
        <v>3543</v>
      </c>
      <c r="E37" s="177">
        <f>VPI!R38</f>
        <v>117933.44731343284</v>
      </c>
      <c r="F37" s="313">
        <f>'Péréquation directe'!K44</f>
        <v>169991.43308848562</v>
      </c>
      <c r="G37" s="326">
        <f>PCS!I44</f>
        <v>1892188.7181008596</v>
      </c>
      <c r="H37" s="342">
        <f>'Facture policière'!L38</f>
        <v>352460.0735510852</v>
      </c>
      <c r="I37" s="450">
        <f t="shared" si="0"/>
        <v>2414640.2247404302</v>
      </c>
      <c r="J37" s="179"/>
    </row>
    <row r="38" spans="1:10" s="87" customFormat="1" x14ac:dyDescent="0.25">
      <c r="A38" s="394">
        <f>Données!A39</f>
        <v>5471</v>
      </c>
      <c r="B38" s="398" t="str">
        <f>Données!B39</f>
        <v>Bettens</v>
      </c>
      <c r="C38" s="396">
        <f>VPI!Q39</f>
        <v>70</v>
      </c>
      <c r="D38" s="401">
        <f>Données!Z39</f>
        <v>650</v>
      </c>
      <c r="E38" s="177">
        <f>VPI!R39</f>
        <v>22692.287412698413</v>
      </c>
      <c r="F38" s="313">
        <f>'Péréquation directe'!K45</f>
        <v>179749.85950795785</v>
      </c>
      <c r="G38" s="326">
        <f>PCS!I45</f>
        <v>302640.88608848926</v>
      </c>
      <c r="H38" s="342">
        <f>'Facture policière'!L39</f>
        <v>68124.885488906642</v>
      </c>
      <c r="I38" s="450">
        <f t="shared" si="0"/>
        <v>550515.63108535379</v>
      </c>
      <c r="J38" s="179"/>
    </row>
    <row r="39" spans="1:10" s="87" customFormat="1" x14ac:dyDescent="0.25">
      <c r="A39" s="394">
        <f>Données!A40</f>
        <v>5472</v>
      </c>
      <c r="B39" s="398" t="str">
        <f>Données!B40</f>
        <v>Bournens</v>
      </c>
      <c r="C39" s="396">
        <f>VPI!Q40</f>
        <v>68</v>
      </c>
      <c r="D39" s="401">
        <f>Données!Z40</f>
        <v>514</v>
      </c>
      <c r="E39" s="177">
        <f>VPI!R40</f>
        <v>19974.836617647059</v>
      </c>
      <c r="F39" s="313">
        <f>'Péréquation directe'!K46</f>
        <v>226337.19543342057</v>
      </c>
      <c r="G39" s="326">
        <f>PCS!I46</f>
        <v>304172.62123797974</v>
      </c>
      <c r="H39" s="342">
        <f>'Facture policière'!L40</f>
        <v>60098.923350209399</v>
      </c>
      <c r="I39" s="450">
        <f t="shared" si="0"/>
        <v>590608.7400216097</v>
      </c>
      <c r="J39" s="179"/>
    </row>
    <row r="40" spans="1:10" s="87" customFormat="1" x14ac:dyDescent="0.25">
      <c r="A40" s="394">
        <f>Données!A41</f>
        <v>5473</v>
      </c>
      <c r="B40" s="398" t="str">
        <f>Données!B41</f>
        <v>Boussens</v>
      </c>
      <c r="C40" s="396">
        <f>VPI!Q41</f>
        <v>66</v>
      </c>
      <c r="D40" s="401">
        <f>Données!Z41</f>
        <v>1010</v>
      </c>
      <c r="E40" s="177">
        <f>VPI!R41</f>
        <v>42017.076666666668</v>
      </c>
      <c r="F40" s="313">
        <f>'Péréquation directe'!K47</f>
        <v>554106.01826396026</v>
      </c>
      <c r="G40" s="326">
        <f>PCS!I47</f>
        <v>600197.21328168397</v>
      </c>
      <c r="H40" s="342">
        <f>'Facture policière'!L41</f>
        <v>127485.09677928992</v>
      </c>
      <c r="I40" s="450">
        <f t="shared" si="0"/>
        <v>1281788.3283249342</v>
      </c>
      <c r="J40" s="179"/>
    </row>
    <row r="41" spans="1:10" s="87" customFormat="1" x14ac:dyDescent="0.25">
      <c r="A41" s="394">
        <f>Données!A42</f>
        <v>5474</v>
      </c>
      <c r="B41" s="398" t="str">
        <f>Données!B42</f>
        <v>La Chaux (Cossonay)</v>
      </c>
      <c r="C41" s="396">
        <f>VPI!Q42</f>
        <v>76</v>
      </c>
      <c r="D41" s="401">
        <f>Données!Z42</f>
        <v>412</v>
      </c>
      <c r="E41" s="177">
        <f>VPI!R42</f>
        <v>13862.516425438596</v>
      </c>
      <c r="F41" s="313">
        <f>'Péréquation directe'!K48</f>
        <v>72386.080163151724</v>
      </c>
      <c r="G41" s="326">
        <f>PCS!I48</f>
        <v>206866.40462813972</v>
      </c>
      <c r="H41" s="342">
        <f>'Facture policière'!L42</f>
        <v>42121.910625612902</v>
      </c>
      <c r="I41" s="450">
        <f t="shared" si="0"/>
        <v>321374.3954169043</v>
      </c>
      <c r="J41" s="179"/>
    </row>
    <row r="42" spans="1:10" s="87" customFormat="1" x14ac:dyDescent="0.25">
      <c r="A42" s="394">
        <f>Données!A43</f>
        <v>5475</v>
      </c>
      <c r="B42" s="398" t="str">
        <f>Données!B43</f>
        <v>Chavannes-le-Veyron</v>
      </c>
      <c r="C42" s="396">
        <f>VPI!Q43</f>
        <v>75</v>
      </c>
      <c r="D42" s="401">
        <f>Données!Z43</f>
        <v>163</v>
      </c>
      <c r="E42" s="177">
        <f>VPI!R43</f>
        <v>4297.2048000000004</v>
      </c>
      <c r="F42" s="313">
        <f>'Péréquation directe'!K49</f>
        <v>-19401.030280788123</v>
      </c>
      <c r="G42" s="326">
        <f>PCS!I49</f>
        <v>61168.187007573768</v>
      </c>
      <c r="H42" s="342">
        <f>'Facture policière'!L43</f>
        <v>12982.484347565</v>
      </c>
      <c r="I42" s="450">
        <f t="shared" si="0"/>
        <v>54749.641074350642</v>
      </c>
      <c r="J42" s="179"/>
    </row>
    <row r="43" spans="1:10" s="87" customFormat="1" x14ac:dyDescent="0.25">
      <c r="A43" s="394">
        <f>Données!A44</f>
        <v>5476</v>
      </c>
      <c r="B43" s="398" t="str">
        <f>Données!B44</f>
        <v>Chevilly</v>
      </c>
      <c r="C43" s="396">
        <f>VPI!Q44</f>
        <v>72.5</v>
      </c>
      <c r="D43" s="401">
        <f>Données!Z44</f>
        <v>331</v>
      </c>
      <c r="E43" s="177">
        <f>VPI!R44</f>
        <v>13558.452965517243</v>
      </c>
      <c r="F43" s="313">
        <f>'Péréquation directe'!K50</f>
        <v>165701.8046663517</v>
      </c>
      <c r="G43" s="326">
        <f>PCS!I50</f>
        <v>187130.82096642337</v>
      </c>
      <c r="H43" s="342">
        <f>'Facture policière'!L44</f>
        <v>41401.229716389375</v>
      </c>
      <c r="I43" s="450">
        <f t="shared" si="0"/>
        <v>394233.85534916446</v>
      </c>
      <c r="J43" s="179"/>
    </row>
    <row r="44" spans="1:10" s="87" customFormat="1" x14ac:dyDescent="0.25">
      <c r="A44" s="394">
        <f>Données!A45</f>
        <v>5477</v>
      </c>
      <c r="B44" s="398" t="str">
        <f>Données!B45</f>
        <v>Cossonay</v>
      </c>
      <c r="C44" s="396">
        <f>VPI!Q45</f>
        <v>68</v>
      </c>
      <c r="D44" s="401">
        <f>Données!Z45</f>
        <v>4390</v>
      </c>
      <c r="E44" s="177">
        <f>VPI!R45</f>
        <v>151490.5288235294</v>
      </c>
      <c r="F44" s="313">
        <f>'Péréquation directe'!K51</f>
        <v>210312.23114151368</v>
      </c>
      <c r="G44" s="326">
        <f>PCS!I51</f>
        <v>2531861.032729472</v>
      </c>
      <c r="H44" s="342">
        <f>'Facture policière'!L45</f>
        <v>458141.83778015897</v>
      </c>
      <c r="I44" s="450">
        <f t="shared" si="0"/>
        <v>3200315.1016511447</v>
      </c>
      <c r="J44" s="179"/>
    </row>
    <row r="45" spans="1:10" s="87" customFormat="1" x14ac:dyDescent="0.25">
      <c r="A45" s="394">
        <f>Données!A46</f>
        <v>5479</v>
      </c>
      <c r="B45" s="398" t="str">
        <f>Données!B46</f>
        <v>Cuarnens</v>
      </c>
      <c r="C45" s="396">
        <f>VPI!Q46</f>
        <v>77</v>
      </c>
      <c r="D45" s="401">
        <f>Données!Z46</f>
        <v>545</v>
      </c>
      <c r="E45" s="177">
        <f>VPI!R46</f>
        <v>14331.337792207793</v>
      </c>
      <c r="F45" s="313">
        <f>'Péréquation directe'!K52</f>
        <v>-81059.476251118525</v>
      </c>
      <c r="G45" s="326">
        <f>PCS!I52</f>
        <v>224947.71499829073</v>
      </c>
      <c r="H45" s="342">
        <f>'Facture policière'!L46</f>
        <v>43030.439383543679</v>
      </c>
      <c r="I45" s="450">
        <f t="shared" si="0"/>
        <v>186918.67813071588</v>
      </c>
      <c r="J45" s="179"/>
    </row>
    <row r="46" spans="1:10" s="87" customFormat="1" x14ac:dyDescent="0.25">
      <c r="A46" s="394">
        <f>Données!A47</f>
        <v>5480</v>
      </c>
      <c r="B46" s="398" t="str">
        <f>Données!B47</f>
        <v>Daillens</v>
      </c>
      <c r="C46" s="396">
        <f>VPI!Q47</f>
        <v>66</v>
      </c>
      <c r="D46" s="401">
        <f>Données!Z47</f>
        <v>1057</v>
      </c>
      <c r="E46" s="177">
        <f>VPI!R47</f>
        <v>42720.265505050505</v>
      </c>
      <c r="F46" s="313">
        <f>'Péréquation directe'!K53</f>
        <v>523237.0351379973</v>
      </c>
      <c r="G46" s="326">
        <f>PCS!I53</f>
        <v>938144.06296251668</v>
      </c>
      <c r="H46" s="342">
        <f>'Facture policière'!L47</f>
        <v>125417.76530268609</v>
      </c>
      <c r="I46" s="450">
        <f t="shared" si="0"/>
        <v>1586798.8634031999</v>
      </c>
      <c r="J46" s="179"/>
    </row>
    <row r="47" spans="1:10" s="87" customFormat="1" x14ac:dyDescent="0.25">
      <c r="A47" s="394">
        <f>Données!A48</f>
        <v>5481</v>
      </c>
      <c r="B47" s="398" t="str">
        <f>Données!B48</f>
        <v>Dizy</v>
      </c>
      <c r="C47" s="396">
        <f>VPI!Q48</f>
        <v>75</v>
      </c>
      <c r="D47" s="401">
        <f>Données!Z48</f>
        <v>232</v>
      </c>
      <c r="E47" s="177">
        <f>VPI!R48</f>
        <v>8552.7156000000014</v>
      </c>
      <c r="F47" s="313">
        <f>'Péréquation directe'!K54</f>
        <v>73959.111089197177</v>
      </c>
      <c r="G47" s="326">
        <f>PCS!I54</f>
        <v>121117.30514058661</v>
      </c>
      <c r="H47" s="342">
        <f>'Facture policière'!L48</f>
        <v>26154.626843438458</v>
      </c>
      <c r="I47" s="450">
        <f t="shared" si="0"/>
        <v>221231.04307322224</v>
      </c>
      <c r="J47" s="179"/>
    </row>
    <row r="48" spans="1:10" s="87" customFormat="1" x14ac:dyDescent="0.25">
      <c r="A48" s="394">
        <f>Données!A49</f>
        <v>5482</v>
      </c>
      <c r="B48" s="398" t="str">
        <f>Données!B49</f>
        <v>Eclépens</v>
      </c>
      <c r="C48" s="396">
        <f>VPI!Q49</f>
        <v>46</v>
      </c>
      <c r="D48" s="401">
        <f>Données!Z49</f>
        <v>1199</v>
      </c>
      <c r="E48" s="177">
        <f>VPI!R49</f>
        <v>48314.544130434791</v>
      </c>
      <c r="F48" s="313">
        <f>'Péréquation directe'!K55</f>
        <v>644467.31959724938</v>
      </c>
      <c r="G48" s="326">
        <f>PCS!I55</f>
        <v>782843.17253862415</v>
      </c>
      <c r="H48" s="342">
        <f>'Facture policière'!L49</f>
        <v>133527.61313673609</v>
      </c>
      <c r="I48" s="450">
        <f t="shared" si="0"/>
        <v>1560838.1052726097</v>
      </c>
      <c r="J48" s="179"/>
    </row>
    <row r="49" spans="1:10" s="87" customFormat="1" x14ac:dyDescent="0.25">
      <c r="A49" s="394">
        <f>Données!A50</f>
        <v>5483</v>
      </c>
      <c r="B49" s="398" t="str">
        <f>Données!B50</f>
        <v>Ferreyres</v>
      </c>
      <c r="C49" s="396">
        <f>VPI!Q50</f>
        <v>76</v>
      </c>
      <c r="D49" s="401">
        <f>Données!Z50</f>
        <v>308</v>
      </c>
      <c r="E49" s="177">
        <f>VPI!R50</f>
        <v>10284.283289473684</v>
      </c>
      <c r="F49" s="313">
        <f>'Péréquation directe'!K56</f>
        <v>50774.578368549701</v>
      </c>
      <c r="G49" s="326">
        <f>PCS!I56</f>
        <v>125526.88161477886</v>
      </c>
      <c r="H49" s="342">
        <f>'Facture policière'!L50</f>
        <v>31120.575375261535</v>
      </c>
      <c r="I49" s="450">
        <f t="shared" si="0"/>
        <v>207422.0353585901</v>
      </c>
      <c r="J49" s="179"/>
    </row>
    <row r="50" spans="1:10" s="87" customFormat="1" x14ac:dyDescent="0.25">
      <c r="A50" s="394">
        <f>Données!A51</f>
        <v>5484</v>
      </c>
      <c r="B50" s="398" t="str">
        <f>Données!B51</f>
        <v>Gollion</v>
      </c>
      <c r="C50" s="396">
        <f>VPI!Q51</f>
        <v>74</v>
      </c>
      <c r="D50" s="401">
        <f>Données!Z51</f>
        <v>1037</v>
      </c>
      <c r="E50" s="177">
        <f>VPI!R51</f>
        <v>32601.670945945945</v>
      </c>
      <c r="F50" s="313">
        <f>'Péréquation directe'!K57</f>
        <v>97887.886363866739</v>
      </c>
      <c r="G50" s="326">
        <f>PCS!I57</f>
        <v>490719.67122983251</v>
      </c>
      <c r="H50" s="342">
        <f>'Facture policière'!L51</f>
        <v>98189.843145437175</v>
      </c>
      <c r="I50" s="450">
        <f t="shared" si="0"/>
        <v>686797.4007391365</v>
      </c>
      <c r="J50" s="179"/>
    </row>
    <row r="51" spans="1:10" s="87" customFormat="1" x14ac:dyDescent="0.25">
      <c r="A51" s="394">
        <f>Données!A52</f>
        <v>5485</v>
      </c>
      <c r="B51" s="398" t="str">
        <f>Données!B52</f>
        <v>Grancy</v>
      </c>
      <c r="C51" s="396">
        <f>VPI!Q52</f>
        <v>70</v>
      </c>
      <c r="D51" s="401">
        <f>Données!Z52</f>
        <v>490</v>
      </c>
      <c r="E51" s="177">
        <f>VPI!R52</f>
        <v>18961.380428571429</v>
      </c>
      <c r="F51" s="313">
        <f>'Péréquation directe'!K58</f>
        <v>207457.11548407446</v>
      </c>
      <c r="G51" s="326">
        <f>PCS!I58</f>
        <v>261861.06370212603</v>
      </c>
      <c r="H51" s="342">
        <f>'Facture policière'!L52</f>
        <v>57690.516407191579</v>
      </c>
      <c r="I51" s="450">
        <f t="shared" si="0"/>
        <v>527008.69559339201</v>
      </c>
      <c r="J51" s="179"/>
    </row>
    <row r="52" spans="1:10" s="87" customFormat="1" x14ac:dyDescent="0.25">
      <c r="A52" s="394">
        <f>Données!A53</f>
        <v>5486</v>
      </c>
      <c r="B52" s="398" t="str">
        <f>Données!B53</f>
        <v>L'Isle</v>
      </c>
      <c r="C52" s="396">
        <f>VPI!Q53</f>
        <v>75</v>
      </c>
      <c r="D52" s="401">
        <f>Données!Z53</f>
        <v>1095</v>
      </c>
      <c r="E52" s="177">
        <f>VPI!R53</f>
        <v>34756.215466666676</v>
      </c>
      <c r="F52" s="313">
        <f>'Péréquation directe'!K59</f>
        <v>93089.426279159728</v>
      </c>
      <c r="G52" s="326">
        <f>PCS!I59</f>
        <v>586276.54956467333</v>
      </c>
      <c r="H52" s="342">
        <f>'Facture policière'!L53</f>
        <v>104787.76212487216</v>
      </c>
      <c r="I52" s="450">
        <f t="shared" si="0"/>
        <v>784153.73796870525</v>
      </c>
      <c r="J52" s="179"/>
    </row>
    <row r="53" spans="1:10" s="87" customFormat="1" x14ac:dyDescent="0.25">
      <c r="A53" s="394">
        <f>Données!A54</f>
        <v>5487</v>
      </c>
      <c r="B53" s="398" t="str">
        <f>Données!B54</f>
        <v>Lussery-Villars</v>
      </c>
      <c r="C53" s="396">
        <f>VPI!Q54</f>
        <v>75</v>
      </c>
      <c r="D53" s="401">
        <f>Données!Z54</f>
        <v>482</v>
      </c>
      <c r="E53" s="177">
        <f>VPI!R54</f>
        <v>12042.619866666666</v>
      </c>
      <c r="F53" s="313">
        <f>'Péréquation directe'!K60</f>
        <v>-85070.186077145307</v>
      </c>
      <c r="G53" s="326">
        <f>PCS!I60</f>
        <v>182436.56416284438</v>
      </c>
      <c r="H53" s="342">
        <f>'Facture policière'!L54</f>
        <v>36066.903946716469</v>
      </c>
      <c r="I53" s="450">
        <f t="shared" si="0"/>
        <v>133433.28203241556</v>
      </c>
      <c r="J53" s="179"/>
    </row>
    <row r="54" spans="1:10" s="87" customFormat="1" x14ac:dyDescent="0.25">
      <c r="A54" s="394">
        <f>Données!A55</f>
        <v>5488</v>
      </c>
      <c r="B54" s="398" t="str">
        <f>Données!B55</f>
        <v>Mauraz</v>
      </c>
      <c r="C54" s="396">
        <f>VPI!Q55</f>
        <v>77</v>
      </c>
      <c r="D54" s="401">
        <f>Données!Z55</f>
        <v>65</v>
      </c>
      <c r="E54" s="177">
        <f>VPI!R55</f>
        <v>2131.6062337662343</v>
      </c>
      <c r="F54" s="313">
        <f>'Péréquation directe'!K61</f>
        <v>8453.4261488246848</v>
      </c>
      <c r="G54" s="326">
        <f>PCS!I61</f>
        <v>44258.379972325303</v>
      </c>
      <c r="H54" s="342">
        <f>'Facture policière'!L55</f>
        <v>6545.4336347584767</v>
      </c>
      <c r="I54" s="450">
        <f t="shared" si="0"/>
        <v>59257.239755908464</v>
      </c>
      <c r="J54" s="179"/>
    </row>
    <row r="55" spans="1:10" s="87" customFormat="1" x14ac:dyDescent="0.25">
      <c r="A55" s="394">
        <f>Données!A56</f>
        <v>5489</v>
      </c>
      <c r="B55" s="398" t="str">
        <f>Données!B56</f>
        <v>Mex</v>
      </c>
      <c r="C55" s="396">
        <f>VPI!Q56</f>
        <v>59.5</v>
      </c>
      <c r="D55" s="401">
        <f>Données!Z56</f>
        <v>817</v>
      </c>
      <c r="E55" s="177">
        <f>VPI!R56</f>
        <v>60740.368067226897</v>
      </c>
      <c r="F55" s="313">
        <f>'Péréquation directe'!K62</f>
        <v>1061237.3716642288</v>
      </c>
      <c r="G55" s="326">
        <f>PCS!I62</f>
        <v>1270703.9977824208</v>
      </c>
      <c r="H55" s="342">
        <f>'Facture policière'!L56</f>
        <v>144611.74610636907</v>
      </c>
      <c r="I55" s="450">
        <f t="shared" si="0"/>
        <v>2476553.1155530186</v>
      </c>
      <c r="J55" s="179"/>
    </row>
    <row r="56" spans="1:10" s="87" customFormat="1" x14ac:dyDescent="0.25">
      <c r="A56" s="394">
        <f>Données!A57</f>
        <v>5490</v>
      </c>
      <c r="B56" s="398" t="str">
        <f>Données!B57</f>
        <v>Moiry</v>
      </c>
      <c r="C56" s="396">
        <f>VPI!Q57</f>
        <v>77</v>
      </c>
      <c r="D56" s="401">
        <f>Données!Z57</f>
        <v>296</v>
      </c>
      <c r="E56" s="177">
        <f>VPI!R57</f>
        <v>8460.9523376623383</v>
      </c>
      <c r="F56" s="313">
        <f>'Péréquation directe'!K63</f>
        <v>-14965.003349282284</v>
      </c>
      <c r="G56" s="326">
        <f>PCS!I63</f>
        <v>108494.07886637139</v>
      </c>
      <c r="H56" s="342">
        <f>'Facture policière'!L57</f>
        <v>25661.624690477664</v>
      </c>
      <c r="I56" s="450">
        <f t="shared" si="0"/>
        <v>119190.70020756677</v>
      </c>
      <c r="J56" s="179"/>
    </row>
    <row r="57" spans="1:10" s="87" customFormat="1" x14ac:dyDescent="0.25">
      <c r="A57" s="394">
        <f>Données!A58</f>
        <v>5491</v>
      </c>
      <c r="B57" s="398" t="str">
        <f>Données!B58</f>
        <v>Mont-la-Ville</v>
      </c>
      <c r="C57" s="396">
        <f>VPI!Q58</f>
        <v>76</v>
      </c>
      <c r="D57" s="401">
        <f>Données!Z58</f>
        <v>502</v>
      </c>
      <c r="E57" s="177">
        <f>VPI!R58</f>
        <v>13842.217236842105</v>
      </c>
      <c r="F57" s="313">
        <f>'Péréquation directe'!K64</f>
        <v>-40730.611501077889</v>
      </c>
      <c r="G57" s="326">
        <f>PCS!I64</f>
        <v>230193.66915205511</v>
      </c>
      <c r="H57" s="342">
        <f>'Facture policière'!L58</f>
        <v>41490.445524087234</v>
      </c>
      <c r="I57" s="450">
        <f t="shared" si="0"/>
        <v>230953.50317506446</v>
      </c>
      <c r="J57" s="179"/>
    </row>
    <row r="58" spans="1:10" s="87" customFormat="1" x14ac:dyDescent="0.25">
      <c r="A58" s="394">
        <f>Données!A59</f>
        <v>5492</v>
      </c>
      <c r="B58" s="398" t="str">
        <f>Données!B59</f>
        <v>Montricher</v>
      </c>
      <c r="C58" s="396">
        <f>VPI!Q59</f>
        <v>64</v>
      </c>
      <c r="D58" s="401">
        <f>Données!Z59</f>
        <v>979</v>
      </c>
      <c r="E58" s="177">
        <f>VPI!R59</f>
        <v>149907.58062499994</v>
      </c>
      <c r="F58" s="313">
        <f>'Péréquation directe'!K65</f>
        <v>2636947.9878520779</v>
      </c>
      <c r="G58" s="326">
        <f>PCS!I65</f>
        <v>4677223.817147919</v>
      </c>
      <c r="H58" s="342">
        <f>'Facture policière'!L59</f>
        <v>264304.51538772695</v>
      </c>
      <c r="I58" s="450">
        <f t="shared" si="0"/>
        <v>7578476.3203877239</v>
      </c>
      <c r="J58" s="179"/>
    </row>
    <row r="59" spans="1:10" s="87" customFormat="1" x14ac:dyDescent="0.25">
      <c r="A59" s="394">
        <f>Données!A60</f>
        <v>5493</v>
      </c>
      <c r="B59" s="398" t="str">
        <f>Données!B60</f>
        <v>Orny</v>
      </c>
      <c r="C59" s="396">
        <f>VPI!Q60</f>
        <v>73</v>
      </c>
      <c r="D59" s="401">
        <f>Données!Z60</f>
        <v>484</v>
      </c>
      <c r="E59" s="177">
        <f>VPI!R60</f>
        <v>14635.830579557431</v>
      </c>
      <c r="F59" s="313">
        <f>'Péréquation directe'!K66</f>
        <v>31024.275347425631</v>
      </c>
      <c r="G59" s="326">
        <f>PCS!I66</f>
        <v>225751.80490004399</v>
      </c>
      <c r="H59" s="342">
        <f>'Facture policière'!L60</f>
        <v>44256.373313191667</v>
      </c>
      <c r="I59" s="450">
        <f t="shared" si="0"/>
        <v>301032.45356066129</v>
      </c>
      <c r="J59" s="179"/>
    </row>
    <row r="60" spans="1:10" s="87" customFormat="1" x14ac:dyDescent="0.25">
      <c r="A60" s="394">
        <f>Données!A61</f>
        <v>5495</v>
      </c>
      <c r="B60" s="398" t="str">
        <f>Données!B61</f>
        <v>Penthalaz</v>
      </c>
      <c r="C60" s="396">
        <f>VPI!Q61</f>
        <v>74</v>
      </c>
      <c r="D60" s="401">
        <f>Données!Z61</f>
        <v>3216</v>
      </c>
      <c r="E60" s="177">
        <f>VPI!R61</f>
        <v>103056.57202702702</v>
      </c>
      <c r="F60" s="313">
        <f>'Péréquation directe'!K67</f>
        <v>-137716.76776843076</v>
      </c>
      <c r="G60" s="326">
        <f>PCS!I67</f>
        <v>2304622.4907018566</v>
      </c>
      <c r="H60" s="342">
        <f>'Facture policière'!L61</f>
        <v>311759.97695393069</v>
      </c>
      <c r="I60" s="450">
        <f t="shared" si="0"/>
        <v>2478665.6998873563</v>
      </c>
      <c r="J60" s="179"/>
    </row>
    <row r="61" spans="1:10" s="87" customFormat="1" x14ac:dyDescent="0.25">
      <c r="A61" s="394">
        <f>Données!A62</f>
        <v>5496</v>
      </c>
      <c r="B61" s="398" t="str">
        <f>Données!B62</f>
        <v>Penthaz</v>
      </c>
      <c r="C61" s="396">
        <f>VPI!Q62</f>
        <v>69.5</v>
      </c>
      <c r="D61" s="401">
        <f>Données!Z62</f>
        <v>1923</v>
      </c>
      <c r="E61" s="177">
        <f>VPI!R62</f>
        <v>61651.518705035967</v>
      </c>
      <c r="F61" s="313">
        <f>'Péréquation directe'!K68</f>
        <v>113521.87676125043</v>
      </c>
      <c r="G61" s="326">
        <f>PCS!I68</f>
        <v>876105.14924027224</v>
      </c>
      <c r="H61" s="342">
        <f>'Facture policière'!L62</f>
        <v>184716.7611560818</v>
      </c>
      <c r="I61" s="450">
        <f t="shared" si="0"/>
        <v>1174343.7871576045</v>
      </c>
      <c r="J61" s="179"/>
    </row>
    <row r="62" spans="1:10" s="87" customFormat="1" x14ac:dyDescent="0.25">
      <c r="A62" s="394">
        <f>Données!A63</f>
        <v>5497</v>
      </c>
      <c r="B62" s="398" t="str">
        <f>Données!B63</f>
        <v>Pompaples</v>
      </c>
      <c r="C62" s="396">
        <f>VPI!Q63</f>
        <v>66</v>
      </c>
      <c r="D62" s="401">
        <f>Données!Z63</f>
        <v>860</v>
      </c>
      <c r="E62" s="177">
        <f>VPI!R63</f>
        <v>22949.830606060608</v>
      </c>
      <c r="F62" s="313">
        <f>'Péréquation directe'!K69</f>
        <v>4100.9614056502469</v>
      </c>
      <c r="G62" s="326">
        <f>PCS!I69</f>
        <v>372645.80464225903</v>
      </c>
      <c r="H62" s="342">
        <f>'Facture policière'!L63</f>
        <v>68647.919196103408</v>
      </c>
      <c r="I62" s="450">
        <f t="shared" si="0"/>
        <v>445394.68524401268</v>
      </c>
      <c r="J62" s="179"/>
    </row>
    <row r="63" spans="1:10" s="87" customFormat="1" x14ac:dyDescent="0.25">
      <c r="A63" s="394">
        <f>Données!A64</f>
        <v>5498</v>
      </c>
      <c r="B63" s="398" t="str">
        <f>Données!B64</f>
        <v>La Sarraz</v>
      </c>
      <c r="C63" s="396">
        <f>VPI!Q64</f>
        <v>66</v>
      </c>
      <c r="D63" s="401">
        <f>Données!Z64</f>
        <v>2609</v>
      </c>
      <c r="E63" s="177">
        <f>VPI!R64</f>
        <v>73743.655606060609</v>
      </c>
      <c r="F63" s="313">
        <f>'Péréquation directe'!K70</f>
        <v>-210366.41677125986</v>
      </c>
      <c r="G63" s="326">
        <f>PCS!I70</f>
        <v>1012799.2728928295</v>
      </c>
      <c r="H63" s="342">
        <f>'Facture policière'!L64</f>
        <v>221074.7575505572</v>
      </c>
      <c r="I63" s="450">
        <f t="shared" si="0"/>
        <v>1023507.6136721268</v>
      </c>
      <c r="J63" s="179"/>
    </row>
    <row r="64" spans="1:10" s="87" customFormat="1" x14ac:dyDescent="0.25">
      <c r="A64" s="394">
        <f>Données!A65</f>
        <v>5499</v>
      </c>
      <c r="B64" s="398" t="str">
        <f>Données!B65</f>
        <v>Senarclens</v>
      </c>
      <c r="C64" s="396">
        <f>VPI!Q65</f>
        <v>68.5</v>
      </c>
      <c r="D64" s="401">
        <f>Données!Z65</f>
        <v>496</v>
      </c>
      <c r="E64" s="177">
        <f>VPI!R65</f>
        <v>20491.103065693427</v>
      </c>
      <c r="F64" s="313">
        <f>'Péréquation directe'!K71</f>
        <v>263266.72575088229</v>
      </c>
      <c r="G64" s="326">
        <f>PCS!I71</f>
        <v>287596.48989312066</v>
      </c>
      <c r="H64" s="342">
        <f>'Facture policière'!L65</f>
        <v>62146.531944511444</v>
      </c>
      <c r="I64" s="450">
        <f t="shared" si="0"/>
        <v>613009.74758851435</v>
      </c>
      <c r="J64" s="179"/>
    </row>
    <row r="65" spans="1:10" s="87" customFormat="1" x14ac:dyDescent="0.25">
      <c r="A65" s="394">
        <f>Données!A66</f>
        <v>5501</v>
      </c>
      <c r="B65" s="398" t="str">
        <f>Données!B66</f>
        <v>Sullens</v>
      </c>
      <c r="C65" s="396">
        <f>VPI!Q66</f>
        <v>64</v>
      </c>
      <c r="D65" s="401">
        <f>Données!Z66</f>
        <v>1170</v>
      </c>
      <c r="E65" s="177">
        <f>VPI!R66</f>
        <v>53840.673124999994</v>
      </c>
      <c r="F65" s="313">
        <f>'Péréquation directe'!K72</f>
        <v>797257.06272348715</v>
      </c>
      <c r="G65" s="326">
        <f>PCS!I72</f>
        <v>910313.41629944858</v>
      </c>
      <c r="H65" s="342">
        <f>'Facture policière'!L66</f>
        <v>163330.9666321041</v>
      </c>
      <c r="I65" s="450">
        <f t="shared" si="0"/>
        <v>1870901.4456550397</v>
      </c>
      <c r="J65" s="179"/>
    </row>
    <row r="66" spans="1:10" s="87" customFormat="1" x14ac:dyDescent="0.25">
      <c r="A66" s="394">
        <f>Données!A67</f>
        <v>5503</v>
      </c>
      <c r="B66" s="398" t="str">
        <f>Données!B67</f>
        <v>Vufflens-la-Ville</v>
      </c>
      <c r="C66" s="396">
        <f>VPI!Q67</f>
        <v>67</v>
      </c>
      <c r="D66" s="401">
        <f>Données!Z67</f>
        <v>1334</v>
      </c>
      <c r="E66" s="177">
        <f>VPI!R67</f>
        <v>75222.663980099518</v>
      </c>
      <c r="F66" s="313">
        <f>'Péréquation directe'!K73</f>
        <v>1195126.3786561498</v>
      </c>
      <c r="G66" s="326">
        <f>PCS!I73</f>
        <v>1159878.3164919273</v>
      </c>
      <c r="H66" s="342">
        <f>'Facture policière'!L67</f>
        <v>207852.32422997852</v>
      </c>
      <c r="I66" s="450">
        <f t="shared" si="0"/>
        <v>2562857.0193780554</v>
      </c>
      <c r="J66" s="179"/>
    </row>
    <row r="67" spans="1:10" s="87" customFormat="1" x14ac:dyDescent="0.25">
      <c r="A67" s="394">
        <f>Données!A68</f>
        <v>5511</v>
      </c>
      <c r="B67" s="398" t="str">
        <f>Données!B68</f>
        <v>Assens</v>
      </c>
      <c r="C67" s="396">
        <f>VPI!Q68</f>
        <v>70</v>
      </c>
      <c r="D67" s="401">
        <f>Données!Z68</f>
        <v>1669</v>
      </c>
      <c r="E67" s="177">
        <f>VPI!R68</f>
        <v>72835.778857142868</v>
      </c>
      <c r="F67" s="313">
        <f>'Péréquation directe'!K74</f>
        <v>871319.86763351597</v>
      </c>
      <c r="G67" s="326">
        <f>PCS!I74</f>
        <v>1007811.6614418862</v>
      </c>
      <c r="H67" s="342">
        <f>'Facture policière'!L68</f>
        <v>219838.93582582209</v>
      </c>
      <c r="I67" s="450">
        <f t="shared" si="0"/>
        <v>2098970.4649012242</v>
      </c>
      <c r="J67" s="179"/>
    </row>
    <row r="68" spans="1:10" s="87" customFormat="1" x14ac:dyDescent="0.25">
      <c r="A68" s="394">
        <f>Données!A69</f>
        <v>5512</v>
      </c>
      <c r="B68" s="398" t="str">
        <f>Données!B69</f>
        <v>Bercher</v>
      </c>
      <c r="C68" s="396">
        <f>VPI!Q69</f>
        <v>79</v>
      </c>
      <c r="D68" s="401">
        <f>Données!Z69</f>
        <v>1359</v>
      </c>
      <c r="E68" s="177">
        <f>VPI!R69</f>
        <v>41198.7282278481</v>
      </c>
      <c r="F68" s="313">
        <f>'Péréquation directe'!K75</f>
        <v>-81862.135850869468</v>
      </c>
      <c r="G68" s="326">
        <f>PCS!I75</f>
        <v>583325.73312121315</v>
      </c>
      <c r="H68" s="342">
        <f>'Facture policière'!L69</f>
        <v>123919.56714172085</v>
      </c>
      <c r="I68" s="450">
        <f t="shared" si="0"/>
        <v>625383.16441206448</v>
      </c>
      <c r="J68" s="179"/>
    </row>
    <row r="69" spans="1:10" s="87" customFormat="1" x14ac:dyDescent="0.25">
      <c r="A69" s="394">
        <f>Données!A70</f>
        <v>5514</v>
      </c>
      <c r="B69" s="398" t="str">
        <f>Données!B70</f>
        <v>Bottens</v>
      </c>
      <c r="C69" s="396">
        <f>VPI!Q70</f>
        <v>72.5</v>
      </c>
      <c r="D69" s="401">
        <f>Données!Z70</f>
        <v>1356</v>
      </c>
      <c r="E69" s="177">
        <f>VPI!R70</f>
        <v>45712.235586206894</v>
      </c>
      <c r="F69" s="313">
        <f>'Péréquation directe'!K76</f>
        <v>200738.67420613824</v>
      </c>
      <c r="G69" s="326">
        <f>PCS!I76</f>
        <v>635629.02606193617</v>
      </c>
      <c r="H69" s="342">
        <f>'Facture policière'!L70</f>
        <v>138369.51579006796</v>
      </c>
      <c r="I69" s="450">
        <f t="shared" si="0"/>
        <v>974737.21605814237</v>
      </c>
      <c r="J69" s="179"/>
    </row>
    <row r="70" spans="1:10" s="87" customFormat="1" x14ac:dyDescent="0.25">
      <c r="A70" s="394">
        <f>Données!A71</f>
        <v>5515</v>
      </c>
      <c r="B70" s="398" t="str">
        <f>Données!B71</f>
        <v>Bretigny-sur-Morrens</v>
      </c>
      <c r="C70" s="396">
        <f>VPI!Q71</f>
        <v>78</v>
      </c>
      <c r="D70" s="401">
        <f>Données!Z71</f>
        <v>878</v>
      </c>
      <c r="E70" s="177">
        <f>VPI!R71</f>
        <v>29285.295897435899</v>
      </c>
      <c r="F70" s="313">
        <f>'Péréquation directe'!K77</f>
        <v>127098.02533613209</v>
      </c>
      <c r="G70" s="326">
        <f>PCS!I77</f>
        <v>389041.68602001813</v>
      </c>
      <c r="H70" s="342">
        <f>'Facture policière'!L71</f>
        <v>87749.053269013719</v>
      </c>
      <c r="I70" s="450">
        <f t="shared" ref="I70:I133" si="1">SUM(F70:H70)</f>
        <v>603888.76462516398</v>
      </c>
      <c r="J70" s="179"/>
    </row>
    <row r="71" spans="1:10" s="87" customFormat="1" x14ac:dyDescent="0.25">
      <c r="A71" s="394">
        <f>Données!A72</f>
        <v>5516</v>
      </c>
      <c r="B71" s="398" t="str">
        <f>Données!B72</f>
        <v>Cugy</v>
      </c>
      <c r="C71" s="396">
        <f>VPI!Q72</f>
        <v>76</v>
      </c>
      <c r="D71" s="401">
        <f>Données!Z72</f>
        <v>2699</v>
      </c>
      <c r="E71" s="177">
        <f>VPI!R72</f>
        <v>110290.24758771928</v>
      </c>
      <c r="F71" s="313">
        <f>'Péréquation directe'!K78</f>
        <v>903359.54447600711</v>
      </c>
      <c r="G71" s="326">
        <f>PCS!I78</f>
        <v>1593559.0736010568</v>
      </c>
      <c r="H71" s="342">
        <f>'Facture policière'!L72</f>
        <v>333675.97676078201</v>
      </c>
      <c r="I71" s="450">
        <f t="shared" si="1"/>
        <v>2830594.5948378458</v>
      </c>
      <c r="J71" s="179"/>
    </row>
    <row r="72" spans="1:10" s="87" customFormat="1" x14ac:dyDescent="0.25">
      <c r="A72" s="394">
        <f>Données!A73</f>
        <v>5518</v>
      </c>
      <c r="B72" s="398" t="str">
        <f>Données!B73</f>
        <v>Echallens</v>
      </c>
      <c r="C72" s="396">
        <f>VPI!Q73</f>
        <v>72.5</v>
      </c>
      <c r="D72" s="401">
        <f>Données!Z73</f>
        <v>5817</v>
      </c>
      <c r="E72" s="177">
        <f>VPI!R73</f>
        <v>193282.28662068967</v>
      </c>
      <c r="F72" s="313">
        <f>'Péréquation directe'!K79</f>
        <v>-536599.93838029495</v>
      </c>
      <c r="G72" s="326">
        <f>PCS!I79</f>
        <v>2873407.3989681229</v>
      </c>
      <c r="H72" s="342">
        <f>'Facture policière'!L73</f>
        <v>581133.56906874862</v>
      </c>
      <c r="I72" s="450">
        <f t="shared" si="1"/>
        <v>2917941.0296565765</v>
      </c>
      <c r="J72" s="179"/>
    </row>
    <row r="73" spans="1:10" s="87" customFormat="1" x14ac:dyDescent="0.25">
      <c r="A73" s="394">
        <f>Données!A74</f>
        <v>5520</v>
      </c>
      <c r="B73" s="398" t="str">
        <f>Données!B74</f>
        <v>Essertines-sur-Yverdon</v>
      </c>
      <c r="C73" s="396">
        <f>VPI!Q74</f>
        <v>74</v>
      </c>
      <c r="D73" s="401">
        <f>Données!Z74</f>
        <v>1081</v>
      </c>
      <c r="E73" s="177">
        <f>VPI!R74</f>
        <v>31422.035945945943</v>
      </c>
      <c r="F73" s="313">
        <f>'Péréquation directe'!K80</f>
        <v>-13132.146957109915</v>
      </c>
      <c r="G73" s="326">
        <f>PCS!I80</f>
        <v>496431.75985798833</v>
      </c>
      <c r="H73" s="342">
        <f>'Facture policière'!L74</f>
        <v>94378.672594171396</v>
      </c>
      <c r="I73" s="450">
        <f t="shared" si="1"/>
        <v>577678.28549504979</v>
      </c>
      <c r="J73" s="179"/>
    </row>
    <row r="74" spans="1:10" s="87" customFormat="1" x14ac:dyDescent="0.25">
      <c r="A74" s="394">
        <f>Données!A75</f>
        <v>5521</v>
      </c>
      <c r="B74" s="398" t="str">
        <f>Données!B75</f>
        <v>Etagnières</v>
      </c>
      <c r="C74" s="396">
        <f>VPI!Q75</f>
        <v>73</v>
      </c>
      <c r="D74" s="401">
        <f>Données!Z75</f>
        <v>1151</v>
      </c>
      <c r="E74" s="177">
        <f>VPI!R75</f>
        <v>47189.665890410972</v>
      </c>
      <c r="F74" s="313">
        <f>'Péréquation directe'!K81</f>
        <v>540343.02138622582</v>
      </c>
      <c r="G74" s="326">
        <f>PCS!I81</f>
        <v>920049.09327910398</v>
      </c>
      <c r="H74" s="342">
        <f>'Facture policière'!L75</f>
        <v>141895.93631060008</v>
      </c>
      <c r="I74" s="450">
        <f t="shared" si="1"/>
        <v>1602288.0509759299</v>
      </c>
      <c r="J74" s="179"/>
    </row>
    <row r="75" spans="1:10" s="87" customFormat="1" x14ac:dyDescent="0.25">
      <c r="A75" s="394">
        <f>Données!A76</f>
        <v>5522</v>
      </c>
      <c r="B75" s="398" t="str">
        <f>Données!B76</f>
        <v>Fey</v>
      </c>
      <c r="C75" s="396">
        <f>VPI!Q76</f>
        <v>75</v>
      </c>
      <c r="D75" s="401">
        <f>Données!Z76</f>
        <v>736</v>
      </c>
      <c r="E75" s="177">
        <f>VPI!R76</f>
        <v>24172.463733333334</v>
      </c>
      <c r="F75" s="313">
        <f>'Péréquation directe'!K82</f>
        <v>111217.72356299253</v>
      </c>
      <c r="G75" s="326">
        <f>PCS!I82</f>
        <v>355219.61168191995</v>
      </c>
      <c r="H75" s="342">
        <f>'Facture policière'!L76</f>
        <v>72923.897381223578</v>
      </c>
      <c r="I75" s="450">
        <f t="shared" si="1"/>
        <v>539361.23262613604</v>
      </c>
      <c r="J75" s="179"/>
    </row>
    <row r="76" spans="1:10" s="87" customFormat="1" x14ac:dyDescent="0.25">
      <c r="A76" s="394">
        <f>Données!A77</f>
        <v>5523</v>
      </c>
      <c r="B76" s="398" t="str">
        <f>Données!B77</f>
        <v>Froideville</v>
      </c>
      <c r="C76" s="396">
        <f>VPI!Q77</f>
        <v>72</v>
      </c>
      <c r="D76" s="401">
        <f>Données!Z77</f>
        <v>2720</v>
      </c>
      <c r="E76" s="177">
        <f>VPI!R77</f>
        <v>92231.307222222211</v>
      </c>
      <c r="F76" s="313">
        <f>'Péréquation directe'!K83</f>
        <v>202064.40222819103</v>
      </c>
      <c r="G76" s="326">
        <f>PCS!I83</f>
        <v>1408230.6593353865</v>
      </c>
      <c r="H76" s="342">
        <f>'Facture policière'!L77</f>
        <v>277049.58500760025</v>
      </c>
      <c r="I76" s="450">
        <f t="shared" si="1"/>
        <v>1887344.6465711778</v>
      </c>
      <c r="J76" s="179"/>
    </row>
    <row r="77" spans="1:10" s="87" customFormat="1" x14ac:dyDescent="0.25">
      <c r="A77" s="394">
        <f>Données!A78</f>
        <v>5527</v>
      </c>
      <c r="B77" s="398" t="str">
        <f>Données!B78</f>
        <v>Morrens</v>
      </c>
      <c r="C77" s="396">
        <f>VPI!Q78</f>
        <v>74</v>
      </c>
      <c r="D77" s="401">
        <f>Données!Z78</f>
        <v>1172</v>
      </c>
      <c r="E77" s="177">
        <f>VPI!R78</f>
        <v>40722.505675675682</v>
      </c>
      <c r="F77" s="313">
        <f>'Péréquation directe'!K84</f>
        <v>239701.44721786014</v>
      </c>
      <c r="G77" s="326">
        <f>PCS!I84</f>
        <v>617461.67625912488</v>
      </c>
      <c r="H77" s="342">
        <f>'Facture policière'!L78</f>
        <v>122586.93552506265</v>
      </c>
      <c r="I77" s="450">
        <f t="shared" si="1"/>
        <v>979750.05900204764</v>
      </c>
      <c r="J77" s="179"/>
    </row>
    <row r="78" spans="1:10" s="87" customFormat="1" x14ac:dyDescent="0.25">
      <c r="A78" s="394">
        <f>Données!A79</f>
        <v>5529</v>
      </c>
      <c r="B78" s="398" t="str">
        <f>Données!B79</f>
        <v>Oulens-sous-Echallens</v>
      </c>
      <c r="C78" s="396">
        <f>VPI!Q79</f>
        <v>71</v>
      </c>
      <c r="D78" s="401">
        <f>Données!Z79</f>
        <v>606</v>
      </c>
      <c r="E78" s="177">
        <f>VPI!R79</f>
        <v>22677.013380281693</v>
      </c>
      <c r="F78" s="313">
        <f>'Péréquation directe'!K85</f>
        <v>222812.93847801397</v>
      </c>
      <c r="G78" s="326">
        <f>PCS!I85</f>
        <v>270269.78371321596</v>
      </c>
      <c r="H78" s="342">
        <f>'Facture policière'!L79</f>
        <v>68209.831792530807</v>
      </c>
      <c r="I78" s="450">
        <f t="shared" si="1"/>
        <v>561292.55398376076</v>
      </c>
      <c r="J78" s="179"/>
    </row>
    <row r="79" spans="1:10" s="87" customFormat="1" x14ac:dyDescent="0.25">
      <c r="A79" s="394">
        <f>Données!A80</f>
        <v>5530</v>
      </c>
      <c r="B79" s="398" t="str">
        <f>Données!B80</f>
        <v>Pailly</v>
      </c>
      <c r="C79" s="396">
        <f>VPI!Q80</f>
        <v>76</v>
      </c>
      <c r="D79" s="401">
        <f>Données!Z80</f>
        <v>566</v>
      </c>
      <c r="E79" s="177">
        <f>VPI!R80</f>
        <v>20112.17390350877</v>
      </c>
      <c r="F79" s="313">
        <f>'Péréquation directe'!K86</f>
        <v>144612.87509118827</v>
      </c>
      <c r="G79" s="326">
        <f>PCS!I86</f>
        <v>507062.20982439152</v>
      </c>
      <c r="H79" s="342">
        <f>'Facture policière'!L80</f>
        <v>61456.368096469596</v>
      </c>
      <c r="I79" s="450">
        <f t="shared" si="1"/>
        <v>713131.45301204931</v>
      </c>
      <c r="J79" s="179"/>
    </row>
    <row r="80" spans="1:10" s="87" customFormat="1" x14ac:dyDescent="0.25">
      <c r="A80" s="394">
        <f>Données!A81</f>
        <v>5531</v>
      </c>
      <c r="B80" s="398" t="str">
        <f>Données!B81</f>
        <v>Penthéréaz</v>
      </c>
      <c r="C80" s="396">
        <f>VPI!Q81</f>
        <v>74</v>
      </c>
      <c r="D80" s="401">
        <f>Données!Z81</f>
        <v>433</v>
      </c>
      <c r="E80" s="177">
        <f>VPI!R81</f>
        <v>17299.306216216217</v>
      </c>
      <c r="F80" s="313">
        <f>'Péréquation directe'!K87</f>
        <v>195950.17635503452</v>
      </c>
      <c r="G80" s="326">
        <f>PCS!I87</f>
        <v>225340.71752386077</v>
      </c>
      <c r="H80" s="342">
        <f>'Facture policière'!L81</f>
        <v>52720.598182175418</v>
      </c>
      <c r="I80" s="450">
        <f t="shared" si="1"/>
        <v>474011.49206107075</v>
      </c>
      <c r="J80" s="179"/>
    </row>
    <row r="81" spans="1:10" s="87" customFormat="1" x14ac:dyDescent="0.25">
      <c r="A81" s="394">
        <f>Données!A82</f>
        <v>5533</v>
      </c>
      <c r="B81" s="398" t="str">
        <f>Données!B82</f>
        <v>Poliez-Pittet</v>
      </c>
      <c r="C81" s="396">
        <f>VPI!Q82</f>
        <v>73</v>
      </c>
      <c r="D81" s="401">
        <f>Données!Z82</f>
        <v>847</v>
      </c>
      <c r="E81" s="177">
        <f>VPI!R82</f>
        <v>28012.381095890411</v>
      </c>
      <c r="F81" s="313">
        <f>'Péréquation directe'!K88</f>
        <v>151493.47302284034</v>
      </c>
      <c r="G81" s="326">
        <f>PCS!I88</f>
        <v>385864.3171916838</v>
      </c>
      <c r="H81" s="342">
        <f>'Facture policière'!L82</f>
        <v>84428.035835629649</v>
      </c>
      <c r="I81" s="450">
        <f t="shared" si="1"/>
        <v>621785.82605015382</v>
      </c>
      <c r="J81" s="179"/>
    </row>
    <row r="82" spans="1:10" s="87" customFormat="1" x14ac:dyDescent="0.25">
      <c r="A82" s="394">
        <f>Données!A83</f>
        <v>5534</v>
      </c>
      <c r="B82" s="398" t="str">
        <f>Données!B83</f>
        <v>Rueyres</v>
      </c>
      <c r="C82" s="396">
        <f>VPI!Q83</f>
        <v>73</v>
      </c>
      <c r="D82" s="401">
        <f>Données!Z83</f>
        <v>303</v>
      </c>
      <c r="E82" s="177">
        <f>VPI!R83</f>
        <v>15042.055228310503</v>
      </c>
      <c r="F82" s="313">
        <f>'Péréquation directe'!K89</f>
        <v>249820.87782132698</v>
      </c>
      <c r="G82" s="326">
        <f>PCS!I89</f>
        <v>205957.18544301874</v>
      </c>
      <c r="H82" s="342">
        <f>'Facture policière'!L83</f>
        <v>44798.86782291827</v>
      </c>
      <c r="I82" s="450">
        <f t="shared" si="1"/>
        <v>500576.93108726403</v>
      </c>
      <c r="J82" s="179"/>
    </row>
    <row r="83" spans="1:10" s="87" customFormat="1" x14ac:dyDescent="0.25">
      <c r="A83" s="394">
        <f>Données!A84</f>
        <v>5535</v>
      </c>
      <c r="B83" s="398" t="str">
        <f>Données!B84</f>
        <v>Saint-Barthélemy</v>
      </c>
      <c r="C83" s="396">
        <f>VPI!Q84</f>
        <v>75</v>
      </c>
      <c r="D83" s="401">
        <f>Données!Z84</f>
        <v>814</v>
      </c>
      <c r="E83" s="177">
        <f>VPI!R84</f>
        <v>25488.94373333333</v>
      </c>
      <c r="F83" s="313">
        <f>'Péréquation directe'!K90</f>
        <v>71090.220143582614</v>
      </c>
      <c r="G83" s="326">
        <f>PCS!I90</f>
        <v>380518.50699664053</v>
      </c>
      <c r="H83" s="342">
        <f>'Facture policière'!L84</f>
        <v>77056.326648045637</v>
      </c>
      <c r="I83" s="450">
        <f t="shared" si="1"/>
        <v>528665.05378826882</v>
      </c>
      <c r="J83" s="179"/>
    </row>
    <row r="84" spans="1:10" s="87" customFormat="1" x14ac:dyDescent="0.25">
      <c r="A84" s="394">
        <f>Données!A85</f>
        <v>5537</v>
      </c>
      <c r="B84" s="398" t="str">
        <f>Données!B85</f>
        <v>Villars-le-Terroir</v>
      </c>
      <c r="C84" s="396">
        <f>VPI!Q85</f>
        <v>76</v>
      </c>
      <c r="D84" s="401">
        <f>Données!Z85</f>
        <v>1310</v>
      </c>
      <c r="E84" s="177">
        <f>VPI!R85</f>
        <v>39164.122763157902</v>
      </c>
      <c r="F84" s="313">
        <f>'Péréquation directe'!K91</f>
        <v>-49630.941238443949</v>
      </c>
      <c r="G84" s="326">
        <f>PCS!I91</f>
        <v>521048.90619795793</v>
      </c>
      <c r="H84" s="342">
        <f>'Facture policière'!L85</f>
        <v>117340.3306929323</v>
      </c>
      <c r="I84" s="450">
        <f t="shared" si="1"/>
        <v>588758.29565244634</v>
      </c>
      <c r="J84" s="179"/>
    </row>
    <row r="85" spans="1:10" s="87" customFormat="1" x14ac:dyDescent="0.25">
      <c r="A85" s="394">
        <f>Données!A86</f>
        <v>5539</v>
      </c>
      <c r="B85" s="398" t="str">
        <f>Données!B86</f>
        <v>Vuarrens</v>
      </c>
      <c r="C85" s="396">
        <f>VPI!Q86</f>
        <v>73.5</v>
      </c>
      <c r="D85" s="401">
        <f>Données!Z86</f>
        <v>1106</v>
      </c>
      <c r="E85" s="177">
        <f>VPI!R86</f>
        <v>34442.458945578233</v>
      </c>
      <c r="F85" s="313">
        <f>'Péréquation directe'!K92</f>
        <v>81090.365376219503</v>
      </c>
      <c r="G85" s="326">
        <f>PCS!I92</f>
        <v>507556.97132449003</v>
      </c>
      <c r="H85" s="342">
        <f>'Facture policière'!L86</f>
        <v>103881.44589877673</v>
      </c>
      <c r="I85" s="450">
        <f t="shared" si="1"/>
        <v>692528.78259948629</v>
      </c>
      <c r="J85" s="179"/>
    </row>
    <row r="86" spans="1:10" s="87" customFormat="1" x14ac:dyDescent="0.25">
      <c r="A86" s="394">
        <f>Données!A87</f>
        <v>5540</v>
      </c>
      <c r="B86" s="398" t="str">
        <f>Données!B87</f>
        <v>Montilliez</v>
      </c>
      <c r="C86" s="396">
        <f>VPI!Q87</f>
        <v>72.5</v>
      </c>
      <c r="D86" s="401">
        <f>Données!Z87</f>
        <v>1895</v>
      </c>
      <c r="E86" s="177">
        <f>VPI!R87</f>
        <v>67464.467689655183</v>
      </c>
      <c r="F86" s="313">
        <f>'Péréquation directe'!K93</f>
        <v>332264.42253872065</v>
      </c>
      <c r="G86" s="326">
        <f>PCS!I93</f>
        <v>905842.25728854467</v>
      </c>
      <c r="H86" s="342">
        <f>'Facture policière'!L87</f>
        <v>204301.1698762037</v>
      </c>
      <c r="I86" s="450">
        <f t="shared" si="1"/>
        <v>1442407.8497034691</v>
      </c>
      <c r="J86" s="179"/>
    </row>
    <row r="87" spans="1:10" s="87" customFormat="1" x14ac:dyDescent="0.25">
      <c r="A87" s="394">
        <f>Données!A88</f>
        <v>5541</v>
      </c>
      <c r="B87" s="398" t="str">
        <f>Données!B88</f>
        <v>Goumoëns</v>
      </c>
      <c r="C87" s="396">
        <f>VPI!Q88</f>
        <v>75.5</v>
      </c>
      <c r="D87" s="401">
        <f>Données!Z88</f>
        <v>1175</v>
      </c>
      <c r="E87" s="177">
        <f>VPI!R88</f>
        <v>41726.211258278148</v>
      </c>
      <c r="F87" s="313">
        <f>'Péréquation directe'!K94</f>
        <v>263065.77839444345</v>
      </c>
      <c r="G87" s="326">
        <f>PCS!I94</f>
        <v>623731.60887059453</v>
      </c>
      <c r="H87" s="342">
        <f>'Facture policière'!L88</f>
        <v>126610.67692750617</v>
      </c>
      <c r="I87" s="450">
        <f t="shared" si="1"/>
        <v>1013408.0641925442</v>
      </c>
      <c r="J87" s="179"/>
    </row>
    <row r="88" spans="1:10" s="87" customFormat="1" x14ac:dyDescent="0.25">
      <c r="A88" s="394">
        <f>Données!A89</f>
        <v>5551</v>
      </c>
      <c r="B88" s="398" t="str">
        <f>Données!B89</f>
        <v>Bonvillars</v>
      </c>
      <c r="C88" s="396">
        <f>VPI!Q89</f>
        <v>56</v>
      </c>
      <c r="D88" s="401">
        <f>Données!Z89</f>
        <v>501</v>
      </c>
      <c r="E88" s="177">
        <f>VPI!R89</f>
        <v>18575.023035714283</v>
      </c>
      <c r="F88" s="313">
        <f>'Péréquation directe'!K95</f>
        <v>220761.26208887147</v>
      </c>
      <c r="G88" s="326">
        <f>PCS!I95</f>
        <v>392978.61709081405</v>
      </c>
      <c r="H88" s="342">
        <f>'Facture policière'!L89</f>
        <v>54439.979236824445</v>
      </c>
      <c r="I88" s="450">
        <f t="shared" si="1"/>
        <v>668179.85841650993</v>
      </c>
      <c r="J88" s="179"/>
    </row>
    <row r="89" spans="1:10" s="87" customFormat="1" x14ac:dyDescent="0.25">
      <c r="A89" s="394">
        <f>Données!A90</f>
        <v>5552</v>
      </c>
      <c r="B89" s="398" t="str">
        <f>Données!B90</f>
        <v>Bullet</v>
      </c>
      <c r="C89" s="396">
        <f>VPI!Q90</f>
        <v>71.5</v>
      </c>
      <c r="D89" s="401">
        <f>Données!Z90</f>
        <v>651</v>
      </c>
      <c r="E89" s="177">
        <f>VPI!R90</f>
        <v>19038.952167832165</v>
      </c>
      <c r="F89" s="313">
        <f>'Péréquation directe'!K96</f>
        <v>26353.702339794778</v>
      </c>
      <c r="G89" s="326">
        <f>PCS!I96</f>
        <v>303010.76776453253</v>
      </c>
      <c r="H89" s="342">
        <f>'Facture policière'!L90</f>
        <v>56694.276505390597</v>
      </c>
      <c r="I89" s="450">
        <f t="shared" si="1"/>
        <v>386058.7466097179</v>
      </c>
      <c r="J89" s="179"/>
    </row>
    <row r="90" spans="1:10" s="87" customFormat="1" x14ac:dyDescent="0.25">
      <c r="A90" s="394">
        <f>Données!A91</f>
        <v>5553</v>
      </c>
      <c r="B90" s="398" t="str">
        <f>Données!B91</f>
        <v>Champagne</v>
      </c>
      <c r="C90" s="396">
        <f>VPI!Q91</f>
        <v>65</v>
      </c>
      <c r="D90" s="401">
        <f>Données!Z91</f>
        <v>1077</v>
      </c>
      <c r="E90" s="177">
        <f>VPI!R91</f>
        <v>38263.796923076923</v>
      </c>
      <c r="F90" s="313">
        <f>'Péréquation directe'!K97</f>
        <v>343243.68725489883</v>
      </c>
      <c r="G90" s="326">
        <f>PCS!I97</f>
        <v>574648.72536891187</v>
      </c>
      <c r="H90" s="342">
        <f>'Facture policière'!L91</f>
        <v>113684.8756303947</v>
      </c>
      <c r="I90" s="450">
        <f t="shared" si="1"/>
        <v>1031577.2882542054</v>
      </c>
      <c r="J90" s="179"/>
    </row>
    <row r="91" spans="1:10" s="87" customFormat="1" x14ac:dyDescent="0.25">
      <c r="A91" s="394">
        <f>Données!A92</f>
        <v>5554</v>
      </c>
      <c r="B91" s="398" t="str">
        <f>Données!B92</f>
        <v>Concise</v>
      </c>
      <c r="C91" s="396">
        <f>VPI!Q92</f>
        <v>75</v>
      </c>
      <c r="D91" s="401">
        <f>Données!Z92</f>
        <v>1002</v>
      </c>
      <c r="E91" s="177">
        <f>VPI!R92</f>
        <v>33907.166000000005</v>
      </c>
      <c r="F91" s="313">
        <f>'Péréquation directe'!K98</f>
        <v>192573.40575796861</v>
      </c>
      <c r="G91" s="326">
        <f>PCS!I98</f>
        <v>528616.62278577907</v>
      </c>
      <c r="H91" s="342">
        <f>'Facture policière'!L92</f>
        <v>102639.35433176087</v>
      </c>
      <c r="I91" s="450">
        <f t="shared" si="1"/>
        <v>823829.38287550863</v>
      </c>
      <c r="J91" s="179"/>
    </row>
    <row r="92" spans="1:10" s="87" customFormat="1" x14ac:dyDescent="0.25">
      <c r="A92" s="394">
        <f>Données!A93</f>
        <v>5555</v>
      </c>
      <c r="B92" s="398" t="str">
        <f>Données!B93</f>
        <v>Corcelles-près-Concise</v>
      </c>
      <c r="C92" s="396">
        <f>VPI!Q93</f>
        <v>69</v>
      </c>
      <c r="D92" s="401">
        <f>Données!Z93</f>
        <v>412</v>
      </c>
      <c r="E92" s="177">
        <f>VPI!R93</f>
        <v>13425.201594202899</v>
      </c>
      <c r="F92" s="313">
        <f>'Péréquation directe'!K99</f>
        <v>80392.587886574911</v>
      </c>
      <c r="G92" s="326">
        <f>PCS!I99</f>
        <v>171868.4242444917</v>
      </c>
      <c r="H92" s="342">
        <f>'Facture policière'!L93</f>
        <v>39771.159986472558</v>
      </c>
      <c r="I92" s="450">
        <f t="shared" si="1"/>
        <v>292032.17211753916</v>
      </c>
      <c r="J92" s="179"/>
    </row>
    <row r="93" spans="1:10" s="87" customFormat="1" x14ac:dyDescent="0.25">
      <c r="A93" s="394">
        <f>Données!A94</f>
        <v>5556</v>
      </c>
      <c r="B93" s="398" t="str">
        <f>Données!B94</f>
        <v>Fiez</v>
      </c>
      <c r="C93" s="396">
        <f>VPI!Q94</f>
        <v>69</v>
      </c>
      <c r="D93" s="401">
        <f>Données!Z94</f>
        <v>436</v>
      </c>
      <c r="E93" s="177">
        <f>VPI!R94</f>
        <v>13304.241787439612</v>
      </c>
      <c r="F93" s="313">
        <f>'Péréquation directe'!K100</f>
        <v>50548.417678529222</v>
      </c>
      <c r="G93" s="326">
        <f>PCS!I100</f>
        <v>216600.23709614901</v>
      </c>
      <c r="H93" s="342">
        <f>'Facture policière'!L94</f>
        <v>40040.634551115021</v>
      </c>
      <c r="I93" s="450">
        <f t="shared" si="1"/>
        <v>307189.28932579327</v>
      </c>
      <c r="J93" s="179"/>
    </row>
    <row r="94" spans="1:10" s="87" customFormat="1" x14ac:dyDescent="0.25">
      <c r="A94" s="394">
        <f>Données!A95</f>
        <v>5557</v>
      </c>
      <c r="B94" s="398" t="str">
        <f>Données!B95</f>
        <v>Fontaines-sur-Grandson</v>
      </c>
      <c r="C94" s="396">
        <f>VPI!Q95</f>
        <v>69</v>
      </c>
      <c r="D94" s="401">
        <f>Données!Z95</f>
        <v>214</v>
      </c>
      <c r="E94" s="177">
        <f>VPI!R95</f>
        <v>5098.7534782608691</v>
      </c>
      <c r="F94" s="313">
        <f>'Péréquation directe'!K101</f>
        <v>-29916.682714692783</v>
      </c>
      <c r="G94" s="326">
        <f>PCS!I101</f>
        <v>68269.611568510707</v>
      </c>
      <c r="H94" s="342">
        <f>'Facture policière'!L95</f>
        <v>15084.154750959555</v>
      </c>
      <c r="I94" s="450">
        <f t="shared" si="1"/>
        <v>53437.083604777479</v>
      </c>
      <c r="J94" s="179"/>
    </row>
    <row r="95" spans="1:10" s="87" customFormat="1" x14ac:dyDescent="0.25">
      <c r="A95" s="394">
        <f>Données!A96</f>
        <v>5559</v>
      </c>
      <c r="B95" s="398" t="str">
        <f>Données!B96</f>
        <v>Giez</v>
      </c>
      <c r="C95" s="396">
        <f>VPI!Q96</f>
        <v>66</v>
      </c>
      <c r="D95" s="401">
        <f>Données!Z96</f>
        <v>450</v>
      </c>
      <c r="E95" s="177">
        <f>VPI!R96</f>
        <v>21011.030606060605</v>
      </c>
      <c r="F95" s="313">
        <f>'Péréquation directe'!K102</f>
        <v>331786.80320356769</v>
      </c>
      <c r="G95" s="326">
        <f>PCS!I102</f>
        <v>306645.16665385035</v>
      </c>
      <c r="H95" s="342">
        <f>'Facture policière'!L96</f>
        <v>63930.99165550428</v>
      </c>
      <c r="I95" s="450">
        <f t="shared" si="1"/>
        <v>702362.96151292231</v>
      </c>
      <c r="J95" s="179"/>
    </row>
    <row r="96" spans="1:10" s="87" customFormat="1" x14ac:dyDescent="0.25">
      <c r="A96" s="394">
        <f>Données!A97</f>
        <v>5560</v>
      </c>
      <c r="B96" s="398" t="str">
        <f>Données!B97</f>
        <v>Grandevent</v>
      </c>
      <c r="C96" s="396">
        <f>VPI!Q97</f>
        <v>71</v>
      </c>
      <c r="D96" s="401">
        <f>Données!Z97</f>
        <v>237</v>
      </c>
      <c r="E96" s="177">
        <f>VPI!R97</f>
        <v>8996.1449295774655</v>
      </c>
      <c r="F96" s="313">
        <f>'Péréquation directe'!K103</f>
        <v>92153.98503396762</v>
      </c>
      <c r="G96" s="326">
        <f>PCS!I103</f>
        <v>131444.69338413316</v>
      </c>
      <c r="H96" s="342">
        <f>'Facture policière'!L97</f>
        <v>27339.195653898176</v>
      </c>
      <c r="I96" s="450">
        <f t="shared" si="1"/>
        <v>250937.87407199896</v>
      </c>
      <c r="J96" s="179"/>
    </row>
    <row r="97" spans="1:10" s="87" customFormat="1" x14ac:dyDescent="0.25">
      <c r="A97" s="394">
        <f>Données!A98</f>
        <v>5561</v>
      </c>
      <c r="B97" s="398" t="str">
        <f>Données!B98</f>
        <v>Grandson</v>
      </c>
      <c r="C97" s="396">
        <f>VPI!Q98</f>
        <v>69</v>
      </c>
      <c r="D97" s="401">
        <f>Données!Z98</f>
        <v>3359</v>
      </c>
      <c r="E97" s="177">
        <f>VPI!R98</f>
        <v>132376.08594202899</v>
      </c>
      <c r="F97" s="313">
        <f>'Péréquation directe'!K104</f>
        <v>928410.85849136556</v>
      </c>
      <c r="G97" s="326">
        <f>PCS!I104</f>
        <v>1983771.8877930471</v>
      </c>
      <c r="H97" s="342">
        <f>'Facture policière'!L98</f>
        <v>400547.06682036573</v>
      </c>
      <c r="I97" s="450">
        <f t="shared" si="1"/>
        <v>3312729.8131047785</v>
      </c>
      <c r="J97" s="179"/>
    </row>
    <row r="98" spans="1:10" s="87" customFormat="1" x14ac:dyDescent="0.25">
      <c r="A98" s="394">
        <f>Données!A99</f>
        <v>5562</v>
      </c>
      <c r="B98" s="398" t="str">
        <f>Données!B99</f>
        <v>Mauborget</v>
      </c>
      <c r="C98" s="396">
        <f>VPI!Q99</f>
        <v>70</v>
      </c>
      <c r="D98" s="401">
        <f>Données!Z99</f>
        <v>138</v>
      </c>
      <c r="E98" s="177">
        <f>VPI!R99</f>
        <v>4559.8505476190467</v>
      </c>
      <c r="F98" s="313">
        <f>'Péréquation directe'!K105</f>
        <v>28158.145909577448</v>
      </c>
      <c r="G98" s="326">
        <f>PCS!I105</f>
        <v>57166.750273224556</v>
      </c>
      <c r="H98" s="342">
        <f>'Facture policière'!L99</f>
        <v>13673.934014062044</v>
      </c>
      <c r="I98" s="450">
        <f t="shared" si="1"/>
        <v>98998.830196864059</v>
      </c>
      <c r="J98" s="179"/>
    </row>
    <row r="99" spans="1:10" s="87" customFormat="1" x14ac:dyDescent="0.25">
      <c r="A99" s="394">
        <f>Données!A100</f>
        <v>5563</v>
      </c>
      <c r="B99" s="398" t="str">
        <f>Données!B100</f>
        <v>Mutrux</v>
      </c>
      <c r="C99" s="396">
        <f>VPI!Q100</f>
        <v>80</v>
      </c>
      <c r="D99" s="401">
        <f>Données!Z100</f>
        <v>151</v>
      </c>
      <c r="E99" s="177">
        <f>VPI!R100</f>
        <v>2282.3142499999999</v>
      </c>
      <c r="F99" s="313">
        <f>'Péréquation directe'!K106</f>
        <v>-75692.593347102695</v>
      </c>
      <c r="G99" s="326">
        <f>PCS!I106</f>
        <v>57434.07934710267</v>
      </c>
      <c r="H99" s="342">
        <f>'Facture policière'!L100</f>
        <v>6696.0250032496042</v>
      </c>
      <c r="I99" s="450">
        <f t="shared" si="1"/>
        <v>-11562.48899675042</v>
      </c>
      <c r="J99" s="179"/>
    </row>
    <row r="100" spans="1:10" s="87" customFormat="1" x14ac:dyDescent="0.25">
      <c r="A100" s="394">
        <f>Données!A101</f>
        <v>5564</v>
      </c>
      <c r="B100" s="398" t="str">
        <f>Données!B101</f>
        <v>Novalles</v>
      </c>
      <c r="C100" s="396">
        <f>VPI!Q101</f>
        <v>76</v>
      </c>
      <c r="D100" s="401">
        <f>Données!Z101</f>
        <v>99</v>
      </c>
      <c r="E100" s="177">
        <f>VPI!R101</f>
        <v>2548.8725328947371</v>
      </c>
      <c r="F100" s="313">
        <f>'Péréquation directe'!K107</f>
        <v>-15686.065346613956</v>
      </c>
      <c r="G100" s="326">
        <f>PCS!I107</f>
        <v>29691.8447801494</v>
      </c>
      <c r="H100" s="342">
        <f>'Facture policière'!L101</f>
        <v>7730.3630796314537</v>
      </c>
      <c r="I100" s="450">
        <f t="shared" si="1"/>
        <v>21736.142513166898</v>
      </c>
      <c r="J100" s="179"/>
    </row>
    <row r="101" spans="1:10" s="87" customFormat="1" x14ac:dyDescent="0.25">
      <c r="A101" s="394">
        <f>Données!A102</f>
        <v>5565</v>
      </c>
      <c r="B101" s="398" t="str">
        <f>Données!B102</f>
        <v>Onnens</v>
      </c>
      <c r="C101" s="396">
        <f>VPI!Q102</f>
        <v>63.5</v>
      </c>
      <c r="D101" s="401">
        <f>Données!Z102</f>
        <v>496</v>
      </c>
      <c r="E101" s="177">
        <f>VPI!R102</f>
        <v>11658.700944881888</v>
      </c>
      <c r="F101" s="313">
        <f>'Péréquation directe'!K108</f>
        <v>-39393.346826624853</v>
      </c>
      <c r="G101" s="326">
        <f>PCS!I108</f>
        <v>174462.41832845815</v>
      </c>
      <c r="H101" s="342">
        <f>'Facture policière'!L102</f>
        <v>32199.558462766145</v>
      </c>
      <c r="I101" s="450">
        <f t="shared" si="1"/>
        <v>167268.62996459944</v>
      </c>
      <c r="J101" s="179"/>
    </row>
    <row r="102" spans="1:10" s="87" customFormat="1" x14ac:dyDescent="0.25">
      <c r="A102" s="394">
        <f>Données!A103</f>
        <v>5566</v>
      </c>
      <c r="B102" s="398" t="str">
        <f>Données!B103</f>
        <v>Provence</v>
      </c>
      <c r="C102" s="396">
        <f>VPI!Q103</f>
        <v>81</v>
      </c>
      <c r="D102" s="401">
        <f>Données!Z103</f>
        <v>403</v>
      </c>
      <c r="E102" s="177">
        <f>VPI!R103</f>
        <v>8528.9197942386818</v>
      </c>
      <c r="F102" s="313">
        <f>'Péréquation directe'!K109</f>
        <v>-176449.02119705392</v>
      </c>
      <c r="G102" s="326">
        <f>PCS!I109</f>
        <v>138289.69253185362</v>
      </c>
      <c r="H102" s="342">
        <f>'Facture policière'!L103</f>
        <v>25590.353673587881</v>
      </c>
      <c r="I102" s="450">
        <f t="shared" si="1"/>
        <v>-12568.97499161242</v>
      </c>
      <c r="J102" s="179"/>
    </row>
    <row r="103" spans="1:10" s="87" customFormat="1" x14ac:dyDescent="0.25">
      <c r="A103" s="394">
        <f>Données!A104</f>
        <v>5568</v>
      </c>
      <c r="B103" s="398" t="str">
        <f>Données!B104</f>
        <v>Sainte-Croix</v>
      </c>
      <c r="C103" s="396">
        <f>VPI!Q104</f>
        <v>70</v>
      </c>
      <c r="D103" s="401">
        <f>Données!Z104</f>
        <v>4869</v>
      </c>
      <c r="E103" s="177">
        <f>VPI!R104</f>
        <v>106004.96942857141</v>
      </c>
      <c r="F103" s="313">
        <f>'Péréquation directe'!K110</f>
        <v>-2323236.1382069965</v>
      </c>
      <c r="G103" s="326">
        <f>PCS!I110</f>
        <v>2311769.6051668022</v>
      </c>
      <c r="H103" s="342">
        <f>'Facture policière'!L104</f>
        <v>317055.7362718439</v>
      </c>
      <c r="I103" s="450">
        <f t="shared" si="1"/>
        <v>305589.20323164959</v>
      </c>
      <c r="J103" s="179"/>
    </row>
    <row r="104" spans="1:10" s="87" customFormat="1" x14ac:dyDescent="0.25">
      <c r="A104" s="394">
        <f>Données!A105</f>
        <v>5571</v>
      </c>
      <c r="B104" s="398" t="str">
        <f>Données!B105</f>
        <v>Tévenon</v>
      </c>
      <c r="C104" s="396">
        <f>VPI!Q105</f>
        <v>71.5</v>
      </c>
      <c r="D104" s="401">
        <f>Données!Z105</f>
        <v>867</v>
      </c>
      <c r="E104" s="177">
        <f>VPI!R105</f>
        <v>25907.008578088578</v>
      </c>
      <c r="F104" s="313">
        <f>'Péréquation directe'!K111</f>
        <v>56938.579101855867</v>
      </c>
      <c r="G104" s="326">
        <f>PCS!I111</f>
        <v>358540.87407144473</v>
      </c>
      <c r="H104" s="342">
        <f>'Facture policière'!L105</f>
        <v>77364.866153161696</v>
      </c>
      <c r="I104" s="450">
        <f t="shared" si="1"/>
        <v>492844.31932646228</v>
      </c>
      <c r="J104" s="179"/>
    </row>
    <row r="105" spans="1:10" s="87" customFormat="1" x14ac:dyDescent="0.25">
      <c r="A105" s="394">
        <f>Données!A106</f>
        <v>5581</v>
      </c>
      <c r="B105" s="398" t="str">
        <f>Données!B106</f>
        <v>Belmont-sur-Lausanne</v>
      </c>
      <c r="C105" s="396">
        <f>VPI!Q106</f>
        <v>72</v>
      </c>
      <c r="D105" s="401">
        <f>Données!Z106</f>
        <v>3838</v>
      </c>
      <c r="E105" s="177">
        <f>VPI!R106</f>
        <v>233711.86319444442</v>
      </c>
      <c r="F105" s="313">
        <f>'Péréquation directe'!K112</f>
        <v>3204893.3611092153</v>
      </c>
      <c r="G105" s="326">
        <f>PCS!I112</f>
        <v>4106571.1302965633</v>
      </c>
      <c r="H105" s="342">
        <f>'Facture policière'!L106</f>
        <v>275818.8535256724</v>
      </c>
      <c r="I105" s="450">
        <f t="shared" si="1"/>
        <v>7587283.3449314507</v>
      </c>
      <c r="J105" s="179"/>
    </row>
    <row r="106" spans="1:10" s="87" customFormat="1" x14ac:dyDescent="0.25">
      <c r="A106" s="394">
        <f>Données!A107</f>
        <v>5582</v>
      </c>
      <c r="B106" s="398" t="str">
        <f>Données!B107</f>
        <v>Cheseaux-sur-Lausanne</v>
      </c>
      <c r="C106" s="396">
        <f>VPI!Q107</f>
        <v>73</v>
      </c>
      <c r="D106" s="401">
        <f>Données!Z107</f>
        <v>4527</v>
      </c>
      <c r="E106" s="177">
        <f>VPI!R107</f>
        <v>170428.79082191776</v>
      </c>
      <c r="F106" s="313">
        <f>'Péréquation directe'!K113</f>
        <v>593012.71626703301</v>
      </c>
      <c r="G106" s="326">
        <f>PCS!I113</f>
        <v>2431278.6845785887</v>
      </c>
      <c r="H106" s="342">
        <f>'Facture policière'!L107</f>
        <v>511316.15461536893</v>
      </c>
      <c r="I106" s="450">
        <f t="shared" si="1"/>
        <v>3535607.5554609904</v>
      </c>
      <c r="J106" s="179"/>
    </row>
    <row r="107" spans="1:10" s="87" customFormat="1" x14ac:dyDescent="0.25">
      <c r="A107" s="394">
        <f>Données!A108</f>
        <v>5583</v>
      </c>
      <c r="B107" s="398" t="str">
        <f>Données!B108</f>
        <v>Crissier</v>
      </c>
      <c r="C107" s="396">
        <f>VPI!Q108</f>
        <v>63.5</v>
      </c>
      <c r="D107" s="401">
        <f>Données!Z108</f>
        <v>9165</v>
      </c>
      <c r="E107" s="177">
        <f>VPI!R108</f>
        <v>340496.54456692917</v>
      </c>
      <c r="F107" s="313">
        <f>'Péréquation directe'!K114</f>
        <v>366647.22922147624</v>
      </c>
      <c r="G107" s="326">
        <f>PCS!I114</f>
        <v>6174937.5641909279</v>
      </c>
      <c r="H107" s="342">
        <f>'Facture policière'!L108</f>
        <v>401842.53066249948</v>
      </c>
      <c r="I107" s="450">
        <f t="shared" si="1"/>
        <v>6943427.3240749035</v>
      </c>
      <c r="J107" s="179"/>
    </row>
    <row r="108" spans="1:10" s="87" customFormat="1" x14ac:dyDescent="0.25">
      <c r="A108" s="394">
        <f>Données!A109</f>
        <v>5584</v>
      </c>
      <c r="B108" s="398" t="str">
        <f>Données!B109</f>
        <v>Epalinges</v>
      </c>
      <c r="C108" s="396">
        <f>VPI!Q109</f>
        <v>64.5</v>
      </c>
      <c r="D108" s="401">
        <f>Données!Z109</f>
        <v>9828</v>
      </c>
      <c r="E108" s="177">
        <f>VPI!R109</f>
        <v>489766.22341085278</v>
      </c>
      <c r="F108" s="313">
        <f>'Péréquation directe'!K115</f>
        <v>4319545.6227986664</v>
      </c>
      <c r="G108" s="326">
        <f>PCS!I115</f>
        <v>8340376.5412395028</v>
      </c>
      <c r="H108" s="342">
        <f>'Facture policière'!L109</f>
        <v>1455284.0474915807</v>
      </c>
      <c r="I108" s="450">
        <f t="shared" si="1"/>
        <v>14115206.21152975</v>
      </c>
      <c r="J108" s="179"/>
    </row>
    <row r="109" spans="1:10" s="87" customFormat="1" x14ac:dyDescent="0.25">
      <c r="A109" s="394">
        <f>Données!A110</f>
        <v>5585</v>
      </c>
      <c r="B109" s="398" t="str">
        <f>Données!B110</f>
        <v>Jouxtens-Mézery</v>
      </c>
      <c r="C109" s="396">
        <f>VPI!Q110</f>
        <v>59</v>
      </c>
      <c r="D109" s="401">
        <f>Données!Z110</f>
        <v>1469</v>
      </c>
      <c r="E109" s="177">
        <f>VPI!R110</f>
        <v>252946.52254237281</v>
      </c>
      <c r="F109" s="313">
        <f>'Péréquation directe'!K116</f>
        <v>4313087.9919577232</v>
      </c>
      <c r="G109" s="326">
        <f>PCS!I116</f>
        <v>8196232.8950761706</v>
      </c>
      <c r="H109" s="342">
        <f>'Facture policière'!L110</f>
        <v>429646.55276220752</v>
      </c>
      <c r="I109" s="450">
        <f t="shared" si="1"/>
        <v>12938967.439796101</v>
      </c>
      <c r="J109" s="179"/>
    </row>
    <row r="110" spans="1:10" s="87" customFormat="1" x14ac:dyDescent="0.25">
      <c r="A110" s="394">
        <f>Données!A111</f>
        <v>5586</v>
      </c>
      <c r="B110" s="398" t="str">
        <f>Données!B111</f>
        <v>Lausanne</v>
      </c>
      <c r="C110" s="396">
        <f>VPI!Q111</f>
        <v>78.5</v>
      </c>
      <c r="D110" s="401">
        <f>Données!Z111</f>
        <v>141616</v>
      </c>
      <c r="E110" s="177">
        <f>VPI!R111</f>
        <v>6671451.3923142245</v>
      </c>
      <c r="F110" s="313">
        <f>'Péréquation directe'!K117</f>
        <v>-23823645.616081327</v>
      </c>
      <c r="G110" s="326">
        <f>PCS!I117</f>
        <v>100919810.86843875</v>
      </c>
      <c r="H110" s="342">
        <f>'Facture policière'!L111</f>
        <v>7873421.7819718346</v>
      </c>
      <c r="I110" s="450">
        <f t="shared" si="1"/>
        <v>84969587.034329265</v>
      </c>
      <c r="J110" s="179"/>
    </row>
    <row r="111" spans="1:10" s="87" customFormat="1" x14ac:dyDescent="0.25">
      <c r="A111" s="394">
        <f>Données!A112</f>
        <v>5587</v>
      </c>
      <c r="B111" s="398" t="str">
        <f>Données!B112</f>
        <v>Le Mont-sur-Lausanne</v>
      </c>
      <c r="C111" s="396">
        <f>VPI!Q112</f>
        <v>73.5</v>
      </c>
      <c r="D111" s="401">
        <f>Données!Z112</f>
        <v>9301</v>
      </c>
      <c r="E111" s="177">
        <f>VPI!R112</f>
        <v>484050.33068027202</v>
      </c>
      <c r="F111" s="313">
        <f>'Péréquation directe'!K118</f>
        <v>4672130.4698903468</v>
      </c>
      <c r="G111" s="326">
        <f>PCS!I118</f>
        <v>8479005.4431083947</v>
      </c>
      <c r="H111" s="342">
        <f>'Facture policière'!L112</f>
        <v>1401496.6508055669</v>
      </c>
      <c r="I111" s="450">
        <f t="shared" si="1"/>
        <v>14552632.563804308</v>
      </c>
      <c r="J111" s="179"/>
    </row>
    <row r="112" spans="1:10" s="87" customFormat="1" x14ac:dyDescent="0.25">
      <c r="A112" s="394">
        <f>Données!A113</f>
        <v>5588</v>
      </c>
      <c r="B112" s="398" t="str">
        <f>Données!B113</f>
        <v>Paudex</v>
      </c>
      <c r="C112" s="396">
        <f>VPI!Q113</f>
        <v>66.5</v>
      </c>
      <c r="D112" s="401">
        <f>Données!Z113</f>
        <v>1549</v>
      </c>
      <c r="E112" s="177">
        <f>VPI!R113</f>
        <v>137556.51114930178</v>
      </c>
      <c r="F112" s="313">
        <f>'Péréquation directe'!K119</f>
        <v>2314710.1529485369</v>
      </c>
      <c r="G112" s="326">
        <f>PCS!I119</f>
        <v>3210139.2454498298</v>
      </c>
      <c r="H112" s="342">
        <f>'Facture policière'!L113</f>
        <v>162339.55213743585</v>
      </c>
      <c r="I112" s="450">
        <f t="shared" si="1"/>
        <v>5687188.9505358022</v>
      </c>
      <c r="J112" s="179"/>
    </row>
    <row r="113" spans="1:10" s="87" customFormat="1" x14ac:dyDescent="0.25">
      <c r="A113" s="394">
        <f>Données!A114</f>
        <v>5589</v>
      </c>
      <c r="B113" s="398" t="str">
        <f>Données!B114</f>
        <v>Prilly</v>
      </c>
      <c r="C113" s="396">
        <f>VPI!Q114</f>
        <v>72.5</v>
      </c>
      <c r="D113" s="401">
        <f>Données!Z114</f>
        <v>12323</v>
      </c>
      <c r="E113" s="177">
        <f>VPI!R114</f>
        <v>404219.10002122016</v>
      </c>
      <c r="F113" s="313">
        <f>'Péréquation directe'!K120</f>
        <v>-3611429.393025415</v>
      </c>
      <c r="G113" s="326">
        <f>PCS!I120</f>
        <v>6453235.0237977691</v>
      </c>
      <c r="H113" s="342">
        <f>'Facture policière'!L114</f>
        <v>477045.74007128237</v>
      </c>
      <c r="I113" s="450">
        <f t="shared" si="1"/>
        <v>3318851.3708436363</v>
      </c>
      <c r="J113" s="179"/>
    </row>
    <row r="114" spans="1:10" s="87" customFormat="1" x14ac:dyDescent="0.25">
      <c r="A114" s="394">
        <f>Données!A115</f>
        <v>5590</v>
      </c>
      <c r="B114" s="398" t="str">
        <f>Données!B115</f>
        <v>Pully</v>
      </c>
      <c r="C114" s="396">
        <f>VPI!Q115</f>
        <v>61</v>
      </c>
      <c r="D114" s="401">
        <f>Données!Z115</f>
        <v>19014</v>
      </c>
      <c r="E114" s="177">
        <f>VPI!R115</f>
        <v>1396472.1616393442</v>
      </c>
      <c r="F114" s="313">
        <f>'Péréquation directe'!K121</f>
        <v>12382194.599360324</v>
      </c>
      <c r="G114" s="326">
        <f>PCS!I121</f>
        <v>28379513.603342433</v>
      </c>
      <c r="H114" s="342">
        <f>'Facture policière'!L115</f>
        <v>1648069.316376223</v>
      </c>
      <c r="I114" s="450">
        <f t="shared" si="1"/>
        <v>42409777.519078985</v>
      </c>
      <c r="J114" s="179"/>
    </row>
    <row r="115" spans="1:10" s="87" customFormat="1" x14ac:dyDescent="0.25">
      <c r="A115" s="394">
        <f>Données!A116</f>
        <v>5591</v>
      </c>
      <c r="B115" s="398" t="str">
        <f>Données!B116</f>
        <v>Renens</v>
      </c>
      <c r="C115" s="396">
        <f>VPI!Q116</f>
        <v>77</v>
      </c>
      <c r="D115" s="401">
        <f>Données!Z116</f>
        <v>21128</v>
      </c>
      <c r="E115" s="177">
        <f>VPI!R116</f>
        <v>592907.73419294995</v>
      </c>
      <c r="F115" s="313">
        <f>'Péréquation directe'!K122</f>
        <v>-14598139.057307677</v>
      </c>
      <c r="G115" s="326">
        <f>PCS!I122</f>
        <v>9854877.1837640796</v>
      </c>
      <c r="H115" s="342">
        <f>'Facture policière'!L116</f>
        <v>699729.69816917263</v>
      </c>
      <c r="I115" s="450">
        <f t="shared" si="1"/>
        <v>-4043532.175374425</v>
      </c>
      <c r="J115" s="179"/>
    </row>
    <row r="116" spans="1:10" s="87" customFormat="1" x14ac:dyDescent="0.25">
      <c r="A116" s="394">
        <f>Données!A117</f>
        <v>5592</v>
      </c>
      <c r="B116" s="398" t="str">
        <f>Données!B117</f>
        <v>Romanel-sur-Lausanne</v>
      </c>
      <c r="C116" s="396">
        <f>VPI!Q117</f>
        <v>70.5</v>
      </c>
      <c r="D116" s="401">
        <f>Données!Z117</f>
        <v>3796</v>
      </c>
      <c r="E116" s="177">
        <f>VPI!R117</f>
        <v>113604.64354609928</v>
      </c>
      <c r="F116" s="313">
        <f>'Péréquation directe'!K123</f>
        <v>-476455.13943656208</v>
      </c>
      <c r="G116" s="326">
        <f>PCS!I123</f>
        <v>2107384.5143677052</v>
      </c>
      <c r="H116" s="342">
        <f>'Facture policière'!L117</f>
        <v>333544.55867130426</v>
      </c>
      <c r="I116" s="450">
        <f t="shared" si="1"/>
        <v>1964473.9336024474</v>
      </c>
      <c r="J116" s="179"/>
    </row>
    <row r="117" spans="1:10" s="87" customFormat="1" x14ac:dyDescent="0.25">
      <c r="A117" s="394">
        <f>Données!A118</f>
        <v>5601</v>
      </c>
      <c r="B117" s="398" t="str">
        <f>Données!B118</f>
        <v>Chexbres</v>
      </c>
      <c r="C117" s="396">
        <f>VPI!Q118</f>
        <v>67.5</v>
      </c>
      <c r="D117" s="401">
        <f>Données!Z118</f>
        <v>2207</v>
      </c>
      <c r="E117" s="177">
        <f>VPI!R118</f>
        <v>106015.29511111112</v>
      </c>
      <c r="F117" s="313">
        <f>'Péréquation directe'!K124</f>
        <v>1454869.5597581626</v>
      </c>
      <c r="G117" s="326">
        <f>PCS!I124</f>
        <v>1694705.2791587482</v>
      </c>
      <c r="H117" s="342">
        <f>'Facture policière'!L118</f>
        <v>125115.67343675852</v>
      </c>
      <c r="I117" s="450">
        <f t="shared" si="1"/>
        <v>3274690.5123536694</v>
      </c>
      <c r="J117" s="179"/>
    </row>
    <row r="118" spans="1:10" s="87" customFormat="1" x14ac:dyDescent="0.25">
      <c r="A118" s="394">
        <f>Données!A119</f>
        <v>5604</v>
      </c>
      <c r="B118" s="398" t="str">
        <f>Données!B119</f>
        <v>Forel (Lavaux)</v>
      </c>
      <c r="C118" s="396">
        <f>VPI!Q119</f>
        <v>69</v>
      </c>
      <c r="D118" s="401">
        <f>Données!Z119</f>
        <v>2071</v>
      </c>
      <c r="E118" s="177">
        <f>VPI!R119</f>
        <v>70961.315942029003</v>
      </c>
      <c r="F118" s="313">
        <f>'Péréquation directe'!K125</f>
        <v>288317.08116482594</v>
      </c>
      <c r="G118" s="326">
        <f>PCS!I125</f>
        <v>1055047.0418783422</v>
      </c>
      <c r="H118" s="342">
        <f>'Facture policière'!L119</f>
        <v>212577.73429733427</v>
      </c>
      <c r="I118" s="450">
        <f t="shared" si="1"/>
        <v>1555941.8573405023</v>
      </c>
      <c r="J118" s="179"/>
    </row>
    <row r="119" spans="1:10" s="87" customFormat="1" x14ac:dyDescent="0.25">
      <c r="A119" s="394">
        <f>Données!A120</f>
        <v>5606</v>
      </c>
      <c r="B119" s="398" t="str">
        <f>Données!B120</f>
        <v>Lutry</v>
      </c>
      <c r="C119" s="396">
        <f>VPI!Q120</f>
        <v>54</v>
      </c>
      <c r="D119" s="401">
        <f>Données!Z120</f>
        <v>10718</v>
      </c>
      <c r="E119" s="177">
        <f>VPI!R120</f>
        <v>1212171.2253174603</v>
      </c>
      <c r="F119" s="313">
        <f>'Péréquation directe'!K126</f>
        <v>17414041.501747929</v>
      </c>
      <c r="G119" s="326">
        <f>PCS!I126</f>
        <v>31289436.476976402</v>
      </c>
      <c r="H119" s="342">
        <f>'Facture policière'!L120</f>
        <v>1430563.5712026577</v>
      </c>
      <c r="I119" s="450">
        <f t="shared" si="1"/>
        <v>50134041.549926989</v>
      </c>
      <c r="J119" s="179"/>
    </row>
    <row r="120" spans="1:10" s="87" customFormat="1" x14ac:dyDescent="0.25">
      <c r="A120" s="394">
        <f>Données!A121</f>
        <v>5607</v>
      </c>
      <c r="B120" s="398" t="str">
        <f>Données!B121</f>
        <v>Puidoux</v>
      </c>
      <c r="C120" s="396">
        <f>VPI!Q121</f>
        <v>68.5</v>
      </c>
      <c r="D120" s="401">
        <f>Données!Z121</f>
        <v>2994</v>
      </c>
      <c r="E120" s="177">
        <f>VPI!R121</f>
        <v>117496.04099650904</v>
      </c>
      <c r="F120" s="313">
        <f>'Péréquation directe'!K127</f>
        <v>890923.14823579183</v>
      </c>
      <c r="G120" s="326">
        <f>PCS!I127</f>
        <v>2045680.0869994024</v>
      </c>
      <c r="H120" s="342">
        <f>'Facture policière'!L121</f>
        <v>138664.86227316546</v>
      </c>
      <c r="I120" s="450">
        <f t="shared" si="1"/>
        <v>3075268.0975083597</v>
      </c>
      <c r="J120" s="179"/>
    </row>
    <row r="121" spans="1:10" s="87" customFormat="1" x14ac:dyDescent="0.25">
      <c r="A121" s="394">
        <f>Données!A122</f>
        <v>5609</v>
      </c>
      <c r="B121" s="398" t="str">
        <f>Données!B122</f>
        <v>Rivaz</v>
      </c>
      <c r="C121" s="396">
        <f>VPI!Q122</f>
        <v>62</v>
      </c>
      <c r="D121" s="401">
        <f>Données!Z122</f>
        <v>332</v>
      </c>
      <c r="E121" s="177">
        <f>VPI!R122</f>
        <v>14930.201612903227</v>
      </c>
      <c r="F121" s="313">
        <f>'Péréquation directe'!K128</f>
        <v>226225.04294754966</v>
      </c>
      <c r="G121" s="326">
        <f>PCS!I128</f>
        <v>244509.26137565728</v>
      </c>
      <c r="H121" s="342">
        <f>'Facture policière'!L122</f>
        <v>17620.120072176134</v>
      </c>
      <c r="I121" s="450">
        <f t="shared" si="1"/>
        <v>488354.4243953831</v>
      </c>
      <c r="J121" s="179"/>
    </row>
    <row r="122" spans="1:10" s="87" customFormat="1" x14ac:dyDescent="0.25">
      <c r="A122" s="394">
        <f>Données!A123</f>
        <v>5610</v>
      </c>
      <c r="B122" s="398" t="str">
        <f>Données!B123</f>
        <v>St-Saphorin (Lavaux)</v>
      </c>
      <c r="C122" s="396">
        <f>VPI!Q123</f>
        <v>72</v>
      </c>
      <c r="D122" s="401">
        <f>Données!Z123</f>
        <v>402</v>
      </c>
      <c r="E122" s="177">
        <f>VPI!R123</f>
        <v>21326.679629629627</v>
      </c>
      <c r="F122" s="313">
        <f>'Péréquation directe'!K129</f>
        <v>357757.28735598666</v>
      </c>
      <c r="G122" s="326">
        <f>PCS!I129</f>
        <v>312625.08463211555</v>
      </c>
      <c r="H122" s="342">
        <f>'Facture policière'!L123</f>
        <v>25169.027556208297</v>
      </c>
      <c r="I122" s="450">
        <f t="shared" si="1"/>
        <v>695551.39954431052</v>
      </c>
      <c r="J122" s="179"/>
    </row>
    <row r="123" spans="1:10" s="87" customFormat="1" x14ac:dyDescent="0.25">
      <c r="A123" s="394">
        <f>Données!A124</f>
        <v>5611</v>
      </c>
      <c r="B123" s="398" t="str">
        <f>Données!B124</f>
        <v>Savigny</v>
      </c>
      <c r="C123" s="396">
        <f>VPI!Q124</f>
        <v>69</v>
      </c>
      <c r="D123" s="401">
        <f>Données!Z124</f>
        <v>3421</v>
      </c>
      <c r="E123" s="177">
        <f>VPI!R124</f>
        <v>139629.67036231884</v>
      </c>
      <c r="F123" s="313">
        <f>'Péréquation directe'!K130</f>
        <v>1116608.6730804578</v>
      </c>
      <c r="G123" s="326">
        <f>PCS!I130</f>
        <v>2082849.369221437</v>
      </c>
      <c r="H123" s="342">
        <f>'Facture policière'!L124</f>
        <v>164786.22467469945</v>
      </c>
      <c r="I123" s="450">
        <f t="shared" si="1"/>
        <v>3364244.2669765945</v>
      </c>
      <c r="J123" s="179"/>
    </row>
    <row r="124" spans="1:10" s="87" customFormat="1" x14ac:dyDescent="0.25">
      <c r="A124" s="394">
        <f>Données!A125</f>
        <v>5613</v>
      </c>
      <c r="B124" s="398" t="str">
        <f>Données!B125</f>
        <v>Bourg-en-Lavaux</v>
      </c>
      <c r="C124" s="396">
        <f>VPI!Q125</f>
        <v>62.5</v>
      </c>
      <c r="D124" s="401">
        <f>Données!Z125</f>
        <v>5394</v>
      </c>
      <c r="E124" s="177">
        <f>VPI!R125</f>
        <v>367206.35685333336</v>
      </c>
      <c r="F124" s="313">
        <f>'Péréquation directe'!K131</f>
        <v>4925229.0577297965</v>
      </c>
      <c r="G124" s="326">
        <f>PCS!I131</f>
        <v>7677872.998300828</v>
      </c>
      <c r="H124" s="342">
        <f>'Facture policière'!L125</f>
        <v>433364.54970777425</v>
      </c>
      <c r="I124" s="450">
        <f t="shared" si="1"/>
        <v>13036466.605738398</v>
      </c>
      <c r="J124" s="179"/>
    </row>
    <row r="125" spans="1:10" s="87" customFormat="1" x14ac:dyDescent="0.25">
      <c r="A125" s="394">
        <f>Données!A126</f>
        <v>5621</v>
      </c>
      <c r="B125" s="398" t="str">
        <f>Données!B126</f>
        <v>Aclens</v>
      </c>
      <c r="C125" s="396">
        <f>VPI!Q126</f>
        <v>62</v>
      </c>
      <c r="D125" s="401">
        <f>Données!Z126</f>
        <v>557</v>
      </c>
      <c r="E125" s="177">
        <f>VPI!R126</f>
        <v>39203.094076246336</v>
      </c>
      <c r="F125" s="313">
        <f>'Péréquation directe'!K132</f>
        <v>681113.73569218884</v>
      </c>
      <c r="G125" s="326">
        <f>PCS!I132</f>
        <v>821523.12280209013</v>
      </c>
      <c r="H125" s="342">
        <f>'Facture policière'!L126</f>
        <v>95985.756809065264</v>
      </c>
      <c r="I125" s="450">
        <f t="shared" si="1"/>
        <v>1598622.6153033443</v>
      </c>
      <c r="J125" s="179"/>
    </row>
    <row r="126" spans="1:10" s="87" customFormat="1" x14ac:dyDescent="0.25">
      <c r="A126" s="394">
        <f>Données!A127</f>
        <v>5622</v>
      </c>
      <c r="B126" s="398" t="str">
        <f>Données!B127</f>
        <v>Bremblens</v>
      </c>
      <c r="C126" s="396">
        <f>VPI!Q127</f>
        <v>68</v>
      </c>
      <c r="D126" s="401">
        <f>Données!Z127</f>
        <v>604</v>
      </c>
      <c r="E126" s="177">
        <f>VPI!R127</f>
        <v>30852.761617647058</v>
      </c>
      <c r="F126" s="313">
        <f>'Péréquation directe'!K133</f>
        <v>514663.41141273477</v>
      </c>
      <c r="G126" s="326">
        <f>PCS!I133</f>
        <v>539046.82797493425</v>
      </c>
      <c r="H126" s="342">
        <f>'Facture policière'!L127</f>
        <v>90326.345456182928</v>
      </c>
      <c r="I126" s="450">
        <f t="shared" si="1"/>
        <v>1144036.5848438521</v>
      </c>
      <c r="J126" s="179"/>
    </row>
    <row r="127" spans="1:10" s="87" customFormat="1" x14ac:dyDescent="0.25">
      <c r="A127" s="394">
        <f>Données!A128</f>
        <v>5623</v>
      </c>
      <c r="B127" s="398" t="str">
        <f>Données!B128</f>
        <v>Buchillon</v>
      </c>
      <c r="C127" s="396">
        <f>VPI!Q128</f>
        <v>52</v>
      </c>
      <c r="D127" s="401">
        <f>Données!Z128</f>
        <v>670</v>
      </c>
      <c r="E127" s="177">
        <f>VPI!R128</f>
        <v>88403.083461538452</v>
      </c>
      <c r="F127" s="313">
        <f>'Péréquation directe'!K134</f>
        <v>1611526.1808221692</v>
      </c>
      <c r="G127" s="326">
        <f>PCS!I134</f>
        <v>2288136.3876488796</v>
      </c>
      <c r="H127" s="342">
        <f>'Facture policière'!L128</f>
        <v>104330.33563302438</v>
      </c>
      <c r="I127" s="450">
        <f t="shared" si="1"/>
        <v>4003992.9041040735</v>
      </c>
      <c r="J127" s="179"/>
    </row>
    <row r="128" spans="1:10" s="87" customFormat="1" x14ac:dyDescent="0.25">
      <c r="A128" s="394">
        <f>Données!A129</f>
        <v>5624</v>
      </c>
      <c r="B128" s="398" t="str">
        <f>Données!B129</f>
        <v>Bussigny</v>
      </c>
      <c r="C128" s="396">
        <f>VPI!Q129</f>
        <v>62.5</v>
      </c>
      <c r="D128" s="401">
        <f>Données!Z129</f>
        <v>10397</v>
      </c>
      <c r="E128" s="177">
        <f>VPI!R129</f>
        <v>522747.79375999991</v>
      </c>
      <c r="F128" s="313">
        <f>'Péréquation directe'!K135</f>
        <v>4453807.770859329</v>
      </c>
      <c r="G128" s="326">
        <f>PCS!I135</f>
        <v>8149596.0876488322</v>
      </c>
      <c r="H128" s="342">
        <f>'Facture policière'!L129</f>
        <v>616929.30426043179</v>
      </c>
      <c r="I128" s="450">
        <f t="shared" si="1"/>
        <v>13220333.162768595</v>
      </c>
      <c r="J128" s="179"/>
    </row>
    <row r="129" spans="1:10" s="87" customFormat="1" x14ac:dyDescent="0.25">
      <c r="A129" s="394">
        <f>Données!A130</f>
        <v>5627</v>
      </c>
      <c r="B129" s="398" t="str">
        <f>Données!B130</f>
        <v>Chavannes-près-Renens</v>
      </c>
      <c r="C129" s="396">
        <f>VPI!Q130</f>
        <v>77.5</v>
      </c>
      <c r="D129" s="401">
        <f>Données!Z130</f>
        <v>8734</v>
      </c>
      <c r="E129" s="177">
        <f>VPI!R130</f>
        <v>188690.75535483871</v>
      </c>
      <c r="F129" s="313">
        <f>'Péréquation directe'!K136</f>
        <v>-4700012.6324908948</v>
      </c>
      <c r="G129" s="326">
        <f>PCS!I136</f>
        <v>3190486.5896521835</v>
      </c>
      <c r="H129" s="342">
        <f>'Facture policière'!L130</f>
        <v>222686.46144660874</v>
      </c>
      <c r="I129" s="450">
        <f t="shared" si="1"/>
        <v>-1286839.5813921026</v>
      </c>
      <c r="J129" s="179"/>
    </row>
    <row r="130" spans="1:10" s="87" customFormat="1" x14ac:dyDescent="0.25">
      <c r="A130" s="394">
        <f>Données!A131</f>
        <v>5628</v>
      </c>
      <c r="B130" s="398" t="str">
        <f>Données!B131</f>
        <v>Chigny</v>
      </c>
      <c r="C130" s="396">
        <f>VPI!Q131</f>
        <v>62</v>
      </c>
      <c r="D130" s="401">
        <f>Données!Z131</f>
        <v>419</v>
      </c>
      <c r="E130" s="177">
        <f>VPI!R131</f>
        <v>27627.379193548386</v>
      </c>
      <c r="F130" s="313">
        <f>'Péréquation directe'!K137</f>
        <v>476582.43502442958</v>
      </c>
      <c r="G130" s="326">
        <f>PCS!I137</f>
        <v>531871.49960163992</v>
      </c>
      <c r="H130" s="342">
        <f>'Facture policière'!L131</f>
        <v>70006.170679167917</v>
      </c>
      <c r="I130" s="450">
        <f t="shared" si="1"/>
        <v>1078460.1053052375</v>
      </c>
      <c r="J130" s="179"/>
    </row>
    <row r="131" spans="1:10" s="87" customFormat="1" x14ac:dyDescent="0.25">
      <c r="A131" s="394">
        <f>Données!A132</f>
        <v>5629</v>
      </c>
      <c r="B131" s="398" t="str">
        <f>Données!B132</f>
        <v>Clarmont</v>
      </c>
      <c r="C131" s="396">
        <f>VPI!Q132</f>
        <v>72</v>
      </c>
      <c r="D131" s="401">
        <f>Données!Z132</f>
        <v>218</v>
      </c>
      <c r="E131" s="177">
        <f>VPI!R132</f>
        <v>9964.7430555555547</v>
      </c>
      <c r="F131" s="313">
        <f>'Péréquation directe'!K138</f>
        <v>150927.77316270518</v>
      </c>
      <c r="G131" s="326">
        <f>PCS!I138</f>
        <v>132145.1438388447</v>
      </c>
      <c r="H131" s="342">
        <f>'Facture policière'!L132</f>
        <v>30598.481237171756</v>
      </c>
      <c r="I131" s="450">
        <f t="shared" si="1"/>
        <v>313671.39823872159</v>
      </c>
      <c r="J131" s="179"/>
    </row>
    <row r="132" spans="1:10" s="87" customFormat="1" x14ac:dyDescent="0.25">
      <c r="A132" s="394">
        <f>Données!A133</f>
        <v>5631</v>
      </c>
      <c r="B132" s="398" t="str">
        <f>Données!B133</f>
        <v>Denens</v>
      </c>
      <c r="C132" s="396">
        <f>VPI!Q133</f>
        <v>68</v>
      </c>
      <c r="D132" s="401">
        <f>Données!Z133</f>
        <v>716</v>
      </c>
      <c r="E132" s="177">
        <f>VPI!R133</f>
        <v>41694.310588235297</v>
      </c>
      <c r="F132" s="313">
        <f>'Péréquation directe'!K139</f>
        <v>708448.09613418905</v>
      </c>
      <c r="G132" s="326">
        <f>PCS!I139</f>
        <v>721221.98277507164</v>
      </c>
      <c r="H132" s="342">
        <f>'Facture policière'!L133</f>
        <v>113118.65121527376</v>
      </c>
      <c r="I132" s="450">
        <f t="shared" si="1"/>
        <v>1542788.7301245343</v>
      </c>
      <c r="J132" s="179"/>
    </row>
    <row r="133" spans="1:10" s="87" customFormat="1" x14ac:dyDescent="0.25">
      <c r="A133" s="394">
        <f>Données!A134</f>
        <v>5632</v>
      </c>
      <c r="B133" s="398" t="str">
        <f>Données!B134</f>
        <v>Denges</v>
      </c>
      <c r="C133" s="396">
        <f>VPI!Q134</f>
        <v>62</v>
      </c>
      <c r="D133" s="401">
        <f>Données!Z134</f>
        <v>1777</v>
      </c>
      <c r="E133" s="177">
        <f>VPI!R134</f>
        <v>81642.531612903229</v>
      </c>
      <c r="F133" s="313">
        <f>'Péréquation directe'!K140</f>
        <v>1090202.3943974865</v>
      </c>
      <c r="G133" s="326">
        <f>PCS!I140</f>
        <v>1290462.3132648177</v>
      </c>
      <c r="H133" s="342">
        <f>'Facture policière'!L134</f>
        <v>246043.8930801512</v>
      </c>
      <c r="I133" s="450">
        <f t="shared" si="1"/>
        <v>2626708.6007424551</v>
      </c>
      <c r="J133" s="179"/>
    </row>
    <row r="134" spans="1:10" s="87" customFormat="1" x14ac:dyDescent="0.25">
      <c r="A134" s="394">
        <f>Données!A135</f>
        <v>5633</v>
      </c>
      <c r="B134" s="398" t="str">
        <f>Données!B135</f>
        <v>Echandens</v>
      </c>
      <c r="C134" s="396">
        <f>VPI!Q135</f>
        <v>60.5</v>
      </c>
      <c r="D134" s="401">
        <f>Données!Z135</f>
        <v>2891</v>
      </c>
      <c r="E134" s="177">
        <f>VPI!R135</f>
        <v>149835.3479338843</v>
      </c>
      <c r="F134" s="313">
        <f>'Péréquation directe'!K141</f>
        <v>2065730.635222662</v>
      </c>
      <c r="G134" s="326">
        <f>PCS!I141</f>
        <v>2419361.8782139318</v>
      </c>
      <c r="H134" s="342">
        <f>'Facture policière'!L135</f>
        <v>434890.45854349545</v>
      </c>
      <c r="I134" s="450">
        <f t="shared" ref="I134:I197" si="2">SUM(F134:H134)</f>
        <v>4919982.9719800893</v>
      </c>
      <c r="J134" s="179"/>
    </row>
    <row r="135" spans="1:10" s="87" customFormat="1" x14ac:dyDescent="0.25">
      <c r="A135" s="394">
        <f>Données!A136</f>
        <v>5634</v>
      </c>
      <c r="B135" s="398" t="str">
        <f>Données!B136</f>
        <v>Echichens</v>
      </c>
      <c r="C135" s="396">
        <f>VPI!Q136</f>
        <v>66</v>
      </c>
      <c r="D135" s="401">
        <f>Données!Z136</f>
        <v>3214</v>
      </c>
      <c r="E135" s="177">
        <f>VPI!R136</f>
        <v>183137.63424242428</v>
      </c>
      <c r="F135" s="313">
        <f>'Péréquation directe'!K142</f>
        <v>2555550.2110226955</v>
      </c>
      <c r="G135" s="326">
        <f>PCS!I142</f>
        <v>3416411.7999595371</v>
      </c>
      <c r="H135" s="342">
        <f>'Facture policière'!L136</f>
        <v>503024.69832355354</v>
      </c>
      <c r="I135" s="450">
        <f t="shared" si="2"/>
        <v>6474986.7093057856</v>
      </c>
      <c r="J135" s="179"/>
    </row>
    <row r="136" spans="1:10" s="87" customFormat="1" x14ac:dyDescent="0.25">
      <c r="A136" s="394">
        <f>Données!A137</f>
        <v>5635</v>
      </c>
      <c r="B136" s="398" t="str">
        <f>Données!B137</f>
        <v>Ecublens</v>
      </c>
      <c r="C136" s="396">
        <f>VPI!Q137</f>
        <v>62.5</v>
      </c>
      <c r="D136" s="401">
        <f>Données!Z137</f>
        <v>13142</v>
      </c>
      <c r="E136" s="177">
        <f>VPI!R137</f>
        <v>516165.47293333331</v>
      </c>
      <c r="F136" s="313">
        <f>'Péréquation directe'!K143</f>
        <v>-138392.84513690881</v>
      </c>
      <c r="G136" s="326">
        <f>PCS!I143</f>
        <v>8300190.7349143755</v>
      </c>
      <c r="H136" s="342">
        <f>'Facture policière'!L137</f>
        <v>609161.07136401755</v>
      </c>
      <c r="I136" s="450">
        <f t="shared" si="2"/>
        <v>8770958.9611414839</v>
      </c>
      <c r="J136" s="179"/>
    </row>
    <row r="137" spans="1:10" s="87" customFormat="1" x14ac:dyDescent="0.25">
      <c r="A137" s="394">
        <f>Données!A138</f>
        <v>5636</v>
      </c>
      <c r="B137" s="398" t="str">
        <f>Données!B138</f>
        <v>Etoy</v>
      </c>
      <c r="C137" s="396">
        <f>VPI!Q138</f>
        <v>60</v>
      </c>
      <c r="D137" s="401">
        <f>Données!Z138</f>
        <v>2941</v>
      </c>
      <c r="E137" s="177">
        <f>VPI!R138</f>
        <v>189458.35050000003</v>
      </c>
      <c r="F137" s="313">
        <f>'Péréquation directe'!K144</f>
        <v>2808712.6897749715</v>
      </c>
      <c r="G137" s="326">
        <f>PCS!I144</f>
        <v>3806470.3211716246</v>
      </c>
      <c r="H137" s="342">
        <f>'Facture policière'!L138</f>
        <v>486115.34768406057</v>
      </c>
      <c r="I137" s="450">
        <f t="shared" si="2"/>
        <v>7101298.3586306563</v>
      </c>
      <c r="J137" s="179"/>
    </row>
    <row r="138" spans="1:10" s="87" customFormat="1" x14ac:dyDescent="0.25">
      <c r="A138" s="394">
        <f>Données!A139</f>
        <v>5637</v>
      </c>
      <c r="B138" s="398" t="str">
        <f>Données!B139</f>
        <v>Lavigny</v>
      </c>
      <c r="C138" s="396">
        <f>VPI!Q139</f>
        <v>73</v>
      </c>
      <c r="D138" s="401">
        <f>Données!Z139</f>
        <v>1038</v>
      </c>
      <c r="E138" s="177">
        <f>VPI!R139</f>
        <v>36293.809863013703</v>
      </c>
      <c r="F138" s="313">
        <f>'Péréquation directe'!K145</f>
        <v>256407.5522668222</v>
      </c>
      <c r="G138" s="326">
        <f>PCS!I145</f>
        <v>615738.71396734379</v>
      </c>
      <c r="H138" s="342">
        <f>'Facture policière'!L139</f>
        <v>109720.83282766293</v>
      </c>
      <c r="I138" s="450">
        <f t="shared" si="2"/>
        <v>981867.09906182892</v>
      </c>
      <c r="J138" s="179"/>
    </row>
    <row r="139" spans="1:10" s="87" customFormat="1" x14ac:dyDescent="0.25">
      <c r="A139" s="394">
        <f>Données!A140</f>
        <v>5638</v>
      </c>
      <c r="B139" s="398" t="str">
        <f>Données!B140</f>
        <v>Lonay</v>
      </c>
      <c r="C139" s="396">
        <f>VPI!Q140</f>
        <v>55</v>
      </c>
      <c r="D139" s="401">
        <f>Données!Z140</f>
        <v>2677</v>
      </c>
      <c r="E139" s="177">
        <f>VPI!R140</f>
        <v>153893.84090909091</v>
      </c>
      <c r="F139" s="313">
        <f>'Péréquation directe'!K146</f>
        <v>2220994.035454615</v>
      </c>
      <c r="G139" s="326">
        <f>PCS!I146</f>
        <v>5206503.1066442588</v>
      </c>
      <c r="H139" s="342">
        <f>'Facture policière'!L140</f>
        <v>420577.83563117625</v>
      </c>
      <c r="I139" s="450">
        <f t="shared" si="2"/>
        <v>7848074.9777300498</v>
      </c>
      <c r="J139" s="179"/>
    </row>
    <row r="140" spans="1:10" s="87" customFormat="1" x14ac:dyDescent="0.25">
      <c r="A140" s="394">
        <f>Données!A141</f>
        <v>5639</v>
      </c>
      <c r="B140" s="398" t="str">
        <f>Données!B141</f>
        <v>Lully</v>
      </c>
      <c r="C140" s="396">
        <f>VPI!Q141</f>
        <v>61</v>
      </c>
      <c r="D140" s="401">
        <f>Données!Z141</f>
        <v>827</v>
      </c>
      <c r="E140" s="177">
        <f>VPI!R141</f>
        <v>52242.173114754092</v>
      </c>
      <c r="F140" s="313">
        <f>'Péréquation directe'!K147</f>
        <v>896720.92185040994</v>
      </c>
      <c r="G140" s="326">
        <f>PCS!I147</f>
        <v>899625.25085147528</v>
      </c>
      <c r="H140" s="342">
        <f>'Facture policière'!L141</f>
        <v>135475.09496998996</v>
      </c>
      <c r="I140" s="450">
        <f t="shared" si="2"/>
        <v>1931821.2676718752</v>
      </c>
      <c r="J140" s="179"/>
    </row>
    <row r="141" spans="1:10" s="87" customFormat="1" x14ac:dyDescent="0.25">
      <c r="A141" s="394">
        <f>Données!A142</f>
        <v>5640</v>
      </c>
      <c r="B141" s="398" t="str">
        <f>Données!B142</f>
        <v>Lussy-sur-Morges</v>
      </c>
      <c r="C141" s="396">
        <f>VPI!Q142</f>
        <v>64.5</v>
      </c>
      <c r="D141" s="401">
        <f>Données!Z142</f>
        <v>730</v>
      </c>
      <c r="E141" s="177">
        <f>VPI!R142</f>
        <v>57771.49271317829</v>
      </c>
      <c r="F141" s="313">
        <f>'Péréquation directe'!K148</f>
        <v>1015438.8019637211</v>
      </c>
      <c r="G141" s="326">
        <f>PCS!I148</f>
        <v>3238673.8814292918</v>
      </c>
      <c r="H141" s="342">
        <f>'Facture policière'!L142</f>
        <v>68179.966000948611</v>
      </c>
      <c r="I141" s="450">
        <f t="shared" si="2"/>
        <v>4322292.6493939618</v>
      </c>
      <c r="J141" s="179"/>
    </row>
    <row r="142" spans="1:10" s="87" customFormat="1" x14ac:dyDescent="0.25">
      <c r="A142" s="394">
        <f>Données!A143</f>
        <v>5642</v>
      </c>
      <c r="B142" s="398" t="str">
        <f>Données!B143</f>
        <v>Morges</v>
      </c>
      <c r="C142" s="396">
        <f>VPI!Q143</f>
        <v>67</v>
      </c>
      <c r="D142" s="401">
        <f>Données!Z143</f>
        <v>17535</v>
      </c>
      <c r="E142" s="177">
        <f>VPI!R143</f>
        <v>980547.23447761196</v>
      </c>
      <c r="F142" s="313">
        <f>'Péréquation directe'!K149</f>
        <v>5996401.4507283717</v>
      </c>
      <c r="G142" s="326">
        <f>PCS!I149</f>
        <v>16718973.413600354</v>
      </c>
      <c r="H142" s="342">
        <f>'Facture policière'!L143</f>
        <v>1157208.7541673945</v>
      </c>
      <c r="I142" s="450">
        <f t="shared" si="2"/>
        <v>23872583.61849612</v>
      </c>
      <c r="J142" s="179"/>
    </row>
    <row r="143" spans="1:10" s="87" customFormat="1" x14ac:dyDescent="0.25">
      <c r="A143" s="394">
        <f>Données!A144</f>
        <v>5643</v>
      </c>
      <c r="B143" s="398" t="str">
        <f>Données!B144</f>
        <v>Préverenges</v>
      </c>
      <c r="C143" s="396">
        <f>VPI!Q144</f>
        <v>62.5</v>
      </c>
      <c r="D143" s="401">
        <f>Données!Z144</f>
        <v>5218</v>
      </c>
      <c r="E143" s="177">
        <f>VPI!R144</f>
        <v>252724.38943999997</v>
      </c>
      <c r="F143" s="313">
        <f>'Péréquation directe'!K150</f>
        <v>2834658.9993618052</v>
      </c>
      <c r="G143" s="326">
        <f>PCS!I150</f>
        <v>3560486.9077259619</v>
      </c>
      <c r="H143" s="342">
        <f>'Facture policière'!L144</f>
        <v>298256.79535711871</v>
      </c>
      <c r="I143" s="450">
        <f t="shared" si="2"/>
        <v>6693402.7024448859</v>
      </c>
      <c r="J143" s="179"/>
    </row>
    <row r="144" spans="1:10" s="87" customFormat="1" x14ac:dyDescent="0.25">
      <c r="A144" s="394">
        <f>Données!A145</f>
        <v>5645</v>
      </c>
      <c r="B144" s="398" t="str">
        <f>Données!B145</f>
        <v>Romanel-sur-Morges</v>
      </c>
      <c r="C144" s="396">
        <f>VPI!Q145</f>
        <v>56</v>
      </c>
      <c r="D144" s="401">
        <f>Données!Z145</f>
        <v>458</v>
      </c>
      <c r="E144" s="177">
        <f>VPI!R145</f>
        <v>23768.997321428575</v>
      </c>
      <c r="F144" s="313">
        <f>'Péréquation directe'!K151</f>
        <v>397441.9271515818</v>
      </c>
      <c r="G144" s="326">
        <f>PCS!I151</f>
        <v>356038.46002151258</v>
      </c>
      <c r="H144" s="342">
        <f>'Facture policière'!L145</f>
        <v>68933.902415613789</v>
      </c>
      <c r="I144" s="450">
        <f t="shared" si="2"/>
        <v>822414.28958870808</v>
      </c>
      <c r="J144" s="179"/>
    </row>
    <row r="145" spans="1:10" s="87" customFormat="1" x14ac:dyDescent="0.25">
      <c r="A145" s="394">
        <f>Données!A146</f>
        <v>5646</v>
      </c>
      <c r="B145" s="398" t="str">
        <f>Données!B146</f>
        <v>Saint-Prex</v>
      </c>
      <c r="C145" s="396">
        <f>VPI!Q146</f>
        <v>59</v>
      </c>
      <c r="D145" s="401">
        <f>Données!Z146</f>
        <v>5877</v>
      </c>
      <c r="E145" s="177">
        <f>VPI!R146</f>
        <v>515578.26330508466</v>
      </c>
      <c r="F145" s="313">
        <f>'Péréquation directe'!K152</f>
        <v>7475902.7447779812</v>
      </c>
      <c r="G145" s="326">
        <f>PCS!I152</f>
        <v>12689332.459563646</v>
      </c>
      <c r="H145" s="342">
        <f>'Facture policière'!L146</f>
        <v>608468.06637818157</v>
      </c>
      <c r="I145" s="450">
        <f t="shared" si="2"/>
        <v>20773703.270719808</v>
      </c>
      <c r="J145" s="179"/>
    </row>
    <row r="146" spans="1:10" s="87" customFormat="1" x14ac:dyDescent="0.25">
      <c r="A146" s="394">
        <f>Données!A147</f>
        <v>5648</v>
      </c>
      <c r="B146" s="398" t="str">
        <f>Données!B147</f>
        <v>Saint-Sulpice</v>
      </c>
      <c r="C146" s="396">
        <f>VPI!Q147</f>
        <v>55</v>
      </c>
      <c r="D146" s="401">
        <f>Données!Z147</f>
        <v>5043</v>
      </c>
      <c r="E146" s="177">
        <f>VPI!R147</f>
        <v>417040.44568181824</v>
      </c>
      <c r="F146" s="313">
        <f>'Péréquation directe'!K153</f>
        <v>6099780.3613251075</v>
      </c>
      <c r="G146" s="326">
        <f>PCS!I153</f>
        <v>8594706.4311272725</v>
      </c>
      <c r="H146" s="342">
        <f>'Facture policière'!L147</f>
        <v>492177.05951919727</v>
      </c>
      <c r="I146" s="450">
        <f t="shared" si="2"/>
        <v>15186663.851971578</v>
      </c>
      <c r="J146" s="179"/>
    </row>
    <row r="147" spans="1:10" s="87" customFormat="1" x14ac:dyDescent="0.25">
      <c r="A147" s="394">
        <f>Données!A148</f>
        <v>5649</v>
      </c>
      <c r="B147" s="398" t="str">
        <f>Données!B148</f>
        <v>Tolochenaz</v>
      </c>
      <c r="C147" s="396">
        <f>VPI!Q148</f>
        <v>64</v>
      </c>
      <c r="D147" s="401">
        <f>Données!Z148</f>
        <v>1890</v>
      </c>
      <c r="E147" s="177">
        <f>VPI!R148</f>
        <v>173464.05234375002</v>
      </c>
      <c r="F147" s="313">
        <f>'Péréquation directe'!K154</f>
        <v>2881199.8652640423</v>
      </c>
      <c r="G147" s="326">
        <f>PCS!I154</f>
        <v>4212159.1474852851</v>
      </c>
      <c r="H147" s="342">
        <f>'Facture policière'!L148</f>
        <v>204716.42043076089</v>
      </c>
      <c r="I147" s="450">
        <f t="shared" si="2"/>
        <v>7298075.4331800882</v>
      </c>
      <c r="J147" s="179"/>
    </row>
    <row r="148" spans="1:10" s="87" customFormat="1" x14ac:dyDescent="0.25">
      <c r="A148" s="394">
        <f>Données!A149</f>
        <v>5650</v>
      </c>
      <c r="B148" s="398" t="str">
        <f>Données!B149</f>
        <v>Vaux-sur-Morges</v>
      </c>
      <c r="C148" s="396">
        <f>VPI!Q149</f>
        <v>56</v>
      </c>
      <c r="D148" s="401">
        <f>Données!Z149</f>
        <v>187</v>
      </c>
      <c r="E148" s="177">
        <f>VPI!R149</f>
        <v>90407.863928571445</v>
      </c>
      <c r="F148" s="313">
        <f>'Péréquation directe'!K155</f>
        <v>740774.39732164307</v>
      </c>
      <c r="G148" s="326">
        <f>PCS!I155</f>
        <v>3615070.7712497865</v>
      </c>
      <c r="H148" s="342">
        <f>'Facture policière'!L149</f>
        <v>123388.52352285225</v>
      </c>
      <c r="I148" s="450">
        <f t="shared" si="2"/>
        <v>4479233.6920942813</v>
      </c>
      <c r="J148" s="179"/>
    </row>
    <row r="149" spans="1:10" s="87" customFormat="1" x14ac:dyDescent="0.25">
      <c r="A149" s="394">
        <f>Données!A150</f>
        <v>5651</v>
      </c>
      <c r="B149" s="398" t="str">
        <f>Données!B150</f>
        <v>Villars-Sainte-Croix</v>
      </c>
      <c r="C149" s="396">
        <f>VPI!Q150</f>
        <v>60.5</v>
      </c>
      <c r="D149" s="401">
        <f>Données!Z150</f>
        <v>978</v>
      </c>
      <c r="E149" s="177">
        <f>VPI!R150</f>
        <v>56008.147272727285</v>
      </c>
      <c r="F149" s="313">
        <f>'Péréquation directe'!K156</f>
        <v>949571.95224933571</v>
      </c>
      <c r="G149" s="326">
        <f>PCS!I156</f>
        <v>969102.66642281809</v>
      </c>
      <c r="H149" s="342">
        <f>'Facture policière'!L150</f>
        <v>66098.925222328515</v>
      </c>
      <c r="I149" s="450">
        <f t="shared" si="2"/>
        <v>1984773.5438944823</v>
      </c>
      <c r="J149" s="179"/>
    </row>
    <row r="150" spans="1:10" s="87" customFormat="1" x14ac:dyDescent="0.25">
      <c r="A150" s="394">
        <f>Données!A151</f>
        <v>5652</v>
      </c>
      <c r="B150" s="398" t="str">
        <f>Données!B151</f>
        <v>Villars-sous-Yens</v>
      </c>
      <c r="C150" s="396">
        <f>VPI!Q151</f>
        <v>76</v>
      </c>
      <c r="D150" s="401">
        <f>Données!Z151</f>
        <v>615</v>
      </c>
      <c r="E150" s="177">
        <f>VPI!R151</f>
        <v>25957.212521929825</v>
      </c>
      <c r="F150" s="313">
        <f>'Péréquation directe'!K157</f>
        <v>330695.25479227985</v>
      </c>
      <c r="G150" s="326">
        <f>PCS!I157</f>
        <v>548037.08537744777</v>
      </c>
      <c r="H150" s="342">
        <f>'Facture policière'!L151</f>
        <v>79452.660676012398</v>
      </c>
      <c r="I150" s="450">
        <f t="shared" si="2"/>
        <v>958185.00084573997</v>
      </c>
      <c r="J150" s="179"/>
    </row>
    <row r="151" spans="1:10" s="87" customFormat="1" x14ac:dyDescent="0.25">
      <c r="A151" s="394">
        <f>Données!A152</f>
        <v>5653</v>
      </c>
      <c r="B151" s="398" t="str">
        <f>Données!B152</f>
        <v>Vufflens-le-Château</v>
      </c>
      <c r="C151" s="396">
        <f>VPI!Q152</f>
        <v>58.5</v>
      </c>
      <c r="D151" s="401">
        <f>Données!Z152</f>
        <v>886</v>
      </c>
      <c r="E151" s="177">
        <f>VPI!R152</f>
        <v>71315.778290598289</v>
      </c>
      <c r="F151" s="313">
        <f>'Péréquation directe'!K158</f>
        <v>1255458.3245450391</v>
      </c>
      <c r="G151" s="326">
        <f>PCS!I158</f>
        <v>1500902.1714343275</v>
      </c>
      <c r="H151" s="342">
        <f>'Facture policière'!L152</f>
        <v>163251.6473921077</v>
      </c>
      <c r="I151" s="450">
        <f t="shared" si="2"/>
        <v>2919612.1433714745</v>
      </c>
      <c r="J151" s="179"/>
    </row>
    <row r="152" spans="1:10" s="87" customFormat="1" x14ac:dyDescent="0.25">
      <c r="A152" s="394">
        <f>Données!A153</f>
        <v>5654</v>
      </c>
      <c r="B152" s="398" t="str">
        <f>Données!B153</f>
        <v>Vullierens</v>
      </c>
      <c r="C152" s="396">
        <f>VPI!Q153</f>
        <v>76</v>
      </c>
      <c r="D152" s="401">
        <f>Données!Z153</f>
        <v>563</v>
      </c>
      <c r="E152" s="177">
        <f>VPI!R153</f>
        <v>20741.31131578947</v>
      </c>
      <c r="F152" s="313">
        <f>'Péréquation directe'!K159</f>
        <v>174962.54762877215</v>
      </c>
      <c r="G152" s="326">
        <f>PCS!I159</f>
        <v>283164.97861035226</v>
      </c>
      <c r="H152" s="342">
        <f>'Facture policière'!L153</f>
        <v>62880.89852223247</v>
      </c>
      <c r="I152" s="450">
        <f t="shared" si="2"/>
        <v>521008.4247613569</v>
      </c>
      <c r="J152" s="179"/>
    </row>
    <row r="153" spans="1:10" s="87" customFormat="1" x14ac:dyDescent="0.25">
      <c r="A153" s="394">
        <f>Données!A154</f>
        <v>5655</v>
      </c>
      <c r="B153" s="398" t="str">
        <f>Données!B154</f>
        <v>Yens</v>
      </c>
      <c r="C153" s="396">
        <f>VPI!Q154</f>
        <v>71.5</v>
      </c>
      <c r="D153" s="401">
        <f>Données!Z154</f>
        <v>1517</v>
      </c>
      <c r="E153" s="177">
        <f>VPI!R154</f>
        <v>81488.710349650341</v>
      </c>
      <c r="F153" s="313">
        <f>'Péréquation directe'!K160</f>
        <v>1249367.3754334259</v>
      </c>
      <c r="G153" s="326">
        <f>PCS!I160</f>
        <v>1408760.8535546209</v>
      </c>
      <c r="H153" s="342">
        <f>'Facture policière'!L154</f>
        <v>231582.46162857785</v>
      </c>
      <c r="I153" s="450">
        <f t="shared" si="2"/>
        <v>2889710.6906166244</v>
      </c>
      <c r="J153" s="179"/>
    </row>
    <row r="154" spans="1:10" s="87" customFormat="1" x14ac:dyDescent="0.25">
      <c r="A154" s="394">
        <f>Données!A155</f>
        <v>5656</v>
      </c>
      <c r="B154" s="398" t="str">
        <f>Données!B155</f>
        <v>Hautemorges</v>
      </c>
      <c r="C154" s="396">
        <f>VPI!Q155</f>
        <v>72.5</v>
      </c>
      <c r="D154" s="401">
        <f>Données!Z155</f>
        <v>4263</v>
      </c>
      <c r="E154" s="177">
        <f>VPI!R155</f>
        <v>168934.99020689653</v>
      </c>
      <c r="F154" s="313">
        <f>'Péréquation directe'!K161</f>
        <v>952059.98703963542</v>
      </c>
      <c r="G154" s="326">
        <f>PCS!I161</f>
        <v>2575158.7944267411</v>
      </c>
      <c r="H154" s="342">
        <f>'Facture policière'!L155</f>
        <v>511986.82766297844</v>
      </c>
      <c r="I154" s="450">
        <f t="shared" si="2"/>
        <v>4039205.6091293548</v>
      </c>
      <c r="J154" s="179"/>
    </row>
    <row r="155" spans="1:10" s="87" customFormat="1" x14ac:dyDescent="0.25">
      <c r="A155" s="394">
        <f>Données!A156</f>
        <v>5661</v>
      </c>
      <c r="B155" s="398" t="str">
        <f>Données!B156</f>
        <v>Boulens</v>
      </c>
      <c r="C155" s="396">
        <f>VPI!Q156</f>
        <v>71.5</v>
      </c>
      <c r="D155" s="401">
        <f>Données!Z156</f>
        <v>383</v>
      </c>
      <c r="E155" s="177">
        <f>VPI!R156</f>
        <v>11008.776923076925</v>
      </c>
      <c r="F155" s="313">
        <f>'Péréquation directe'!K162</f>
        <v>7880.8001530347974</v>
      </c>
      <c r="G155" s="326">
        <f>PCS!I162</f>
        <v>141636.45109454758</v>
      </c>
      <c r="H155" s="342">
        <f>'Facture policière'!L156</f>
        <v>33315.419163135433</v>
      </c>
      <c r="I155" s="450">
        <f t="shared" si="2"/>
        <v>182832.67041071781</v>
      </c>
      <c r="J155" s="179"/>
    </row>
    <row r="156" spans="1:10" s="87" customFormat="1" x14ac:dyDescent="0.25">
      <c r="A156" s="394">
        <f>Données!A157</f>
        <v>5663</v>
      </c>
      <c r="B156" s="398" t="str">
        <f>Données!B157</f>
        <v>Bussy-sur-Moudon</v>
      </c>
      <c r="C156" s="396">
        <f>VPI!Q157</f>
        <v>78.5</v>
      </c>
      <c r="D156" s="401">
        <f>Données!Z157</f>
        <v>246</v>
      </c>
      <c r="E156" s="177">
        <f>VPI!R157</f>
        <v>6460.7661146496821</v>
      </c>
      <c r="F156" s="313">
        <f>'Péréquation directe'!K163</f>
        <v>-42020.252050122348</v>
      </c>
      <c r="G156" s="326">
        <f>PCS!I163</f>
        <v>95902.912076224413</v>
      </c>
      <c r="H156" s="342">
        <f>'Facture policière'!L157</f>
        <v>19652.594433309143</v>
      </c>
      <c r="I156" s="450">
        <f t="shared" si="2"/>
        <v>73535.254459411211</v>
      </c>
      <c r="J156" s="179"/>
    </row>
    <row r="157" spans="1:10" s="87" customFormat="1" x14ac:dyDescent="0.25">
      <c r="A157" s="394">
        <f>Données!A158</f>
        <v>5665</v>
      </c>
      <c r="B157" s="398" t="str">
        <f>Données!B158</f>
        <v>Chavannes-sur-Moudon</v>
      </c>
      <c r="C157" s="396">
        <f>VPI!Q158</f>
        <v>70</v>
      </c>
      <c r="D157" s="401">
        <f>Données!Z158</f>
        <v>218</v>
      </c>
      <c r="E157" s="177">
        <f>VPI!R158</f>
        <v>5786.5608571428584</v>
      </c>
      <c r="F157" s="313">
        <f>'Péréquation directe'!K164</f>
        <v>-10473.127210574821</v>
      </c>
      <c r="G157" s="326">
        <f>PCS!I164</f>
        <v>93657.61245474816</v>
      </c>
      <c r="H157" s="342">
        <f>'Facture policière'!L158</f>
        <v>17584.514121773282</v>
      </c>
      <c r="I157" s="450">
        <f t="shared" si="2"/>
        <v>100768.99936594663</v>
      </c>
      <c r="J157" s="179"/>
    </row>
    <row r="158" spans="1:10" s="87" customFormat="1" x14ac:dyDescent="0.25">
      <c r="A158" s="394">
        <f>Données!A159</f>
        <v>5669</v>
      </c>
      <c r="B158" s="398" t="str">
        <f>Données!B159</f>
        <v>Curtilles</v>
      </c>
      <c r="C158" s="396">
        <f>VPI!Q159</f>
        <v>73</v>
      </c>
      <c r="D158" s="401">
        <f>Données!Z159</f>
        <v>294</v>
      </c>
      <c r="E158" s="177">
        <f>VPI!R159</f>
        <v>8428.0279452054765</v>
      </c>
      <c r="F158" s="313">
        <f>'Péréquation directe'!K165</f>
        <v>118.17345338175073</v>
      </c>
      <c r="G158" s="326">
        <f>PCS!I165</f>
        <v>103353.21724863412</v>
      </c>
      <c r="H158" s="342">
        <f>'Facture policière'!L159</f>
        <v>25469.256065741676</v>
      </c>
      <c r="I158" s="450">
        <f t="shared" si="2"/>
        <v>128940.64676775754</v>
      </c>
      <c r="J158" s="179"/>
    </row>
    <row r="159" spans="1:10" s="87" customFormat="1" x14ac:dyDescent="0.25">
      <c r="A159" s="394">
        <f>Données!A160</f>
        <v>5671</v>
      </c>
      <c r="B159" s="398" t="str">
        <f>Données!B160</f>
        <v>Dompierre</v>
      </c>
      <c r="C159" s="396">
        <f>VPI!Q160</f>
        <v>78</v>
      </c>
      <c r="D159" s="401">
        <f>Données!Z160</f>
        <v>248</v>
      </c>
      <c r="E159" s="177">
        <f>VPI!R160</f>
        <v>6751.3758974358971</v>
      </c>
      <c r="F159" s="313">
        <f>'Péréquation directe'!K166</f>
        <v>-30279.505226947993</v>
      </c>
      <c r="G159" s="326">
        <f>PCS!I166</f>
        <v>87901.158701799897</v>
      </c>
      <c r="H159" s="342">
        <f>'Facture policière'!L160</f>
        <v>20512.643934305095</v>
      </c>
      <c r="I159" s="450">
        <f t="shared" si="2"/>
        <v>78134.297409157007</v>
      </c>
      <c r="J159" s="179"/>
    </row>
    <row r="160" spans="1:10" s="87" customFormat="1" x14ac:dyDescent="0.25">
      <c r="A160" s="394">
        <f>Données!A161</f>
        <v>5673</v>
      </c>
      <c r="B160" s="398" t="str">
        <f>Données!B161</f>
        <v>Hermenches</v>
      </c>
      <c r="C160" s="396">
        <f>VPI!Q161</f>
        <v>73.5</v>
      </c>
      <c r="D160" s="401">
        <f>Données!Z161</f>
        <v>374</v>
      </c>
      <c r="E160" s="177">
        <f>VPI!R161</f>
        <v>9675.0074829931946</v>
      </c>
      <c r="F160" s="313">
        <f>'Péréquation directe'!K167</f>
        <v>-44704.989648443734</v>
      </c>
      <c r="G160" s="326">
        <f>PCS!I167</f>
        <v>145744.54589799137</v>
      </c>
      <c r="H160" s="342">
        <f>'Facture policière'!L161</f>
        <v>29357.615273970099</v>
      </c>
      <c r="I160" s="450">
        <f t="shared" si="2"/>
        <v>130397.17152351773</v>
      </c>
      <c r="J160" s="179"/>
    </row>
    <row r="161" spans="1:10" s="87" customFormat="1" x14ac:dyDescent="0.25">
      <c r="A161" s="394">
        <f>Données!A162</f>
        <v>5674</v>
      </c>
      <c r="B161" s="398" t="str">
        <f>Données!B162</f>
        <v>Lovatens</v>
      </c>
      <c r="C161" s="396">
        <f>VPI!Q162</f>
        <v>75</v>
      </c>
      <c r="D161" s="401">
        <f>Données!Z162</f>
        <v>143</v>
      </c>
      <c r="E161" s="177">
        <f>VPI!R162</f>
        <v>3538.9463999999998</v>
      </c>
      <c r="F161" s="313">
        <f>'Péréquation directe'!K168</f>
        <v>-26650.420277619574</v>
      </c>
      <c r="G161" s="326">
        <f>PCS!I168</f>
        <v>60200.301384597711</v>
      </c>
      <c r="H161" s="342">
        <f>'Facture policière'!L162</f>
        <v>10687.528573941345</v>
      </c>
      <c r="I161" s="450">
        <f t="shared" si="2"/>
        <v>44237.409680919482</v>
      </c>
      <c r="J161" s="179"/>
    </row>
    <row r="162" spans="1:10" s="87" customFormat="1" x14ac:dyDescent="0.25">
      <c r="A162" s="394">
        <f>Données!A163</f>
        <v>5675</v>
      </c>
      <c r="B162" s="398" t="str">
        <f>Données!B163</f>
        <v>Lucens</v>
      </c>
      <c r="C162" s="396">
        <f>VPI!Q163</f>
        <v>69.5</v>
      </c>
      <c r="D162" s="401">
        <f>Données!Z163</f>
        <v>4429</v>
      </c>
      <c r="E162" s="177">
        <f>VPI!R163</f>
        <v>92803.818404185746</v>
      </c>
      <c r="F162" s="313">
        <f>'Péréquation directe'!K169</f>
        <v>-2156881.2866624072</v>
      </c>
      <c r="G162" s="326">
        <f>PCS!I169</f>
        <v>1472706.7585280119</v>
      </c>
      <c r="H162" s="342">
        <f>'Facture policière'!L163</f>
        <v>274211.22859501117</v>
      </c>
      <c r="I162" s="450">
        <f t="shared" si="2"/>
        <v>-409963.2995393842</v>
      </c>
      <c r="J162" s="179"/>
    </row>
    <row r="163" spans="1:10" s="87" customFormat="1" x14ac:dyDescent="0.25">
      <c r="A163" s="394">
        <f>Données!A164</f>
        <v>5678</v>
      </c>
      <c r="B163" s="398" t="str">
        <f>Données!B164</f>
        <v>Moudon</v>
      </c>
      <c r="C163" s="396">
        <f>VPI!Q164</f>
        <v>72.5</v>
      </c>
      <c r="D163" s="401">
        <f>Données!Z164</f>
        <v>6136</v>
      </c>
      <c r="E163" s="177">
        <f>VPI!R164</f>
        <v>130675.7416551724</v>
      </c>
      <c r="F163" s="313">
        <f>'Péréquation directe'!K170</f>
        <v>-3139513.7263282118</v>
      </c>
      <c r="G163" s="326">
        <f>PCS!I170</f>
        <v>2094107.7930868329</v>
      </c>
      <c r="H163" s="342">
        <f>'Facture policière'!L164</f>
        <v>388673.86764414201</v>
      </c>
      <c r="I163" s="450">
        <f t="shared" si="2"/>
        <v>-656732.06559723697</v>
      </c>
      <c r="J163" s="179"/>
    </row>
    <row r="164" spans="1:10" s="87" customFormat="1" x14ac:dyDescent="0.25">
      <c r="A164" s="394">
        <f>Données!A165</f>
        <v>5680</v>
      </c>
      <c r="B164" s="398" t="str">
        <f>Données!B165</f>
        <v>Ogens</v>
      </c>
      <c r="C164" s="396">
        <f>VPI!Q165</f>
        <v>78</v>
      </c>
      <c r="D164" s="401">
        <f>Données!Z165</f>
        <v>324</v>
      </c>
      <c r="E164" s="177">
        <f>VPI!R165</f>
        <v>10088.612863247865</v>
      </c>
      <c r="F164" s="313">
        <f>'Péréquation directe'!K171</f>
        <v>15640.583732866042</v>
      </c>
      <c r="G164" s="326">
        <f>PCS!I171</f>
        <v>192244.21462071248</v>
      </c>
      <c r="H164" s="342">
        <f>'Facture policière'!L165</f>
        <v>30588.447349093614</v>
      </c>
      <c r="I164" s="450">
        <f t="shared" si="2"/>
        <v>238473.24570267214</v>
      </c>
      <c r="J164" s="179"/>
    </row>
    <row r="165" spans="1:10" s="87" customFormat="1" x14ac:dyDescent="0.25">
      <c r="A165" s="394">
        <f>Données!A166</f>
        <v>5683</v>
      </c>
      <c r="B165" s="398" t="str">
        <f>Données!B166</f>
        <v>Prévonloup</v>
      </c>
      <c r="C165" s="396">
        <f>VPI!Q166</f>
        <v>72.5</v>
      </c>
      <c r="D165" s="401">
        <f>Données!Z166</f>
        <v>220</v>
      </c>
      <c r="E165" s="177">
        <f>VPI!R166</f>
        <v>5181.5891034482765</v>
      </c>
      <c r="F165" s="313">
        <f>'Péréquation directe'!K172</f>
        <v>-43892.54248968992</v>
      </c>
      <c r="G165" s="326">
        <f>PCS!I172</f>
        <v>65918.889697233011</v>
      </c>
      <c r="H165" s="342">
        <f>'Facture policière'!L166</f>
        <v>15543.597554733369</v>
      </c>
      <c r="I165" s="450">
        <f t="shared" si="2"/>
        <v>37569.944762276456</v>
      </c>
      <c r="J165" s="179"/>
    </row>
    <row r="166" spans="1:10" s="87" customFormat="1" x14ac:dyDescent="0.25">
      <c r="A166" s="394">
        <f>Données!A167</f>
        <v>5684</v>
      </c>
      <c r="B166" s="398" t="str">
        <f>Données!B167</f>
        <v>Rossenges</v>
      </c>
      <c r="C166" s="396">
        <f>VPI!Q167</f>
        <v>75</v>
      </c>
      <c r="D166" s="401">
        <f>Données!Z167</f>
        <v>93</v>
      </c>
      <c r="E166" s="177">
        <f>VPI!R167</f>
        <v>7033.3142000000007</v>
      </c>
      <c r="F166" s="313">
        <f>'Péréquation directe'!K173</f>
        <v>123090.76076108143</v>
      </c>
      <c r="G166" s="326">
        <f>PCS!I173</f>
        <v>140589.79384241652</v>
      </c>
      <c r="H166" s="342">
        <f>'Facture policière'!L167</f>
        <v>16601.955288462021</v>
      </c>
      <c r="I166" s="450">
        <f t="shared" si="2"/>
        <v>280282.50989195995</v>
      </c>
      <c r="J166" s="179"/>
    </row>
    <row r="167" spans="1:10" s="87" customFormat="1" x14ac:dyDescent="0.25">
      <c r="A167" s="394">
        <f>Données!A168</f>
        <v>5688</v>
      </c>
      <c r="B167" s="398" t="str">
        <f>Données!B168</f>
        <v>Syens</v>
      </c>
      <c r="C167" s="396">
        <f>VPI!Q168</f>
        <v>65</v>
      </c>
      <c r="D167" s="401">
        <f>Données!Z168</f>
        <v>164</v>
      </c>
      <c r="E167" s="177">
        <f>VPI!R168</f>
        <v>5277.0104615384616</v>
      </c>
      <c r="F167" s="313">
        <f>'Péréquation directe'!K174</f>
        <v>35153.406116152837</v>
      </c>
      <c r="G167" s="326">
        <f>PCS!I174</f>
        <v>74488.314169979378</v>
      </c>
      <c r="H167" s="342">
        <f>'Facture policière'!L168</f>
        <v>16021.361348017581</v>
      </c>
      <c r="I167" s="450">
        <f t="shared" si="2"/>
        <v>125663.0816341498</v>
      </c>
      <c r="J167" s="179"/>
    </row>
    <row r="168" spans="1:10" s="87" customFormat="1" x14ac:dyDescent="0.25">
      <c r="A168" s="394">
        <f>Données!A169</f>
        <v>5690</v>
      </c>
      <c r="B168" s="398" t="str">
        <f>Données!B169</f>
        <v>Villars-le-Comte</v>
      </c>
      <c r="C168" s="396">
        <f>VPI!Q169</f>
        <v>70</v>
      </c>
      <c r="D168" s="401">
        <f>Données!Z169</f>
        <v>138</v>
      </c>
      <c r="E168" s="177">
        <f>VPI!R169</f>
        <v>4331.3836666666666</v>
      </c>
      <c r="F168" s="313">
        <f>'Péréquation directe'!K175</f>
        <v>19295.630495845005</v>
      </c>
      <c r="G168" s="326">
        <f>PCS!I175</f>
        <v>67636.587009478942</v>
      </c>
      <c r="H168" s="342">
        <f>'Facture policière'!L169</f>
        <v>13131.048254425508</v>
      </c>
      <c r="I168" s="450">
        <f t="shared" si="2"/>
        <v>100063.26575974945</v>
      </c>
      <c r="J168" s="179"/>
    </row>
    <row r="169" spans="1:10" s="87" customFormat="1" x14ac:dyDescent="0.25">
      <c r="A169" s="394">
        <f>Données!A170</f>
        <v>5692</v>
      </c>
      <c r="B169" s="398" t="str">
        <f>Données!B170</f>
        <v>Vucherens</v>
      </c>
      <c r="C169" s="396">
        <f>VPI!Q170</f>
        <v>77</v>
      </c>
      <c r="D169" s="401">
        <f>Données!Z170</f>
        <v>638</v>
      </c>
      <c r="E169" s="177">
        <f>VPI!R170</f>
        <v>18948.300519480523</v>
      </c>
      <c r="F169" s="313">
        <f>'Péréquation directe'!K176</f>
        <v>-1728.7428175547975</v>
      </c>
      <c r="G169" s="326">
        <f>PCS!I176</f>
        <v>311840.36569413287</v>
      </c>
      <c r="H169" s="342">
        <f>'Facture policière'!L170</f>
        <v>57293.669212636618</v>
      </c>
      <c r="I169" s="450">
        <f t="shared" si="2"/>
        <v>367405.29208921466</v>
      </c>
      <c r="J169" s="179"/>
    </row>
    <row r="170" spans="1:10" s="87" customFormat="1" x14ac:dyDescent="0.25">
      <c r="A170" s="394">
        <f>Données!A171</f>
        <v>5693</v>
      </c>
      <c r="B170" s="398" t="str">
        <f>Données!B171</f>
        <v>Montanaire</v>
      </c>
      <c r="C170" s="396">
        <f>VPI!Q171</f>
        <v>70</v>
      </c>
      <c r="D170" s="401">
        <f>Données!Z171</f>
        <v>2820</v>
      </c>
      <c r="E170" s="177">
        <f>VPI!R171</f>
        <v>80078.044999999984</v>
      </c>
      <c r="F170" s="313">
        <f>'Péréquation directe'!K177</f>
        <v>-355501.41756168404</v>
      </c>
      <c r="G170" s="326">
        <f>PCS!I177</f>
        <v>1153154.6061292666</v>
      </c>
      <c r="H170" s="342">
        <f>'Facture policière'!L171</f>
        <v>241661.24191226356</v>
      </c>
      <c r="I170" s="450">
        <f t="shared" si="2"/>
        <v>1039314.4304798461</v>
      </c>
      <c r="J170" s="179"/>
    </row>
    <row r="171" spans="1:10" s="87" customFormat="1" x14ac:dyDescent="0.25">
      <c r="A171" s="394">
        <f>Données!A172</f>
        <v>5701</v>
      </c>
      <c r="B171" s="398" t="str">
        <f>Données!B172</f>
        <v>Arnex-sur-Nyon</v>
      </c>
      <c r="C171" s="396">
        <f>VPI!Q172</f>
        <v>70</v>
      </c>
      <c r="D171" s="401">
        <f>Données!Z172</f>
        <v>240</v>
      </c>
      <c r="E171" s="177">
        <f>VPI!R172</f>
        <v>12996.826285714285</v>
      </c>
      <c r="F171" s="313">
        <f>'Péréquation directe'!K178</f>
        <v>218666.35503045432</v>
      </c>
      <c r="G171" s="326">
        <f>PCS!I178</f>
        <v>376763.21342209075</v>
      </c>
      <c r="H171" s="342">
        <f>'Facture policière'!L172</f>
        <v>36761.577651535801</v>
      </c>
      <c r="I171" s="450">
        <f t="shared" si="2"/>
        <v>632191.14610408084</v>
      </c>
      <c r="J171" s="179"/>
    </row>
    <row r="172" spans="1:10" s="87" customFormat="1" x14ac:dyDescent="0.25">
      <c r="A172" s="394">
        <f>Données!A173</f>
        <v>5702</v>
      </c>
      <c r="B172" s="398" t="str">
        <f>Données!B173</f>
        <v>Arzier-Le Muids</v>
      </c>
      <c r="C172" s="396">
        <f>VPI!Q173</f>
        <v>64</v>
      </c>
      <c r="D172" s="401">
        <f>Données!Z173</f>
        <v>2955</v>
      </c>
      <c r="E172" s="177">
        <f>VPI!R173</f>
        <v>187984.45531250001</v>
      </c>
      <c r="F172" s="313">
        <f>'Péréquation directe'!K179</f>
        <v>2775345.5994497044</v>
      </c>
      <c r="G172" s="326">
        <f>PCS!I179</f>
        <v>3710849.3312350921</v>
      </c>
      <c r="H172" s="342">
        <f>'Facture policière'!L173</f>
        <v>485625.59076917521</v>
      </c>
      <c r="I172" s="450">
        <f t="shared" si="2"/>
        <v>6971820.521453972</v>
      </c>
      <c r="J172" s="179"/>
    </row>
    <row r="173" spans="1:10" s="87" customFormat="1" x14ac:dyDescent="0.25">
      <c r="A173" s="394">
        <f>Données!A174</f>
        <v>5703</v>
      </c>
      <c r="B173" s="398" t="str">
        <f>Données!B174</f>
        <v>Bassins</v>
      </c>
      <c r="C173" s="396">
        <f>VPI!Q174</f>
        <v>72.5</v>
      </c>
      <c r="D173" s="401">
        <f>Données!Z174</f>
        <v>1478</v>
      </c>
      <c r="E173" s="177">
        <f>VPI!R174</f>
        <v>65441.246975369453</v>
      </c>
      <c r="F173" s="313">
        <f>'Péréquation directe'!K180</f>
        <v>825913.43244386651</v>
      </c>
      <c r="G173" s="326">
        <f>PCS!I180</f>
        <v>1001683.271450694</v>
      </c>
      <c r="H173" s="342">
        <f>'Facture policière'!L174</f>
        <v>198607.88548358827</v>
      </c>
      <c r="I173" s="450">
        <f t="shared" si="2"/>
        <v>2026204.5893781488</v>
      </c>
      <c r="J173" s="179"/>
    </row>
    <row r="174" spans="1:10" s="87" customFormat="1" x14ac:dyDescent="0.25">
      <c r="A174" s="394">
        <f>Données!A175</f>
        <v>5704</v>
      </c>
      <c r="B174" s="398" t="str">
        <f>Données!B175</f>
        <v>Begnins</v>
      </c>
      <c r="C174" s="396">
        <f>VPI!Q175</f>
        <v>62.5</v>
      </c>
      <c r="D174" s="401">
        <f>Données!Z175</f>
        <v>1939</v>
      </c>
      <c r="E174" s="177">
        <f>VPI!R175</f>
        <v>129730.03685333332</v>
      </c>
      <c r="F174" s="313">
        <f>'Péréquation directe'!K181</f>
        <v>2023491.4259497309</v>
      </c>
      <c r="G174" s="326">
        <f>PCS!I181</f>
        <v>3380607.7025557929</v>
      </c>
      <c r="H174" s="342">
        <f>'Facture policière'!L175</f>
        <v>326184.30675775785</v>
      </c>
      <c r="I174" s="450">
        <f t="shared" si="2"/>
        <v>5730283.4352632817</v>
      </c>
      <c r="J174" s="179"/>
    </row>
    <row r="175" spans="1:10" s="87" customFormat="1" x14ac:dyDescent="0.25">
      <c r="A175" s="394">
        <f>Données!A176</f>
        <v>5705</v>
      </c>
      <c r="B175" s="398" t="str">
        <f>Données!B176</f>
        <v>Bogis-Bossey</v>
      </c>
      <c r="C175" s="396">
        <f>VPI!Q176</f>
        <v>74.5</v>
      </c>
      <c r="D175" s="401">
        <f>Données!Z176</f>
        <v>923</v>
      </c>
      <c r="E175" s="177">
        <f>VPI!R176</f>
        <v>51044.070201342278</v>
      </c>
      <c r="F175" s="313">
        <f>'Péréquation directe'!K182</f>
        <v>861322.44702245155</v>
      </c>
      <c r="G175" s="326">
        <f>PCS!I182</f>
        <v>1035871.2081444042</v>
      </c>
      <c r="H175" s="342">
        <f>'Facture policière'!L176</f>
        <v>142630.39910253856</v>
      </c>
      <c r="I175" s="450">
        <f t="shared" si="2"/>
        <v>2039824.0542693944</v>
      </c>
      <c r="J175" s="179"/>
    </row>
    <row r="176" spans="1:10" s="87" customFormat="1" x14ac:dyDescent="0.25">
      <c r="A176" s="394">
        <f>Données!A177</f>
        <v>5706</v>
      </c>
      <c r="B176" s="398" t="str">
        <f>Données!B177</f>
        <v>Borex</v>
      </c>
      <c r="C176" s="396">
        <f>VPI!Q177</f>
        <v>57</v>
      </c>
      <c r="D176" s="401">
        <f>Données!Z177</f>
        <v>1131</v>
      </c>
      <c r="E176" s="177">
        <f>VPI!R177</f>
        <v>156857.9796491228</v>
      </c>
      <c r="F176" s="313">
        <f>'Péréquation directe'!K183</f>
        <v>2836446.4471551818</v>
      </c>
      <c r="G176" s="326">
        <f>PCS!I183</f>
        <v>4402605.2250753753</v>
      </c>
      <c r="H176" s="342">
        <f>'Facture policière'!L177</f>
        <v>286075.14428234345</v>
      </c>
      <c r="I176" s="450">
        <f t="shared" si="2"/>
        <v>7525126.8165129004</v>
      </c>
      <c r="J176" s="179"/>
    </row>
    <row r="177" spans="1:10" s="87" customFormat="1" x14ac:dyDescent="0.25">
      <c r="A177" s="394">
        <f>Données!A178</f>
        <v>5707</v>
      </c>
      <c r="B177" s="398" t="str">
        <f>Données!B178</f>
        <v>Chavannes-de-Bogis</v>
      </c>
      <c r="C177" s="396">
        <f>VPI!Q178</f>
        <v>58</v>
      </c>
      <c r="D177" s="401">
        <f>Données!Z178</f>
        <v>1314</v>
      </c>
      <c r="E177" s="177">
        <f>VPI!R178</f>
        <v>86804.197126436775</v>
      </c>
      <c r="F177" s="313">
        <f>'Péréquation directe'!K184</f>
        <v>1424800.1157616409</v>
      </c>
      <c r="G177" s="326">
        <f>PCS!I184</f>
        <v>1867417.2434368145</v>
      </c>
      <c r="H177" s="342">
        <f>'Facture policière'!L178</f>
        <v>219735.1952993258</v>
      </c>
      <c r="I177" s="450">
        <f t="shared" si="2"/>
        <v>3511952.5544977817</v>
      </c>
      <c r="J177" s="179"/>
    </row>
    <row r="178" spans="1:10" s="87" customFormat="1" x14ac:dyDescent="0.25">
      <c r="A178" s="394">
        <f>Données!A179</f>
        <v>5708</v>
      </c>
      <c r="B178" s="398" t="str">
        <f>Données!B179</f>
        <v>Chavannes-des-Bois</v>
      </c>
      <c r="C178" s="396">
        <f>VPI!Q179</f>
        <v>68</v>
      </c>
      <c r="D178" s="401">
        <f>Données!Z179</f>
        <v>1020</v>
      </c>
      <c r="E178" s="177">
        <f>VPI!R179</f>
        <v>68806.761617647047</v>
      </c>
      <c r="F178" s="313">
        <f>'Péréquation directe'!K185</f>
        <v>1185333.1298633134</v>
      </c>
      <c r="G178" s="326">
        <f>PCS!I185</f>
        <v>1253944.1847926013</v>
      </c>
      <c r="H178" s="342">
        <f>'Facture policière'!L179</f>
        <v>172251.85597988334</v>
      </c>
      <c r="I178" s="450">
        <f t="shared" si="2"/>
        <v>2611529.170635798</v>
      </c>
      <c r="J178" s="179"/>
    </row>
    <row r="179" spans="1:10" s="87" customFormat="1" x14ac:dyDescent="0.25">
      <c r="A179" s="394">
        <f>Données!A180</f>
        <v>5709</v>
      </c>
      <c r="B179" s="398" t="str">
        <f>Données!B180</f>
        <v>Chéserex</v>
      </c>
      <c r="C179" s="396">
        <f>VPI!Q180</f>
        <v>57</v>
      </c>
      <c r="D179" s="401">
        <f>Données!Z180</f>
        <v>1251</v>
      </c>
      <c r="E179" s="177">
        <f>VPI!R180</f>
        <v>90983.63491228073</v>
      </c>
      <c r="F179" s="313">
        <f>'Péréquation directe'!K186</f>
        <v>1527835.1141310157</v>
      </c>
      <c r="G179" s="326">
        <f>PCS!I186</f>
        <v>1796764.7921689791</v>
      </c>
      <c r="H179" s="342">
        <f>'Facture policière'!L180</f>
        <v>219044.04672790715</v>
      </c>
      <c r="I179" s="450">
        <f t="shared" si="2"/>
        <v>3543643.9530279022</v>
      </c>
      <c r="J179" s="179"/>
    </row>
    <row r="180" spans="1:10" s="87" customFormat="1" x14ac:dyDescent="0.25">
      <c r="A180" s="394">
        <f>Données!A181</f>
        <v>5710</v>
      </c>
      <c r="B180" s="398" t="str">
        <f>Données!B181</f>
        <v>Coinsins</v>
      </c>
      <c r="C180" s="396">
        <f>VPI!Q181</f>
        <v>51</v>
      </c>
      <c r="D180" s="401">
        <f>Données!Z181</f>
        <v>499</v>
      </c>
      <c r="E180" s="177">
        <f>VPI!R181</f>
        <v>33549.646470588232</v>
      </c>
      <c r="F180" s="313">
        <f>'Péréquation directe'!K187</f>
        <v>580010.4512723207</v>
      </c>
      <c r="G180" s="326">
        <f>PCS!I187</f>
        <v>617296.61733789661</v>
      </c>
      <c r="H180" s="342">
        <f>'Facture policière'!L181</f>
        <v>84136.484616126225</v>
      </c>
      <c r="I180" s="450">
        <f t="shared" si="2"/>
        <v>1281443.5532263436</v>
      </c>
      <c r="J180" s="179"/>
    </row>
    <row r="181" spans="1:10" s="87" customFormat="1" x14ac:dyDescent="0.25">
      <c r="A181" s="394">
        <f>Données!A182</f>
        <v>5711</v>
      </c>
      <c r="B181" s="398" t="str">
        <f>Données!B182</f>
        <v>Commugny</v>
      </c>
      <c r="C181" s="396">
        <f>VPI!Q182</f>
        <v>57</v>
      </c>
      <c r="D181" s="401">
        <f>Données!Z182</f>
        <v>2989</v>
      </c>
      <c r="E181" s="177">
        <f>VPI!R182</f>
        <v>305461.09360323887</v>
      </c>
      <c r="F181" s="313">
        <f>'Péréquation directe'!K188</f>
        <v>5019455.3403868787</v>
      </c>
      <c r="G181" s="326">
        <f>PCS!I188</f>
        <v>7924751.3643098474</v>
      </c>
      <c r="H181" s="342">
        <f>'Facture policière'!L182</f>
        <v>627302.50255851075</v>
      </c>
      <c r="I181" s="450">
        <f t="shared" si="2"/>
        <v>13571509.207255237</v>
      </c>
      <c r="J181" s="179"/>
    </row>
    <row r="182" spans="1:10" s="87" customFormat="1" x14ac:dyDescent="0.25">
      <c r="A182" s="394">
        <f>Données!A183</f>
        <v>5712</v>
      </c>
      <c r="B182" s="398" t="str">
        <f>Données!B183</f>
        <v>Coppet</v>
      </c>
      <c r="C182" s="396">
        <f>VPI!Q183</f>
        <v>53</v>
      </c>
      <c r="D182" s="401">
        <f>Données!Z183</f>
        <v>3184</v>
      </c>
      <c r="E182" s="177">
        <f>VPI!R183</f>
        <v>422782.58779874217</v>
      </c>
      <c r="F182" s="313">
        <f>'Péréquation directe'!K189</f>
        <v>7173932.5878373506</v>
      </c>
      <c r="G182" s="326">
        <f>PCS!I189</f>
        <v>12173190.976294521</v>
      </c>
      <c r="H182" s="342">
        <f>'Facture policière'!L183</f>
        <v>783167.68962511478</v>
      </c>
      <c r="I182" s="450">
        <f t="shared" si="2"/>
        <v>20130291.253756985</v>
      </c>
      <c r="J182" s="179"/>
    </row>
    <row r="183" spans="1:10" s="87" customFormat="1" x14ac:dyDescent="0.25">
      <c r="A183" s="394">
        <f>Données!A184</f>
        <v>5713</v>
      </c>
      <c r="B183" s="398" t="str">
        <f>Données!B184</f>
        <v>Crans</v>
      </c>
      <c r="C183" s="396">
        <f>VPI!Q184</f>
        <v>59</v>
      </c>
      <c r="D183" s="401">
        <f>Données!Z184</f>
        <v>2360</v>
      </c>
      <c r="E183" s="177">
        <f>VPI!R184</f>
        <v>284269.17355932208</v>
      </c>
      <c r="F183" s="313">
        <f>'Péréquation directe'!K190</f>
        <v>4839656.0199500844</v>
      </c>
      <c r="G183" s="326">
        <f>PCS!I190</f>
        <v>8024428.5875144266</v>
      </c>
      <c r="H183" s="342">
        <f>'Facture policière'!L184</f>
        <v>335484.88498673018</v>
      </c>
      <c r="I183" s="450">
        <f t="shared" si="2"/>
        <v>13199569.492451241</v>
      </c>
      <c r="J183" s="179"/>
    </row>
    <row r="184" spans="1:10" s="87" customFormat="1" x14ac:dyDescent="0.25">
      <c r="A184" s="394">
        <f>Données!A185</f>
        <v>5714</v>
      </c>
      <c r="B184" s="398" t="str">
        <f>Données!B185</f>
        <v>Crassier</v>
      </c>
      <c r="C184" s="396">
        <f>VPI!Q185</f>
        <v>66.5</v>
      </c>
      <c r="D184" s="401">
        <f>Données!Z185</f>
        <v>1234</v>
      </c>
      <c r="E184" s="177">
        <f>VPI!R185</f>
        <v>62524.655789473691</v>
      </c>
      <c r="F184" s="313">
        <f>'Péréquation directe'!K191</f>
        <v>987360.43702374469</v>
      </c>
      <c r="G184" s="326">
        <f>PCS!I191</f>
        <v>1036263.0140574613</v>
      </c>
      <c r="H184" s="342">
        <f>'Facture policière'!L185</f>
        <v>183940.24604664958</v>
      </c>
      <c r="I184" s="450">
        <f t="shared" si="2"/>
        <v>2207563.6971278558</v>
      </c>
      <c r="J184" s="179"/>
    </row>
    <row r="185" spans="1:10" s="87" customFormat="1" x14ac:dyDescent="0.25">
      <c r="A185" s="394">
        <f>Données!A186</f>
        <v>5715</v>
      </c>
      <c r="B185" s="398" t="str">
        <f>Données!B186</f>
        <v>Duillier</v>
      </c>
      <c r="C185" s="396">
        <f>VPI!Q186</f>
        <v>66</v>
      </c>
      <c r="D185" s="401">
        <f>Données!Z186</f>
        <v>1116</v>
      </c>
      <c r="E185" s="177">
        <f>VPI!R186</f>
        <v>60550.113787878792</v>
      </c>
      <c r="F185" s="313">
        <f>'Péréquation directe'!K192</f>
        <v>992064.66610802314</v>
      </c>
      <c r="G185" s="326">
        <f>PCS!I192</f>
        <v>1010816.5663442931</v>
      </c>
      <c r="H185" s="342">
        <f>'Facture policière'!L186</f>
        <v>171076.90361719736</v>
      </c>
      <c r="I185" s="450">
        <f t="shared" si="2"/>
        <v>2173958.1360695134</v>
      </c>
      <c r="J185" s="179"/>
    </row>
    <row r="186" spans="1:10" s="87" customFormat="1" x14ac:dyDescent="0.25">
      <c r="A186" s="394">
        <f>Données!A187</f>
        <v>5716</v>
      </c>
      <c r="B186" s="398" t="str">
        <f>Données!B187</f>
        <v>Eysins</v>
      </c>
      <c r="C186" s="396">
        <f>VPI!Q187</f>
        <v>59.5</v>
      </c>
      <c r="D186" s="401">
        <f>Données!Z187</f>
        <v>1767</v>
      </c>
      <c r="E186" s="177">
        <f>VPI!R187</f>
        <v>232571.69630252098</v>
      </c>
      <c r="F186" s="313">
        <f>'Péréquation directe'!K193</f>
        <v>4060925.8820953709</v>
      </c>
      <c r="G186" s="326">
        <f>PCS!I193</f>
        <v>6649803.8783707414</v>
      </c>
      <c r="H186" s="342">
        <f>'Facture policière'!L187</f>
        <v>432201.29646900005</v>
      </c>
      <c r="I186" s="450">
        <f t="shared" si="2"/>
        <v>11142931.056935111</v>
      </c>
      <c r="J186" s="179"/>
    </row>
    <row r="187" spans="1:10" s="87" customFormat="1" x14ac:dyDescent="0.25">
      <c r="A187" s="394">
        <f>Données!A188</f>
        <v>5717</v>
      </c>
      <c r="B187" s="398" t="str">
        <f>Données!B188</f>
        <v>Founex</v>
      </c>
      <c r="C187" s="396">
        <f>VPI!Q188</f>
        <v>57</v>
      </c>
      <c r="D187" s="401">
        <f>Données!Z188</f>
        <v>3766</v>
      </c>
      <c r="E187" s="177">
        <f>VPI!R188</f>
        <v>361582.97087719297</v>
      </c>
      <c r="F187" s="313">
        <f>'Péréquation directe'!K194</f>
        <v>5698093.4133510152</v>
      </c>
      <c r="G187" s="326">
        <f>PCS!I194</f>
        <v>9441017.836455239</v>
      </c>
      <c r="H187" s="342">
        <f>'Facture policière'!L188</f>
        <v>762893.13471561973</v>
      </c>
      <c r="I187" s="450">
        <f t="shared" si="2"/>
        <v>15902004.384521876</v>
      </c>
      <c r="J187" s="179"/>
    </row>
    <row r="188" spans="1:10" s="87" customFormat="1" x14ac:dyDescent="0.25">
      <c r="A188" s="394">
        <f>Données!A189</f>
        <v>5718</v>
      </c>
      <c r="B188" s="398" t="str">
        <f>Données!B189</f>
        <v>Genolier</v>
      </c>
      <c r="C188" s="396">
        <f>VPI!Q189</f>
        <v>55</v>
      </c>
      <c r="D188" s="401">
        <f>Données!Z189</f>
        <v>2027</v>
      </c>
      <c r="E188" s="177">
        <f>VPI!R189</f>
        <v>212699.2265454545</v>
      </c>
      <c r="F188" s="313">
        <f>'Péréquation directe'!K195</f>
        <v>3585302.555847758</v>
      </c>
      <c r="G188" s="326">
        <f>PCS!I195</f>
        <v>5349995.3630012311</v>
      </c>
      <c r="H188" s="342">
        <f>'Facture policière'!L189</f>
        <v>431956.9037101065</v>
      </c>
      <c r="I188" s="450">
        <f t="shared" si="2"/>
        <v>9367254.8225590959</v>
      </c>
      <c r="J188" s="179"/>
    </row>
    <row r="189" spans="1:10" s="87" customFormat="1" x14ac:dyDescent="0.25">
      <c r="A189" s="394">
        <f>Données!A190</f>
        <v>5719</v>
      </c>
      <c r="B189" s="398" t="str">
        <f>Données!B190</f>
        <v>Gingins</v>
      </c>
      <c r="C189" s="396">
        <f>VPI!Q190</f>
        <v>60</v>
      </c>
      <c r="D189" s="401">
        <f>Données!Z190</f>
        <v>1271</v>
      </c>
      <c r="E189" s="177">
        <f>VPI!R190</f>
        <v>119943.29911111109</v>
      </c>
      <c r="F189" s="313">
        <f>'Péréquation directe'!K196</f>
        <v>2076842.727858566</v>
      </c>
      <c r="G189" s="326">
        <f>PCS!I196</f>
        <v>3129904.0373747949</v>
      </c>
      <c r="H189" s="342">
        <f>'Facture policière'!L190</f>
        <v>255006.52856218594</v>
      </c>
      <c r="I189" s="450">
        <f t="shared" si="2"/>
        <v>5461753.2937955474</v>
      </c>
      <c r="J189" s="179"/>
    </row>
    <row r="190" spans="1:10" s="87" customFormat="1" x14ac:dyDescent="0.25">
      <c r="A190" s="394">
        <f>Données!A191</f>
        <v>5720</v>
      </c>
      <c r="B190" s="398" t="str">
        <f>Données!B191</f>
        <v>Givrins</v>
      </c>
      <c r="C190" s="396">
        <f>VPI!Q191</f>
        <v>67</v>
      </c>
      <c r="D190" s="401">
        <f>Données!Z191</f>
        <v>1026</v>
      </c>
      <c r="E190" s="177">
        <f>VPI!R191</f>
        <v>84868.432139303477</v>
      </c>
      <c r="F190" s="313">
        <f>'Péréquation directe'!K197</f>
        <v>1491664.6342078068</v>
      </c>
      <c r="G190" s="326">
        <f>PCS!I197</f>
        <v>1918178.5736697386</v>
      </c>
      <c r="H190" s="342">
        <f>'Facture policière'!L191</f>
        <v>191742.87652013369</v>
      </c>
      <c r="I190" s="450">
        <f t="shared" si="2"/>
        <v>3601586.0843976792</v>
      </c>
      <c r="J190" s="179"/>
    </row>
    <row r="191" spans="1:10" s="87" customFormat="1" x14ac:dyDescent="0.25">
      <c r="A191" s="394">
        <f>Données!A192</f>
        <v>5721</v>
      </c>
      <c r="B191" s="398" t="str">
        <f>Données!B192</f>
        <v>Gland</v>
      </c>
      <c r="C191" s="396">
        <f>VPI!Q192</f>
        <v>61</v>
      </c>
      <c r="D191" s="401">
        <f>Données!Z192</f>
        <v>13698</v>
      </c>
      <c r="E191" s="177">
        <f>VPI!R192</f>
        <v>688985.30491803284</v>
      </c>
      <c r="F191" s="313">
        <f>'Péréquation directe'!K198</f>
        <v>4487679.8290920909</v>
      </c>
      <c r="G191" s="326">
        <f>PCS!I198</f>
        <v>10874918.327117767</v>
      </c>
      <c r="H191" s="342">
        <f>'Facture policière'!L192</f>
        <v>2035844.1696578194</v>
      </c>
      <c r="I191" s="450">
        <f t="shared" si="2"/>
        <v>17398442.325867679</v>
      </c>
      <c r="J191" s="179"/>
    </row>
    <row r="192" spans="1:10" s="87" customFormat="1" x14ac:dyDescent="0.25">
      <c r="A192" s="394">
        <f>Données!A193</f>
        <v>5722</v>
      </c>
      <c r="B192" s="398" t="str">
        <f>Données!B193</f>
        <v>Grens</v>
      </c>
      <c r="C192" s="396">
        <f>VPI!Q193</f>
        <v>62</v>
      </c>
      <c r="D192" s="401">
        <f>Données!Z193</f>
        <v>400</v>
      </c>
      <c r="E192" s="177">
        <f>VPI!R193</f>
        <v>20912.723225806454</v>
      </c>
      <c r="F192" s="313">
        <f>'Péréquation directe'!K199</f>
        <v>350064.40787783964</v>
      </c>
      <c r="G192" s="326">
        <f>PCS!I199</f>
        <v>376573.45700835873</v>
      </c>
      <c r="H192" s="342">
        <f>'Facture policière'!L193</f>
        <v>60385.759998909576</v>
      </c>
      <c r="I192" s="450">
        <f t="shared" si="2"/>
        <v>787023.62488510797</v>
      </c>
      <c r="J192" s="179"/>
    </row>
    <row r="193" spans="1:10" s="87" customFormat="1" x14ac:dyDescent="0.25">
      <c r="A193" s="394">
        <f>Données!A194</f>
        <v>5723</v>
      </c>
      <c r="B193" s="398" t="str">
        <f>Données!B194</f>
        <v>Mies</v>
      </c>
      <c r="C193" s="396">
        <f>VPI!Q194</f>
        <v>52</v>
      </c>
      <c r="D193" s="401">
        <f>Données!Z194</f>
        <v>2226</v>
      </c>
      <c r="E193" s="177">
        <f>VPI!R194</f>
        <v>253771.19326923077</v>
      </c>
      <c r="F193" s="313">
        <f>'Péréquation directe'!K200</f>
        <v>4302286.2266745334</v>
      </c>
      <c r="G193" s="326">
        <f>PCS!I200</f>
        <v>6852433.9970429856</v>
      </c>
      <c r="H193" s="342">
        <f>'Facture policière'!L194</f>
        <v>498192.02445721527</v>
      </c>
      <c r="I193" s="450">
        <f t="shared" si="2"/>
        <v>11652912.248174733</v>
      </c>
      <c r="J193" s="179"/>
    </row>
    <row r="194" spans="1:10" s="87" customFormat="1" x14ac:dyDescent="0.25">
      <c r="A194" s="394">
        <f>Données!A195</f>
        <v>5724</v>
      </c>
      <c r="B194" s="398" t="str">
        <f>Données!B195</f>
        <v>Nyon</v>
      </c>
      <c r="C194" s="396">
        <f>VPI!Q195</f>
        <v>61</v>
      </c>
      <c r="D194" s="401">
        <f>Données!Z195</f>
        <v>22481</v>
      </c>
      <c r="E194" s="177">
        <f>VPI!R195</f>
        <v>1520148.6004918031</v>
      </c>
      <c r="F194" s="313">
        <f>'Péréquation directe'!K201</f>
        <v>11000123.647327911</v>
      </c>
      <c r="G194" s="326">
        <f>PCS!I201</f>
        <v>30061662.60896581</v>
      </c>
      <c r="H194" s="342">
        <f>'Facture policière'!L195</f>
        <v>1794028.0756200457</v>
      </c>
      <c r="I194" s="450">
        <f t="shared" si="2"/>
        <v>42855814.331913769</v>
      </c>
      <c r="J194" s="179"/>
    </row>
    <row r="195" spans="1:10" s="87" customFormat="1" x14ac:dyDescent="0.25">
      <c r="A195" s="394">
        <f>Données!A196</f>
        <v>5725</v>
      </c>
      <c r="B195" s="398" t="str">
        <f>Données!B196</f>
        <v>Prangins</v>
      </c>
      <c r="C195" s="396">
        <f>VPI!Q196</f>
        <v>55</v>
      </c>
      <c r="D195" s="401">
        <f>Données!Z196</f>
        <v>4279</v>
      </c>
      <c r="E195" s="177">
        <f>VPI!R196</f>
        <v>388958.996077922</v>
      </c>
      <c r="F195" s="313">
        <f>'Péréquation directe'!K202</f>
        <v>5959151.622908935</v>
      </c>
      <c r="G195" s="326">
        <f>PCS!I202</f>
        <v>8846838.5922283754</v>
      </c>
      <c r="H195" s="342">
        <f>'Facture policière'!L196</f>
        <v>459036.28040247108</v>
      </c>
      <c r="I195" s="450">
        <f t="shared" si="2"/>
        <v>15265026.495539781</v>
      </c>
      <c r="J195" s="179"/>
    </row>
    <row r="196" spans="1:10" s="87" customFormat="1" x14ac:dyDescent="0.25">
      <c r="A196" s="394">
        <f>Données!A197</f>
        <v>5726</v>
      </c>
      <c r="B196" s="398" t="str">
        <f>Données!B197</f>
        <v>La Rippe</v>
      </c>
      <c r="C196" s="396">
        <f>VPI!Q197</f>
        <v>64</v>
      </c>
      <c r="D196" s="401">
        <f>Données!Z197</f>
        <v>1198</v>
      </c>
      <c r="E196" s="177">
        <f>VPI!R197</f>
        <v>69785.913125000021</v>
      </c>
      <c r="F196" s="313">
        <f>'Péréquation directe'!K203</f>
        <v>1139834.2178236539</v>
      </c>
      <c r="G196" s="326">
        <f>PCS!I203</f>
        <v>1176012.3456588578</v>
      </c>
      <c r="H196" s="342">
        <f>'Facture policière'!L197</f>
        <v>189296.26261394663</v>
      </c>
      <c r="I196" s="450">
        <f t="shared" si="2"/>
        <v>2505142.8260964584</v>
      </c>
      <c r="J196" s="179"/>
    </row>
    <row r="197" spans="1:10" s="87" customFormat="1" x14ac:dyDescent="0.25">
      <c r="A197" s="394">
        <f>Données!A198</f>
        <v>5727</v>
      </c>
      <c r="B197" s="398" t="str">
        <f>Données!B198</f>
        <v>Saint-Cergue</v>
      </c>
      <c r="C197" s="396">
        <f>VPI!Q198</f>
        <v>66</v>
      </c>
      <c r="D197" s="401">
        <f>Données!Z198</f>
        <v>2788</v>
      </c>
      <c r="E197" s="177">
        <f>VPI!R198</f>
        <v>107048.1634848485</v>
      </c>
      <c r="F197" s="313">
        <f>'Péréquation directe'!K204</f>
        <v>793516.28049043566</v>
      </c>
      <c r="G197" s="326">
        <f>PCS!I204</f>
        <v>2008344.8644518824</v>
      </c>
      <c r="H197" s="342">
        <f>'Facture policière'!L198</f>
        <v>322980.33559129795</v>
      </c>
      <c r="I197" s="450">
        <f t="shared" si="2"/>
        <v>3124841.4805336162</v>
      </c>
      <c r="J197" s="179"/>
    </row>
    <row r="198" spans="1:10" s="87" customFormat="1" x14ac:dyDescent="0.25">
      <c r="A198" s="394">
        <f>Données!A199</f>
        <v>5728</v>
      </c>
      <c r="B198" s="398" t="str">
        <f>Données!B199</f>
        <v>Signy-Avenex</v>
      </c>
      <c r="C198" s="396">
        <f>VPI!Q199</f>
        <v>58</v>
      </c>
      <c r="D198" s="401">
        <f>Données!Z199</f>
        <v>583</v>
      </c>
      <c r="E198" s="177">
        <f>VPI!R199</f>
        <v>66000.760172413793</v>
      </c>
      <c r="F198" s="313">
        <f>'Péréquation directe'!K205</f>
        <v>1192466.2256576149</v>
      </c>
      <c r="G198" s="326">
        <f>PCS!I205</f>
        <v>1750946.8284352547</v>
      </c>
      <c r="H198" s="342">
        <f>'Facture policière'!L199</f>
        <v>129932.30049399802</v>
      </c>
      <c r="I198" s="450">
        <f t="shared" ref="I198:I261" si="3">SUM(F198:H198)</f>
        <v>3073345.3545868676</v>
      </c>
      <c r="J198" s="179"/>
    </row>
    <row r="199" spans="1:10" s="87" customFormat="1" x14ac:dyDescent="0.25">
      <c r="A199" s="394">
        <f>Données!A200</f>
        <v>5729</v>
      </c>
      <c r="B199" s="398" t="str">
        <f>Données!B200</f>
        <v>Tannay</v>
      </c>
      <c r="C199" s="396">
        <f>VPI!Q200</f>
        <v>60.5</v>
      </c>
      <c r="D199" s="401">
        <f>Données!Z200</f>
        <v>1724</v>
      </c>
      <c r="E199" s="177">
        <f>VPI!R200</f>
        <v>189085.86771349865</v>
      </c>
      <c r="F199" s="313">
        <f>'Péréquation directe'!K206</f>
        <v>3241221.028555932</v>
      </c>
      <c r="G199" s="326">
        <f>PCS!I206</f>
        <v>5446971.8906785809</v>
      </c>
      <c r="H199" s="342">
        <f>'Facture policière'!L200</f>
        <v>377042.47264249751</v>
      </c>
      <c r="I199" s="450">
        <f t="shared" si="3"/>
        <v>9065235.3918770105</v>
      </c>
      <c r="J199" s="179"/>
    </row>
    <row r="200" spans="1:10" s="87" customFormat="1" x14ac:dyDescent="0.25">
      <c r="A200" s="394">
        <f>Données!A201</f>
        <v>5730</v>
      </c>
      <c r="B200" s="398" t="str">
        <f>Données!B201</f>
        <v>Trélex</v>
      </c>
      <c r="C200" s="396">
        <f>VPI!Q201</f>
        <v>55.5</v>
      </c>
      <c r="D200" s="401">
        <f>Données!Z201</f>
        <v>1429</v>
      </c>
      <c r="E200" s="177">
        <f>VPI!R201</f>
        <v>121414.34176176177</v>
      </c>
      <c r="F200" s="313">
        <f>'Péréquation directe'!K207</f>
        <v>2048017.0008770372</v>
      </c>
      <c r="G200" s="326">
        <f>PCS!I207</f>
        <v>2856798.5668188785</v>
      </c>
      <c r="H200" s="342">
        <f>'Facture policière'!L201</f>
        <v>270846.18503199361</v>
      </c>
      <c r="I200" s="450">
        <f t="shared" si="3"/>
        <v>5175661.752727909</v>
      </c>
      <c r="J200" s="179"/>
    </row>
    <row r="201" spans="1:10" s="87" customFormat="1" x14ac:dyDescent="0.25">
      <c r="A201" s="394">
        <f>Données!A202</f>
        <v>5731</v>
      </c>
      <c r="B201" s="398" t="str">
        <f>Données!B202</f>
        <v>Le Vaud</v>
      </c>
      <c r="C201" s="396">
        <f>VPI!Q202</f>
        <v>74</v>
      </c>
      <c r="D201" s="401">
        <f>Données!Z202</f>
        <v>1408</v>
      </c>
      <c r="E201" s="177">
        <f>VPI!R202</f>
        <v>69610.558648648643</v>
      </c>
      <c r="F201" s="313">
        <f>'Péréquation directe'!K208</f>
        <v>1060599.9587809767</v>
      </c>
      <c r="G201" s="326">
        <f>PCS!I208</f>
        <v>956296.45064638846</v>
      </c>
      <c r="H201" s="342">
        <f>'Facture policière'!L202</f>
        <v>207834.5818344538</v>
      </c>
      <c r="I201" s="450">
        <f t="shared" si="3"/>
        <v>2224730.9912618189</v>
      </c>
      <c r="J201" s="179"/>
    </row>
    <row r="202" spans="1:10" s="87" customFormat="1" x14ac:dyDescent="0.25">
      <c r="A202" s="394">
        <f>Données!A203</f>
        <v>5732</v>
      </c>
      <c r="B202" s="398" t="str">
        <f>Données!B203</f>
        <v>Vich</v>
      </c>
      <c r="C202" s="396">
        <f>VPI!Q203</f>
        <v>63</v>
      </c>
      <c r="D202" s="401">
        <f>Données!Z203</f>
        <v>1160</v>
      </c>
      <c r="E202" s="177">
        <f>VPI!R203</f>
        <v>79861.73920634923</v>
      </c>
      <c r="F202" s="313">
        <f>'Péréquation directe'!K209</f>
        <v>1347090.4120952112</v>
      </c>
      <c r="G202" s="326">
        <f>PCS!I209</f>
        <v>1490770.5972318756</v>
      </c>
      <c r="H202" s="342">
        <f>'Facture policière'!L203</f>
        <v>197795.41187859123</v>
      </c>
      <c r="I202" s="450">
        <f t="shared" si="3"/>
        <v>3035656.421205678</v>
      </c>
      <c r="J202" s="179"/>
    </row>
    <row r="203" spans="1:10" s="87" customFormat="1" x14ac:dyDescent="0.25">
      <c r="A203" s="394">
        <f>Données!A204</f>
        <v>5741</v>
      </c>
      <c r="B203" s="398" t="str">
        <f>Données!B204</f>
        <v>L'Abergement</v>
      </c>
      <c r="C203" s="396">
        <f>VPI!Q204</f>
        <v>80</v>
      </c>
      <c r="D203" s="401">
        <f>Données!Z204</f>
        <v>260</v>
      </c>
      <c r="E203" s="177">
        <f>VPI!R204</f>
        <v>10833.904395833331</v>
      </c>
      <c r="F203" s="313">
        <f>'Péréquation directe'!K210</f>
        <v>129498.65706374377</v>
      </c>
      <c r="G203" s="326">
        <f>PCS!I210</f>
        <v>143233.8290594538</v>
      </c>
      <c r="H203" s="342">
        <f>'Facture policière'!L204</f>
        <v>33361.522340329575</v>
      </c>
      <c r="I203" s="450">
        <f t="shared" si="3"/>
        <v>306094.00846352719</v>
      </c>
      <c r="J203" s="179"/>
    </row>
    <row r="204" spans="1:10" s="87" customFormat="1" x14ac:dyDescent="0.25">
      <c r="A204" s="394">
        <f>Données!A205</f>
        <v>5742</v>
      </c>
      <c r="B204" s="398" t="str">
        <f>Données!B205</f>
        <v>Agiez</v>
      </c>
      <c r="C204" s="396">
        <f>VPI!Q205</f>
        <v>76</v>
      </c>
      <c r="D204" s="401">
        <f>Données!Z205</f>
        <v>381</v>
      </c>
      <c r="E204" s="177">
        <f>VPI!R205</f>
        <v>9049.0364473684222</v>
      </c>
      <c r="F204" s="313">
        <f>'Péréquation directe'!K211</f>
        <v>-92520.844036915252</v>
      </c>
      <c r="G204" s="326">
        <f>PCS!I211</f>
        <v>106318.80726927964</v>
      </c>
      <c r="H204" s="342">
        <f>'Facture policière'!L205</f>
        <v>27127.49821357675</v>
      </c>
      <c r="I204" s="450">
        <f t="shared" si="3"/>
        <v>40925.461445941139</v>
      </c>
      <c r="J204" s="179"/>
    </row>
    <row r="205" spans="1:10" s="87" customFormat="1" x14ac:dyDescent="0.25">
      <c r="A205" s="394">
        <f>Données!A206</f>
        <v>5743</v>
      </c>
      <c r="B205" s="398" t="str">
        <f>Données!B206</f>
        <v>Arnex-sur-Orbe</v>
      </c>
      <c r="C205" s="396">
        <f>VPI!Q206</f>
        <v>71</v>
      </c>
      <c r="D205" s="401">
        <f>Données!Z206</f>
        <v>692</v>
      </c>
      <c r="E205" s="177">
        <f>VPI!R206</f>
        <v>19423.544507042254</v>
      </c>
      <c r="F205" s="313">
        <f>'Péréquation directe'!K212</f>
        <v>-257.51979662559461</v>
      </c>
      <c r="G205" s="326">
        <f>PCS!I212</f>
        <v>315256.1482460741</v>
      </c>
      <c r="H205" s="342">
        <f>'Facture policière'!L206</f>
        <v>59185.593684248917</v>
      </c>
      <c r="I205" s="450">
        <f t="shared" si="3"/>
        <v>374184.22213369742</v>
      </c>
      <c r="J205" s="179"/>
    </row>
    <row r="206" spans="1:10" s="87" customFormat="1" x14ac:dyDescent="0.25">
      <c r="A206" s="394">
        <f>Données!A207</f>
        <v>5744</v>
      </c>
      <c r="B206" s="398" t="str">
        <f>Données!B207</f>
        <v>Ballaigues</v>
      </c>
      <c r="C206" s="396">
        <f>VPI!Q207</f>
        <v>65</v>
      </c>
      <c r="D206" s="401">
        <f>Données!Z207</f>
        <v>1152</v>
      </c>
      <c r="E206" s="177">
        <f>VPI!R207</f>
        <v>54105.101538461538</v>
      </c>
      <c r="F206" s="313">
        <f>'Péréquation directe'!K213</f>
        <v>826565.75337105687</v>
      </c>
      <c r="G206" s="326">
        <f>PCS!I213</f>
        <v>1207488.7608595323</v>
      </c>
      <c r="H206" s="342">
        <f>'Facture policière'!L207</f>
        <v>166093.98717931093</v>
      </c>
      <c r="I206" s="450">
        <f t="shared" si="3"/>
        <v>2200148.5014098999</v>
      </c>
      <c r="J206" s="179"/>
    </row>
    <row r="207" spans="1:10" s="87" customFormat="1" x14ac:dyDescent="0.25">
      <c r="A207" s="394">
        <f>Données!A208</f>
        <v>5745</v>
      </c>
      <c r="B207" s="398" t="str">
        <f>Données!B208</f>
        <v>Baulmes</v>
      </c>
      <c r="C207" s="396">
        <f>VPI!Q208</f>
        <v>76.5</v>
      </c>
      <c r="D207" s="401">
        <f>Données!Z208</f>
        <v>1132</v>
      </c>
      <c r="E207" s="177">
        <f>VPI!R208</f>
        <v>27705.104967320265</v>
      </c>
      <c r="F207" s="313">
        <f>'Péréquation directe'!K214</f>
        <v>-279167.46480845276</v>
      </c>
      <c r="G207" s="326">
        <f>PCS!I214</f>
        <v>459426.43911677343</v>
      </c>
      <c r="H207" s="342">
        <f>'Facture policière'!L208</f>
        <v>83988.760073771089</v>
      </c>
      <c r="I207" s="450">
        <f t="shared" si="3"/>
        <v>264247.73438209179</v>
      </c>
      <c r="J207" s="179"/>
    </row>
    <row r="208" spans="1:10" s="87" customFormat="1" x14ac:dyDescent="0.25">
      <c r="A208" s="394">
        <f>Données!A209</f>
        <v>5746</v>
      </c>
      <c r="B208" s="398" t="str">
        <f>Données!B209</f>
        <v>Bavois</v>
      </c>
      <c r="C208" s="396">
        <f>VPI!Q209</f>
        <v>72</v>
      </c>
      <c r="D208" s="401">
        <f>Données!Z209</f>
        <v>1009</v>
      </c>
      <c r="E208" s="177">
        <f>VPI!R209</f>
        <v>29513.59275462963</v>
      </c>
      <c r="F208" s="313">
        <f>'Péréquation directe'!K215</f>
        <v>33388.514989063144</v>
      </c>
      <c r="G208" s="326">
        <f>PCS!I215</f>
        <v>470956.96867508849</v>
      </c>
      <c r="H208" s="342">
        <f>'Facture policière'!L209</f>
        <v>87928.528630590095</v>
      </c>
      <c r="I208" s="450">
        <f t="shared" si="3"/>
        <v>592274.0122947417</v>
      </c>
      <c r="J208" s="179"/>
    </row>
    <row r="209" spans="1:10" s="87" customFormat="1" x14ac:dyDescent="0.25">
      <c r="A209" s="394">
        <f>Données!A210</f>
        <v>5747</v>
      </c>
      <c r="B209" s="398" t="str">
        <f>Données!B210</f>
        <v>Bofflens</v>
      </c>
      <c r="C209" s="396">
        <f>VPI!Q210</f>
        <v>69</v>
      </c>
      <c r="D209" s="401">
        <f>Données!Z210</f>
        <v>204</v>
      </c>
      <c r="E209" s="177">
        <f>VPI!R210</f>
        <v>5778.0378260869547</v>
      </c>
      <c r="F209" s="313">
        <f>'Péréquation directe'!K216</f>
        <v>6564.224124058921</v>
      </c>
      <c r="G209" s="326">
        <f>PCS!I216</f>
        <v>106957.17757019533</v>
      </c>
      <c r="H209" s="342">
        <f>'Facture policière'!L210</f>
        <v>17380.94408302573</v>
      </c>
      <c r="I209" s="450">
        <f t="shared" si="3"/>
        <v>130902.34577727999</v>
      </c>
      <c r="J209" s="179"/>
    </row>
    <row r="210" spans="1:10" s="87" customFormat="1" x14ac:dyDescent="0.25">
      <c r="A210" s="394">
        <f>Données!A211</f>
        <v>5748</v>
      </c>
      <c r="B210" s="398" t="str">
        <f>Données!B211</f>
        <v>Bretonnières</v>
      </c>
      <c r="C210" s="396">
        <f>VPI!Q211</f>
        <v>70.5</v>
      </c>
      <c r="D210" s="401">
        <f>Données!Z211</f>
        <v>264</v>
      </c>
      <c r="E210" s="177">
        <f>VPI!R211</f>
        <v>6762.4759338061467</v>
      </c>
      <c r="F210" s="313">
        <f>'Péréquation directe'!K217</f>
        <v>-23882.850143367323</v>
      </c>
      <c r="G210" s="326">
        <f>PCS!I217</f>
        <v>98776.298150220129</v>
      </c>
      <c r="H210" s="342">
        <f>'Facture policière'!L211</f>
        <v>20354.781193051072</v>
      </c>
      <c r="I210" s="450">
        <f t="shared" si="3"/>
        <v>95248.229199903872</v>
      </c>
      <c r="J210" s="179"/>
    </row>
    <row r="211" spans="1:10" s="87" customFormat="1" x14ac:dyDescent="0.25">
      <c r="A211" s="394">
        <f>Données!A212</f>
        <v>5749</v>
      </c>
      <c r="B211" s="398" t="str">
        <f>Données!B212</f>
        <v>Chavornay</v>
      </c>
      <c r="C211" s="396">
        <f>VPI!Q212</f>
        <v>70.5</v>
      </c>
      <c r="D211" s="401">
        <f>Données!Z212</f>
        <v>5415</v>
      </c>
      <c r="E211" s="177">
        <f>VPI!R212</f>
        <v>144692.07858156026</v>
      </c>
      <c r="F211" s="313">
        <f>'Péréquation directe'!K218</f>
        <v>-1698147.1416141419</v>
      </c>
      <c r="G211" s="326">
        <f>PCS!I218</f>
        <v>2116246.5494591789</v>
      </c>
      <c r="H211" s="342">
        <f>'Facture policière'!L212</f>
        <v>433395.62403491518</v>
      </c>
      <c r="I211" s="450">
        <f t="shared" si="3"/>
        <v>851495.03187995218</v>
      </c>
      <c r="J211" s="179"/>
    </row>
    <row r="212" spans="1:10" s="87" customFormat="1" x14ac:dyDescent="0.25">
      <c r="A212" s="394">
        <f>Données!A213</f>
        <v>5750</v>
      </c>
      <c r="B212" s="398" t="str">
        <f>Données!B213</f>
        <v>Les Clées</v>
      </c>
      <c r="C212" s="396">
        <f>VPI!Q213</f>
        <v>80</v>
      </c>
      <c r="D212" s="401">
        <f>Données!Z213</f>
        <v>187</v>
      </c>
      <c r="E212" s="177">
        <f>VPI!R213</f>
        <v>5460.4465833333343</v>
      </c>
      <c r="F212" s="313">
        <f>'Péréquation directe'!K219</f>
        <v>-11285.875794186606</v>
      </c>
      <c r="G212" s="326">
        <f>PCS!I219</f>
        <v>94500.843614239478</v>
      </c>
      <c r="H212" s="342">
        <f>'Facture policière'!L213</f>
        <v>16766.212525964838</v>
      </c>
      <c r="I212" s="450">
        <f t="shared" si="3"/>
        <v>99981.180346017703</v>
      </c>
      <c r="J212" s="179"/>
    </row>
    <row r="213" spans="1:10" s="87" customFormat="1" x14ac:dyDescent="0.25">
      <c r="A213" s="394">
        <f>Données!A214</f>
        <v>5752</v>
      </c>
      <c r="B213" s="398" t="str">
        <f>Données!B214</f>
        <v>Croy</v>
      </c>
      <c r="C213" s="396">
        <f>VPI!Q214</f>
        <v>74</v>
      </c>
      <c r="D213" s="401">
        <f>Données!Z214</f>
        <v>387</v>
      </c>
      <c r="E213" s="177">
        <f>VPI!R214</f>
        <v>10204.254034749034</v>
      </c>
      <c r="F213" s="313">
        <f>'Péréquation directe'!K220</f>
        <v>-40904.883088859788</v>
      </c>
      <c r="G213" s="326">
        <f>PCS!I220</f>
        <v>144490.18492711548</v>
      </c>
      <c r="H213" s="342">
        <f>'Facture policière'!L214</f>
        <v>30746.985693369912</v>
      </c>
      <c r="I213" s="450">
        <f t="shared" si="3"/>
        <v>134332.2875316256</v>
      </c>
      <c r="J213" s="179"/>
    </row>
    <row r="214" spans="1:10" s="87" customFormat="1" x14ac:dyDescent="0.25">
      <c r="A214" s="394">
        <f>Données!A215</f>
        <v>5754</v>
      </c>
      <c r="B214" s="398" t="str">
        <f>Données!B215</f>
        <v>Juriens</v>
      </c>
      <c r="C214" s="396">
        <f>VPI!Q215</f>
        <v>79</v>
      </c>
      <c r="D214" s="401">
        <f>Données!Z215</f>
        <v>349</v>
      </c>
      <c r="E214" s="177">
        <f>VPI!R215</f>
        <v>8633.2483544303759</v>
      </c>
      <c r="F214" s="313">
        <f>'Péréquation directe'!K221</f>
        <v>-85566.62939504112</v>
      </c>
      <c r="G214" s="326">
        <f>PCS!I221</f>
        <v>263125.00710198039</v>
      </c>
      <c r="H214" s="342">
        <f>'Facture policière'!L215</f>
        <v>26189.478981938471</v>
      </c>
      <c r="I214" s="450">
        <f t="shared" si="3"/>
        <v>203747.85668887774</v>
      </c>
      <c r="J214" s="179"/>
    </row>
    <row r="215" spans="1:10" s="87" customFormat="1" x14ac:dyDescent="0.25">
      <c r="A215" s="394">
        <f>Données!A216</f>
        <v>5755</v>
      </c>
      <c r="B215" s="398" t="str">
        <f>Données!B216</f>
        <v>Lignerolle</v>
      </c>
      <c r="C215" s="396">
        <f>VPI!Q216</f>
        <v>78.5</v>
      </c>
      <c r="D215" s="401">
        <f>Données!Z216</f>
        <v>448</v>
      </c>
      <c r="E215" s="177">
        <f>VPI!R216</f>
        <v>10920.942602365787</v>
      </c>
      <c r="F215" s="313">
        <f>'Péréquation directe'!K222</f>
        <v>-113566.47064955608</v>
      </c>
      <c r="G215" s="326">
        <f>PCS!I222</f>
        <v>179012.72310549355</v>
      </c>
      <c r="H215" s="342">
        <f>'Facture policière'!L216</f>
        <v>33019.61528280843</v>
      </c>
      <c r="I215" s="450">
        <f t="shared" si="3"/>
        <v>98465.867738745903</v>
      </c>
      <c r="J215" s="179"/>
    </row>
    <row r="216" spans="1:10" s="87" customFormat="1" x14ac:dyDescent="0.25">
      <c r="A216" s="394">
        <f>Données!A217</f>
        <v>5756</v>
      </c>
      <c r="B216" s="398" t="str">
        <f>Données!B217</f>
        <v>Montcherand</v>
      </c>
      <c r="C216" s="396">
        <f>VPI!Q217</f>
        <v>72</v>
      </c>
      <c r="D216" s="401">
        <f>Données!Z217</f>
        <v>496</v>
      </c>
      <c r="E216" s="177">
        <f>VPI!R217</f>
        <v>17503.400416666664</v>
      </c>
      <c r="F216" s="313">
        <f>'Péréquation directe'!K223</f>
        <v>137029.07887375893</v>
      </c>
      <c r="G216" s="326">
        <f>PCS!I223</f>
        <v>217107.42315853699</v>
      </c>
      <c r="H216" s="342">
        <f>'Facture policière'!L217</f>
        <v>20656.922458870442</v>
      </c>
      <c r="I216" s="450">
        <f t="shared" si="3"/>
        <v>374793.42449116637</v>
      </c>
      <c r="J216" s="179"/>
    </row>
    <row r="217" spans="1:10" s="87" customFormat="1" x14ac:dyDescent="0.25">
      <c r="A217" s="394">
        <f>Données!A218</f>
        <v>5757</v>
      </c>
      <c r="B217" s="398" t="str">
        <f>Données!B218</f>
        <v>Orbe</v>
      </c>
      <c r="C217" s="396">
        <f>VPI!Q218</f>
        <v>75.5</v>
      </c>
      <c r="D217" s="401">
        <f>Données!Z218</f>
        <v>7622</v>
      </c>
      <c r="E217" s="177">
        <f>VPI!R218</f>
        <v>217762.06927152316</v>
      </c>
      <c r="F217" s="313">
        <f>'Péréquation directe'!K224</f>
        <v>-2775661.6395592396</v>
      </c>
      <c r="G217" s="326">
        <f>PCS!I224</f>
        <v>4300223.9921736792</v>
      </c>
      <c r="H217" s="342">
        <f>'Facture policière'!L218</f>
        <v>256995.44501888737</v>
      </c>
      <c r="I217" s="450">
        <f t="shared" si="3"/>
        <v>1781557.7976333268</v>
      </c>
      <c r="J217" s="179"/>
    </row>
    <row r="218" spans="1:10" s="87" customFormat="1" x14ac:dyDescent="0.25">
      <c r="A218" s="394">
        <f>Données!A219</f>
        <v>5758</v>
      </c>
      <c r="B218" s="398" t="str">
        <f>Données!B219</f>
        <v>La Praz</v>
      </c>
      <c r="C218" s="396">
        <f>VPI!Q219</f>
        <v>83</v>
      </c>
      <c r="D218" s="401">
        <f>Données!Z219</f>
        <v>183</v>
      </c>
      <c r="E218" s="177">
        <f>VPI!R219</f>
        <v>4500.7334939759048</v>
      </c>
      <c r="F218" s="313">
        <f>'Péréquation directe'!K225</f>
        <v>-57324.700756035003</v>
      </c>
      <c r="G218" s="326">
        <f>PCS!I225</f>
        <v>53623.360050972828</v>
      </c>
      <c r="H218" s="342">
        <f>'Facture policière'!L219</f>
        <v>13557.581969518971</v>
      </c>
      <c r="I218" s="450">
        <f t="shared" si="3"/>
        <v>9856.2412644567958</v>
      </c>
      <c r="J218" s="179"/>
    </row>
    <row r="219" spans="1:10" s="87" customFormat="1" x14ac:dyDescent="0.25">
      <c r="A219" s="394">
        <f>Données!A220</f>
        <v>5759</v>
      </c>
      <c r="B219" s="398" t="str">
        <f>Données!B220</f>
        <v>Premier</v>
      </c>
      <c r="C219" s="396">
        <f>VPI!Q220</f>
        <v>79.5</v>
      </c>
      <c r="D219" s="401">
        <f>Données!Z220</f>
        <v>236</v>
      </c>
      <c r="E219" s="177">
        <f>VPI!R220</f>
        <v>5667.0675471698114</v>
      </c>
      <c r="F219" s="313">
        <f>'Péréquation directe'!K226</f>
        <v>-67232.627195549387</v>
      </c>
      <c r="G219" s="326">
        <f>PCS!I226</f>
        <v>87962.733543995564</v>
      </c>
      <c r="H219" s="342">
        <f>'Facture policière'!L220</f>
        <v>17206.955323463975</v>
      </c>
      <c r="I219" s="450">
        <f t="shared" si="3"/>
        <v>37937.061671910153</v>
      </c>
      <c r="J219" s="179"/>
    </row>
    <row r="220" spans="1:10" s="87" customFormat="1" x14ac:dyDescent="0.25">
      <c r="A220" s="394">
        <f>Données!A221</f>
        <v>5760</v>
      </c>
      <c r="B220" s="398" t="str">
        <f>Données!B221</f>
        <v>Rances</v>
      </c>
      <c r="C220" s="396">
        <f>VPI!Q221</f>
        <v>76.5</v>
      </c>
      <c r="D220" s="401">
        <f>Données!Z221</f>
        <v>522</v>
      </c>
      <c r="E220" s="177">
        <f>VPI!R221</f>
        <v>16308.735686274507</v>
      </c>
      <c r="F220" s="313">
        <f>'Péréquation directe'!K227</f>
        <v>35902.095108083275</v>
      </c>
      <c r="G220" s="326">
        <f>PCS!I227</f>
        <v>260929.92028844915</v>
      </c>
      <c r="H220" s="342">
        <f>'Facture policière'!L221</f>
        <v>49637.771880461965</v>
      </c>
      <c r="I220" s="450">
        <f t="shared" si="3"/>
        <v>346469.78727699438</v>
      </c>
      <c r="J220" s="179"/>
    </row>
    <row r="221" spans="1:10" s="87" customFormat="1" x14ac:dyDescent="0.25">
      <c r="A221" s="394">
        <f>Données!A222</f>
        <v>5761</v>
      </c>
      <c r="B221" s="398" t="str">
        <f>Données!B222</f>
        <v>Romainmôtier-Envy</v>
      </c>
      <c r="C221" s="396">
        <f>VPI!Q222</f>
        <v>81</v>
      </c>
      <c r="D221" s="401">
        <f>Données!Z222</f>
        <v>567</v>
      </c>
      <c r="E221" s="177">
        <f>VPI!R222</f>
        <v>14407.779147025813</v>
      </c>
      <c r="F221" s="313">
        <f>'Péréquation directe'!K228</f>
        <v>-138857.97271225177</v>
      </c>
      <c r="G221" s="326">
        <f>PCS!I228</f>
        <v>215824.09619962066</v>
      </c>
      <c r="H221" s="342">
        <f>'Facture policière'!L222</f>
        <v>43564.592486681184</v>
      </c>
      <c r="I221" s="450">
        <f t="shared" si="3"/>
        <v>120530.71597405008</v>
      </c>
      <c r="J221" s="179"/>
    </row>
    <row r="222" spans="1:10" s="87" customFormat="1" x14ac:dyDescent="0.25">
      <c r="A222" s="394">
        <f>Données!A223</f>
        <v>5762</v>
      </c>
      <c r="B222" s="398" t="str">
        <f>Données!B223</f>
        <v>Sergey</v>
      </c>
      <c r="C222" s="396">
        <f>VPI!Q223</f>
        <v>78</v>
      </c>
      <c r="D222" s="401">
        <f>Données!Z223</f>
        <v>140</v>
      </c>
      <c r="E222" s="177">
        <f>VPI!R223</f>
        <v>3741.4505128205124</v>
      </c>
      <c r="F222" s="313">
        <f>'Péréquation directe'!K229</f>
        <v>-20131.641047329438</v>
      </c>
      <c r="G222" s="326">
        <f>PCS!I229</f>
        <v>50257.594070603278</v>
      </c>
      <c r="H222" s="342">
        <f>'Facture policière'!L223</f>
        <v>11361.971832150881</v>
      </c>
      <c r="I222" s="450">
        <f t="shared" si="3"/>
        <v>41487.924855424717</v>
      </c>
      <c r="J222" s="179"/>
    </row>
    <row r="223" spans="1:10" s="87" customFormat="1" x14ac:dyDescent="0.25">
      <c r="A223" s="394">
        <f>Données!A224</f>
        <v>5763</v>
      </c>
      <c r="B223" s="398" t="str">
        <f>Données!B224</f>
        <v>Valeyres-sous-Rances</v>
      </c>
      <c r="C223" s="396">
        <f>VPI!Q224</f>
        <v>71</v>
      </c>
      <c r="D223" s="401">
        <f>Données!Z224</f>
        <v>606</v>
      </c>
      <c r="E223" s="177">
        <f>VPI!R224</f>
        <v>22295.640563380282</v>
      </c>
      <c r="F223" s="313">
        <f>'Péréquation directe'!K230</f>
        <v>207804.09137640038</v>
      </c>
      <c r="G223" s="326">
        <f>PCS!I230</f>
        <v>279735.78748322942</v>
      </c>
      <c r="H223" s="342">
        <f>'Facture policière'!L224</f>
        <v>68099.966211249426</v>
      </c>
      <c r="I223" s="450">
        <f t="shared" si="3"/>
        <v>555639.84507087921</v>
      </c>
      <c r="J223" s="179"/>
    </row>
    <row r="224" spans="1:10" s="87" customFormat="1" x14ac:dyDescent="0.25">
      <c r="A224" s="394">
        <f>Données!A225</f>
        <v>5764</v>
      </c>
      <c r="B224" s="398" t="str">
        <f>Données!B225</f>
        <v>Vallorbe</v>
      </c>
      <c r="C224" s="396">
        <f>VPI!Q225</f>
        <v>71.5</v>
      </c>
      <c r="D224" s="401">
        <f>Données!Z225</f>
        <v>3990</v>
      </c>
      <c r="E224" s="177">
        <f>VPI!R225</f>
        <v>83717.114965034954</v>
      </c>
      <c r="F224" s="313">
        <f>'Péréquation directe'!K231</f>
        <v>-1993210.4996977511</v>
      </c>
      <c r="G224" s="326">
        <f>PCS!I231</f>
        <v>2032815.2580481544</v>
      </c>
      <c r="H224" s="342">
        <f>'Facture policière'!L225</f>
        <v>250766.5269045434</v>
      </c>
      <c r="I224" s="450">
        <f t="shared" si="3"/>
        <v>290371.28525494668</v>
      </c>
      <c r="J224" s="179"/>
    </row>
    <row r="225" spans="1:10" s="87" customFormat="1" x14ac:dyDescent="0.25">
      <c r="A225" s="394">
        <f>Données!A226</f>
        <v>5765</v>
      </c>
      <c r="B225" s="398" t="str">
        <f>Données!B226</f>
        <v>Vaulion</v>
      </c>
      <c r="C225" s="396">
        <f>VPI!Q226</f>
        <v>81</v>
      </c>
      <c r="D225" s="401">
        <f>Données!Z226</f>
        <v>483</v>
      </c>
      <c r="E225" s="177">
        <f>VPI!R226</f>
        <v>9628.0504938271606</v>
      </c>
      <c r="F225" s="313">
        <f>'Péréquation directe'!K232</f>
        <v>-204671.50735410667</v>
      </c>
      <c r="G225" s="326">
        <f>PCS!I232</f>
        <v>127647.10340348937</v>
      </c>
      <c r="H225" s="342">
        <f>'Facture policière'!L226</f>
        <v>28963.300013985361</v>
      </c>
      <c r="I225" s="450">
        <f t="shared" si="3"/>
        <v>-48061.103936631938</v>
      </c>
      <c r="J225" s="179"/>
    </row>
    <row r="226" spans="1:10" s="87" customFormat="1" x14ac:dyDescent="0.25">
      <c r="A226" s="394">
        <f>Données!A227</f>
        <v>5766</v>
      </c>
      <c r="B226" s="398" t="str">
        <f>Données!B227</f>
        <v>Vuiteboeuf</v>
      </c>
      <c r="C226" s="396">
        <f>VPI!Q227</f>
        <v>75</v>
      </c>
      <c r="D226" s="401">
        <f>Données!Z227</f>
        <v>592</v>
      </c>
      <c r="E226" s="177">
        <f>VPI!R227</f>
        <v>15422.760361904762</v>
      </c>
      <c r="F226" s="313">
        <f>'Péréquation directe'!K233</f>
        <v>-78144.46901756135</v>
      </c>
      <c r="G226" s="326">
        <f>PCS!I233</f>
        <v>274929.47377819568</v>
      </c>
      <c r="H226" s="342">
        <f>'Facture policière'!L227</f>
        <v>46752.111151313191</v>
      </c>
      <c r="I226" s="450">
        <f t="shared" si="3"/>
        <v>243537.11591194751</v>
      </c>
      <c r="J226" s="179"/>
    </row>
    <row r="227" spans="1:10" s="87" customFormat="1" x14ac:dyDescent="0.25">
      <c r="A227" s="394">
        <f>Données!A228</f>
        <v>5785</v>
      </c>
      <c r="B227" s="398" t="str">
        <f>Données!B228</f>
        <v>Corcelles-le-Jorat</v>
      </c>
      <c r="C227" s="396">
        <f>VPI!Q228</f>
        <v>75</v>
      </c>
      <c r="D227" s="401">
        <f>Données!Z228</f>
        <v>484</v>
      </c>
      <c r="E227" s="177">
        <f>VPI!R228</f>
        <v>15461.968933333332</v>
      </c>
      <c r="F227" s="313">
        <f>'Péréquation directe'!K234</f>
        <v>55042.535732934746</v>
      </c>
      <c r="G227" s="326">
        <f>PCS!I234</f>
        <v>198262.77486739651</v>
      </c>
      <c r="H227" s="342">
        <f>'Facture policière'!L228</f>
        <v>47031.809117417448</v>
      </c>
      <c r="I227" s="450">
        <f t="shared" si="3"/>
        <v>300337.11971774872</v>
      </c>
      <c r="J227" s="179"/>
    </row>
    <row r="228" spans="1:10" s="87" customFormat="1" x14ac:dyDescent="0.25">
      <c r="A228" s="394">
        <f>Données!A229</f>
        <v>5790</v>
      </c>
      <c r="B228" s="398" t="str">
        <f>Données!B229</f>
        <v>Maracon</v>
      </c>
      <c r="C228" s="396">
        <f>VPI!Q229</f>
        <v>74.5</v>
      </c>
      <c r="D228" s="401">
        <f>Données!Z229</f>
        <v>544</v>
      </c>
      <c r="E228" s="177">
        <f>VPI!R229</f>
        <v>16326.697583892621</v>
      </c>
      <c r="F228" s="313">
        <f>'Péréquation directe'!K235</f>
        <v>21002.647771828983</v>
      </c>
      <c r="G228" s="326">
        <f>PCS!I235</f>
        <v>203382.19363565996</v>
      </c>
      <c r="H228" s="342">
        <f>'Facture policière'!L229</f>
        <v>49256.960306335706</v>
      </c>
      <c r="I228" s="450">
        <f t="shared" si="3"/>
        <v>273641.80171382462</v>
      </c>
      <c r="J228" s="179"/>
    </row>
    <row r="229" spans="1:10" s="87" customFormat="1" x14ac:dyDescent="0.25">
      <c r="A229" s="394">
        <f>Données!A230</f>
        <v>5792</v>
      </c>
      <c r="B229" s="398" t="str">
        <f>Données!B230</f>
        <v>Montpreveyres</v>
      </c>
      <c r="C229" s="396">
        <f>VPI!Q230</f>
        <v>75.5</v>
      </c>
      <c r="D229" s="401">
        <f>Données!Z230</f>
        <v>662</v>
      </c>
      <c r="E229" s="177">
        <f>VPI!R230</f>
        <v>19363.161854304632</v>
      </c>
      <c r="F229" s="313">
        <f>'Péréquation directe'!K236</f>
        <v>-2960.1439787676791</v>
      </c>
      <c r="G229" s="326">
        <f>PCS!I236</f>
        <v>245084.39004574789</v>
      </c>
      <c r="H229" s="342">
        <f>'Facture policière'!L230</f>
        <v>58207.758620299959</v>
      </c>
      <c r="I229" s="450">
        <f t="shared" si="3"/>
        <v>300332.00468728016</v>
      </c>
      <c r="J229" s="179"/>
    </row>
    <row r="230" spans="1:10" s="87" customFormat="1" x14ac:dyDescent="0.25">
      <c r="A230" s="394">
        <f>Données!A231</f>
        <v>5798</v>
      </c>
      <c r="B230" s="398" t="str">
        <f>Données!B231</f>
        <v>Ropraz</v>
      </c>
      <c r="C230" s="396">
        <f>VPI!Q231</f>
        <v>77.5</v>
      </c>
      <c r="D230" s="401">
        <f>Données!Z231</f>
        <v>529</v>
      </c>
      <c r="E230" s="177">
        <f>VPI!R231</f>
        <v>16208.351096774193</v>
      </c>
      <c r="F230" s="313">
        <f>'Péréquation directe'!K237</f>
        <v>16995.102848937735</v>
      </c>
      <c r="G230" s="326">
        <f>PCS!I237</f>
        <v>227062.20907722897</v>
      </c>
      <c r="H230" s="342">
        <f>'Facture policière'!L231</f>
        <v>48816.836957458749</v>
      </c>
      <c r="I230" s="450">
        <f t="shared" si="3"/>
        <v>292874.14888362546</v>
      </c>
      <c r="J230" s="179"/>
    </row>
    <row r="231" spans="1:10" s="87" customFormat="1" x14ac:dyDescent="0.25">
      <c r="A231" s="394">
        <f>Données!A232</f>
        <v>5799</v>
      </c>
      <c r="B231" s="398" t="str">
        <f>Données!B232</f>
        <v>Servion</v>
      </c>
      <c r="C231" s="396">
        <f>VPI!Q232</f>
        <v>69</v>
      </c>
      <c r="D231" s="401">
        <f>Données!Z232</f>
        <v>2138</v>
      </c>
      <c r="E231" s="177">
        <f>VPI!R232</f>
        <v>73170.718115942043</v>
      </c>
      <c r="F231" s="313">
        <f>'Péréquation directe'!K238</f>
        <v>286831.24168724846</v>
      </c>
      <c r="G231" s="326">
        <f>PCS!I238</f>
        <v>1274602.6276317155</v>
      </c>
      <c r="H231" s="342">
        <f>'Facture policière'!L232</f>
        <v>219632.39762833202</v>
      </c>
      <c r="I231" s="450">
        <f t="shared" si="3"/>
        <v>1781066.266947296</v>
      </c>
      <c r="J231" s="179"/>
    </row>
    <row r="232" spans="1:10" s="87" customFormat="1" x14ac:dyDescent="0.25">
      <c r="A232" s="394">
        <f>Données!A233</f>
        <v>5803</v>
      </c>
      <c r="B232" s="398" t="str">
        <f>Données!B233</f>
        <v>Vulliens</v>
      </c>
      <c r="C232" s="396">
        <f>VPI!Q233</f>
        <v>74</v>
      </c>
      <c r="D232" s="401">
        <f>Données!Z233</f>
        <v>632</v>
      </c>
      <c r="E232" s="177">
        <f>VPI!R233</f>
        <v>16577.57405405405</v>
      </c>
      <c r="F232" s="313">
        <f>'Péréquation directe'!K239</f>
        <v>-70365.073830320558</v>
      </c>
      <c r="G232" s="326">
        <f>PCS!I239</f>
        <v>261210.22645594279</v>
      </c>
      <c r="H232" s="342">
        <f>'Facture policière'!L233</f>
        <v>49718.132079581381</v>
      </c>
      <c r="I232" s="450">
        <f t="shared" si="3"/>
        <v>240563.28470520361</v>
      </c>
      <c r="J232" s="179"/>
    </row>
    <row r="233" spans="1:10" s="87" customFormat="1" x14ac:dyDescent="0.25">
      <c r="A233" s="394">
        <f>Données!A234</f>
        <v>5804</v>
      </c>
      <c r="B233" s="398" t="str">
        <f>Données!B234</f>
        <v>Jorat-Menthue</v>
      </c>
      <c r="C233" s="396">
        <f>VPI!Q234</f>
        <v>70.5</v>
      </c>
      <c r="D233" s="401">
        <f>Données!Z234</f>
        <v>1565</v>
      </c>
      <c r="E233" s="177">
        <f>VPI!R234</f>
        <v>45125.345957446807</v>
      </c>
      <c r="F233" s="313">
        <f>'Péréquation directe'!K240</f>
        <v>-75982.87385056424</v>
      </c>
      <c r="G233" s="326">
        <f>PCS!I240</f>
        <v>629859.77718099137</v>
      </c>
      <c r="H233" s="342">
        <f>'Facture policière'!L234</f>
        <v>135393.54485594848</v>
      </c>
      <c r="I233" s="450">
        <f t="shared" si="3"/>
        <v>689270.44818637567</v>
      </c>
      <c r="J233" s="179"/>
    </row>
    <row r="234" spans="1:10" s="87" customFormat="1" x14ac:dyDescent="0.25">
      <c r="A234" s="394">
        <f>Données!A235</f>
        <v>5805</v>
      </c>
      <c r="B234" s="398" t="str">
        <f>Données!B235</f>
        <v>Oron</v>
      </c>
      <c r="C234" s="396">
        <f>VPI!Q235</f>
        <v>69</v>
      </c>
      <c r="D234" s="401">
        <f>Données!Z235</f>
        <v>6119</v>
      </c>
      <c r="E234" s="177">
        <f>VPI!R235</f>
        <v>174509.83123847167</v>
      </c>
      <c r="F234" s="313">
        <f>'Péréquation directe'!K241</f>
        <v>-1544604.810059723</v>
      </c>
      <c r="G234" s="326">
        <f>PCS!I241</f>
        <v>2529947.9302541241</v>
      </c>
      <c r="H234" s="342">
        <f>'Facture policière'!L235</f>
        <v>522153.60498308286</v>
      </c>
      <c r="I234" s="450">
        <f t="shared" si="3"/>
        <v>1507496.7251774841</v>
      </c>
      <c r="J234" s="179"/>
    </row>
    <row r="235" spans="1:10" s="87" customFormat="1" x14ac:dyDescent="0.25">
      <c r="A235" s="394">
        <f>Données!A236</f>
        <v>5806</v>
      </c>
      <c r="B235" s="398" t="str">
        <f>Données!B236</f>
        <v>Jorat-Mézières</v>
      </c>
      <c r="C235" s="396">
        <f>VPI!Q236</f>
        <v>73</v>
      </c>
      <c r="D235" s="401">
        <f>Données!Z236</f>
        <v>3110</v>
      </c>
      <c r="E235" s="177">
        <f>VPI!R236</f>
        <v>102977.86342465752</v>
      </c>
      <c r="F235" s="313">
        <f>'Péréquation directe'!K242</f>
        <v>54147.608350038528</v>
      </c>
      <c r="G235" s="326">
        <f>PCS!I242</f>
        <v>1571549.7333083199</v>
      </c>
      <c r="H235" s="342">
        <f>'Facture policière'!L236</f>
        <v>310931.80263070384</v>
      </c>
      <c r="I235" s="450">
        <f t="shared" si="3"/>
        <v>1936629.1442890624</v>
      </c>
      <c r="J235" s="179"/>
    </row>
    <row r="236" spans="1:10" s="87" customFormat="1" x14ac:dyDescent="0.25">
      <c r="A236" s="394">
        <f>Données!A237</f>
        <v>5812</v>
      </c>
      <c r="B236" s="398" t="str">
        <f>Données!B237</f>
        <v>Champtauroz</v>
      </c>
      <c r="C236" s="396">
        <f>VPI!Q237</f>
        <v>77</v>
      </c>
      <c r="D236" s="401">
        <f>Données!Z237</f>
        <v>169</v>
      </c>
      <c r="E236" s="177">
        <f>VPI!R237</f>
        <v>3602.9164935064928</v>
      </c>
      <c r="F236" s="313">
        <f>'Péréquation directe'!K243</f>
        <v>-61222.908305382996</v>
      </c>
      <c r="G236" s="326">
        <f>PCS!I243</f>
        <v>65091.264722756503</v>
      </c>
      <c r="H236" s="342">
        <f>'Facture policière'!L237</f>
        <v>10958.302011180198</v>
      </c>
      <c r="I236" s="450">
        <f t="shared" si="3"/>
        <v>14826.658428553705</v>
      </c>
      <c r="J236" s="179"/>
    </row>
    <row r="237" spans="1:10" s="87" customFormat="1" x14ac:dyDescent="0.25">
      <c r="A237" s="394">
        <f>Données!A238</f>
        <v>5813</v>
      </c>
      <c r="B237" s="398" t="str">
        <f>Données!B238</f>
        <v>Chevroux</v>
      </c>
      <c r="C237" s="396">
        <f>VPI!Q238</f>
        <v>68.5</v>
      </c>
      <c r="D237" s="401">
        <f>Données!Z238</f>
        <v>522</v>
      </c>
      <c r="E237" s="177">
        <f>VPI!R238</f>
        <v>17498.80282238443</v>
      </c>
      <c r="F237" s="313">
        <f>'Péréquation directe'!K244</f>
        <v>122701.53856665193</v>
      </c>
      <c r="G237" s="326">
        <f>PCS!I244</f>
        <v>285627.12573107507</v>
      </c>
      <c r="H237" s="342">
        <f>'Facture policière'!L238</f>
        <v>52742.771277785847</v>
      </c>
      <c r="I237" s="450">
        <f t="shared" si="3"/>
        <v>461071.43557551282</v>
      </c>
      <c r="J237" s="179"/>
    </row>
    <row r="238" spans="1:10" s="87" customFormat="1" x14ac:dyDescent="0.25">
      <c r="A238" s="394">
        <f>Données!A239</f>
        <v>5816</v>
      </c>
      <c r="B238" s="398" t="str">
        <f>Données!B239</f>
        <v>Corcelles-près-Payerne</v>
      </c>
      <c r="C238" s="396">
        <f>VPI!Q239</f>
        <v>68.5</v>
      </c>
      <c r="D238" s="401">
        <f>Données!Z239</f>
        <v>2852</v>
      </c>
      <c r="E238" s="177">
        <f>VPI!R239</f>
        <v>65701.749572471308</v>
      </c>
      <c r="F238" s="313">
        <f>'Péréquation directe'!K245</f>
        <v>-894933.95763735403</v>
      </c>
      <c r="G238" s="326">
        <f>PCS!I245</f>
        <v>981258.119131885</v>
      </c>
      <c r="H238" s="342">
        <f>'Facture policière'!L239</f>
        <v>195802.97758529044</v>
      </c>
      <c r="I238" s="450">
        <f t="shared" si="3"/>
        <v>282127.13907982141</v>
      </c>
      <c r="J238" s="179"/>
    </row>
    <row r="239" spans="1:10" s="87" customFormat="1" x14ac:dyDescent="0.25">
      <c r="A239" s="394">
        <f>Données!A240</f>
        <v>5817</v>
      </c>
      <c r="B239" s="398" t="str">
        <f>Données!B240</f>
        <v>Grandcour</v>
      </c>
      <c r="C239" s="396">
        <f>VPI!Q240</f>
        <v>73.5</v>
      </c>
      <c r="D239" s="401">
        <f>Données!Z240</f>
        <v>1001</v>
      </c>
      <c r="E239" s="177">
        <f>VPI!R240</f>
        <v>25916.897414965984</v>
      </c>
      <c r="F239" s="313">
        <f>'Péréquation directe'!K246</f>
        <v>-118985.26648130076</v>
      </c>
      <c r="G239" s="326">
        <f>PCS!I246</f>
        <v>401176.6442433612</v>
      </c>
      <c r="H239" s="342">
        <f>'Facture policière'!L240</f>
        <v>78445.189442369883</v>
      </c>
      <c r="I239" s="450">
        <f t="shared" si="3"/>
        <v>360636.56720443035</v>
      </c>
      <c r="J239" s="179"/>
    </row>
    <row r="240" spans="1:10" s="87" customFormat="1" x14ac:dyDescent="0.25">
      <c r="A240" s="394">
        <f>Données!A241</f>
        <v>5819</v>
      </c>
      <c r="B240" s="398" t="str">
        <f>Données!B241</f>
        <v>Henniez</v>
      </c>
      <c r="C240" s="396">
        <f>VPI!Q241</f>
        <v>69</v>
      </c>
      <c r="D240" s="401">
        <f>Données!Z241</f>
        <v>414</v>
      </c>
      <c r="E240" s="177">
        <f>VPI!R241</f>
        <v>10275.75579710145</v>
      </c>
      <c r="F240" s="313">
        <f>'Péréquation directe'!K247</f>
        <v>-42130.273634733574</v>
      </c>
      <c r="G240" s="326">
        <f>PCS!I247</f>
        <v>210650.914760302</v>
      </c>
      <c r="H240" s="342">
        <f>'Facture policière'!L241</f>
        <v>29954.759621053978</v>
      </c>
      <c r="I240" s="450">
        <f t="shared" si="3"/>
        <v>198475.40074662241</v>
      </c>
      <c r="J240" s="179"/>
    </row>
    <row r="241" spans="1:10" s="87" customFormat="1" x14ac:dyDescent="0.25">
      <c r="A241" s="394">
        <f>Données!A242</f>
        <v>5821</v>
      </c>
      <c r="B241" s="398" t="str">
        <f>Données!B242</f>
        <v>Missy</v>
      </c>
      <c r="C241" s="396">
        <f>VPI!Q242</f>
        <v>72</v>
      </c>
      <c r="D241" s="401">
        <f>Données!Z242</f>
        <v>387</v>
      </c>
      <c r="E241" s="177">
        <f>VPI!R242</f>
        <v>8375.965000000002</v>
      </c>
      <c r="F241" s="313">
        <f>'Péréquation directe'!K248</f>
        <v>-103931.97780839234</v>
      </c>
      <c r="G241" s="326">
        <f>PCS!I248</f>
        <v>137844.53541484749</v>
      </c>
      <c r="H241" s="342">
        <f>'Facture policière'!L242</f>
        <v>25047.788994824175</v>
      </c>
      <c r="I241" s="450">
        <f t="shared" si="3"/>
        <v>58960.346601279321</v>
      </c>
      <c r="J241" s="179"/>
    </row>
    <row r="242" spans="1:10" s="87" customFormat="1" x14ac:dyDescent="0.25">
      <c r="A242" s="394">
        <f>Données!A243</f>
        <v>5822</v>
      </c>
      <c r="B242" s="398" t="str">
        <f>Données!B243</f>
        <v>Payerne</v>
      </c>
      <c r="C242" s="396">
        <f>VPI!Q243</f>
        <v>73</v>
      </c>
      <c r="D242" s="401">
        <f>Données!Z243</f>
        <v>10382</v>
      </c>
      <c r="E242" s="177">
        <f>VPI!R243</f>
        <v>226909.24698630138</v>
      </c>
      <c r="F242" s="313">
        <f>'Péréquation directe'!K249</f>
        <v>-5481270.4540603468</v>
      </c>
      <c r="G242" s="326">
        <f>PCS!I249</f>
        <v>3665996.4781699362</v>
      </c>
      <c r="H242" s="342">
        <f>'Facture policière'!L243</f>
        <v>673528.54312590335</v>
      </c>
      <c r="I242" s="450">
        <f t="shared" si="3"/>
        <v>-1141745.4327645074</v>
      </c>
      <c r="J242" s="179"/>
    </row>
    <row r="243" spans="1:10" s="87" customFormat="1" x14ac:dyDescent="0.25">
      <c r="A243" s="394">
        <f>Données!A244</f>
        <v>5827</v>
      </c>
      <c r="B243" s="398" t="str">
        <f>Données!B244</f>
        <v>Trey</v>
      </c>
      <c r="C243" s="396">
        <f>VPI!Q244</f>
        <v>78</v>
      </c>
      <c r="D243" s="401">
        <f>Données!Z244</f>
        <v>302</v>
      </c>
      <c r="E243" s="177">
        <f>VPI!R244</f>
        <v>7715.2558974358981</v>
      </c>
      <c r="F243" s="313">
        <f>'Péréquation directe'!K250</f>
        <v>-58903.197113029397</v>
      </c>
      <c r="G243" s="326">
        <f>PCS!I250</f>
        <v>114511.77765396997</v>
      </c>
      <c r="H243" s="342">
        <f>'Facture policière'!L244</f>
        <v>23259.216939809936</v>
      </c>
      <c r="I243" s="450">
        <f t="shared" si="3"/>
        <v>78867.797480750509</v>
      </c>
      <c r="J243" s="179"/>
    </row>
    <row r="244" spans="1:10" s="87" customFormat="1" x14ac:dyDescent="0.25">
      <c r="A244" s="394">
        <f>Données!A245</f>
        <v>5828</v>
      </c>
      <c r="B244" s="398" t="str">
        <f>Données!B245</f>
        <v>Treytorrens (Payerne)</v>
      </c>
      <c r="C244" s="396">
        <f>VPI!Q245</f>
        <v>81.5</v>
      </c>
      <c r="D244" s="401">
        <f>Données!Z245</f>
        <v>105</v>
      </c>
      <c r="E244" s="177">
        <f>VPI!R245</f>
        <v>2864.8065848670758</v>
      </c>
      <c r="F244" s="313">
        <f>'Péréquation directe'!K251</f>
        <v>-17499.843223772768</v>
      </c>
      <c r="G244" s="326">
        <f>PCS!I251</f>
        <v>44319.614102070453</v>
      </c>
      <c r="H244" s="342">
        <f>'Facture policière'!L245</f>
        <v>8673.3669443436302</v>
      </c>
      <c r="I244" s="450">
        <f t="shared" si="3"/>
        <v>35493.137822641314</v>
      </c>
      <c r="J244" s="179"/>
    </row>
    <row r="245" spans="1:10" s="87" customFormat="1" x14ac:dyDescent="0.25">
      <c r="A245" s="394">
        <f>Données!A246</f>
        <v>5830</v>
      </c>
      <c r="B245" s="398" t="str">
        <f>Données!B246</f>
        <v>Villarzel</v>
      </c>
      <c r="C245" s="396">
        <f>VPI!Q246</f>
        <v>75</v>
      </c>
      <c r="D245" s="401">
        <f>Données!Z246</f>
        <v>487</v>
      </c>
      <c r="E245" s="177">
        <f>VPI!R246</f>
        <v>12474.180666666667</v>
      </c>
      <c r="F245" s="313">
        <f>'Péréquation directe'!K252</f>
        <v>-73169.28483393669</v>
      </c>
      <c r="G245" s="326">
        <f>PCS!I252</f>
        <v>177113.83577196347</v>
      </c>
      <c r="H245" s="342">
        <f>'Facture policière'!L246</f>
        <v>37992.349705029003</v>
      </c>
      <c r="I245" s="450">
        <f t="shared" si="3"/>
        <v>141936.90064305579</v>
      </c>
      <c r="J245" s="179"/>
    </row>
    <row r="246" spans="1:10" s="87" customFormat="1" x14ac:dyDescent="0.25">
      <c r="A246" s="394">
        <f>Données!A247</f>
        <v>5831</v>
      </c>
      <c r="B246" s="398" t="str">
        <f>Données!B247</f>
        <v>Valbroye</v>
      </c>
      <c r="C246" s="396">
        <f>VPI!Q247</f>
        <v>70.5</v>
      </c>
      <c r="D246" s="401">
        <f>Données!Z247</f>
        <v>3362</v>
      </c>
      <c r="E246" s="177">
        <f>VPI!R247</f>
        <v>87477.16732860521</v>
      </c>
      <c r="F246" s="313">
        <f>'Péréquation directe'!K253</f>
        <v>-855689.43739850307</v>
      </c>
      <c r="G246" s="326">
        <f>PCS!I253</f>
        <v>1735583.8002871908</v>
      </c>
      <c r="H246" s="342">
        <f>'Facture policière'!L247</f>
        <v>262676.95612217684</v>
      </c>
      <c r="I246" s="450">
        <f t="shared" si="3"/>
        <v>1142571.3190108645</v>
      </c>
      <c r="J246" s="179"/>
    </row>
    <row r="247" spans="1:10" s="87" customFormat="1" x14ac:dyDescent="0.25">
      <c r="A247" s="394">
        <f>Données!A248</f>
        <v>5841</v>
      </c>
      <c r="B247" s="398" t="str">
        <f>Données!B248</f>
        <v>Château-d'Oex</v>
      </c>
      <c r="C247" s="396">
        <f>VPI!Q248</f>
        <v>81.5</v>
      </c>
      <c r="D247" s="401">
        <f>Données!Z248</f>
        <v>3569</v>
      </c>
      <c r="E247" s="177">
        <f>VPI!R248</f>
        <v>123828.98781186093</v>
      </c>
      <c r="F247" s="313">
        <f>'Péréquation directe'!K254</f>
        <v>-69219.951783868484</v>
      </c>
      <c r="G247" s="326">
        <f>PCS!I254</f>
        <v>2559579.9106216622</v>
      </c>
      <c r="H247" s="342">
        <f>'Facture policière'!L248</f>
        <v>367738.83679459384</v>
      </c>
      <c r="I247" s="450">
        <f t="shared" si="3"/>
        <v>2858098.7956323875</v>
      </c>
      <c r="J247" s="179"/>
    </row>
    <row r="248" spans="1:10" s="87" customFormat="1" x14ac:dyDescent="0.25">
      <c r="A248" s="394">
        <f>Données!A249</f>
        <v>5842</v>
      </c>
      <c r="B248" s="398" t="str">
        <f>Données!B249</f>
        <v>Rossinière</v>
      </c>
      <c r="C248" s="396">
        <f>VPI!Q249</f>
        <v>81</v>
      </c>
      <c r="D248" s="401">
        <f>Données!Z249</f>
        <v>534</v>
      </c>
      <c r="E248" s="177">
        <f>VPI!R249</f>
        <v>16474.219053497945</v>
      </c>
      <c r="F248" s="313">
        <f>'Péréquation directe'!K255</f>
        <v>1196.8822889025323</v>
      </c>
      <c r="G248" s="326">
        <f>PCS!I255</f>
        <v>242277.71789295194</v>
      </c>
      <c r="H248" s="342">
        <f>'Facture policière'!L249</f>
        <v>49972.452162163769</v>
      </c>
      <c r="I248" s="450">
        <f t="shared" si="3"/>
        <v>293447.05234401824</v>
      </c>
      <c r="J248" s="179"/>
    </row>
    <row r="249" spans="1:10" s="87" customFormat="1" x14ac:dyDescent="0.25">
      <c r="A249" s="394">
        <f>Données!A250</f>
        <v>5843</v>
      </c>
      <c r="B249" s="398" t="str">
        <f>Données!B250</f>
        <v>Rougemont</v>
      </c>
      <c r="C249" s="396">
        <f>VPI!Q250</f>
        <v>79</v>
      </c>
      <c r="D249" s="401">
        <f>Données!Z250</f>
        <v>830</v>
      </c>
      <c r="E249" s="177">
        <f>VPI!R250</f>
        <v>89736.824345991568</v>
      </c>
      <c r="F249" s="313">
        <f>'Péréquation directe'!K256</f>
        <v>1616499.6950659894</v>
      </c>
      <c r="G249" s="326">
        <f>PCS!I256</f>
        <v>3409776.293722949</v>
      </c>
      <c r="H249" s="342">
        <f>'Facture policière'!L250</f>
        <v>179992.8064898584</v>
      </c>
      <c r="I249" s="450">
        <f t="shared" si="3"/>
        <v>5206268.7952787969</v>
      </c>
      <c r="J249" s="179"/>
    </row>
    <row r="250" spans="1:10" s="87" customFormat="1" x14ac:dyDescent="0.25">
      <c r="A250" s="394">
        <f>Données!A251</f>
        <v>5851</v>
      </c>
      <c r="B250" s="398" t="str">
        <f>Données!B251</f>
        <v>Allaman</v>
      </c>
      <c r="C250" s="396">
        <f>VPI!Q251</f>
        <v>65</v>
      </c>
      <c r="D250" s="401">
        <f>Données!Z251</f>
        <v>420</v>
      </c>
      <c r="E250" s="177">
        <f>VPI!R251</f>
        <v>24432.115794871796</v>
      </c>
      <c r="F250" s="313">
        <f>'Péréquation directe'!K257</f>
        <v>415081.46869528654</v>
      </c>
      <c r="G250" s="326">
        <f>PCS!I257</f>
        <v>644977.54936156305</v>
      </c>
      <c r="H250" s="342">
        <f>'Facture policière'!L251</f>
        <v>66324.491825831967</v>
      </c>
      <c r="I250" s="450">
        <f t="shared" si="3"/>
        <v>1126383.5098826815</v>
      </c>
      <c r="J250" s="179"/>
    </row>
    <row r="251" spans="1:10" s="87" customFormat="1" x14ac:dyDescent="0.25">
      <c r="A251" s="394">
        <f>Données!A252</f>
        <v>5852</v>
      </c>
      <c r="B251" s="398" t="str">
        <f>Données!B252</f>
        <v>Bursinel</v>
      </c>
      <c r="C251" s="396">
        <f>VPI!Q252</f>
        <v>62</v>
      </c>
      <c r="D251" s="401">
        <f>Données!Z252</f>
        <v>503</v>
      </c>
      <c r="E251" s="177">
        <f>VPI!R252</f>
        <v>35649.594677419358</v>
      </c>
      <c r="F251" s="313">
        <f>'Péréquation directe'!K258</f>
        <v>619828.40039091918</v>
      </c>
      <c r="G251" s="326">
        <f>PCS!I258</f>
        <v>709740.58030794212</v>
      </c>
      <c r="H251" s="342">
        <f>'Facture policière'!L252</f>
        <v>86971.825318002782</v>
      </c>
      <c r="I251" s="450">
        <f t="shared" si="3"/>
        <v>1416540.806016864</v>
      </c>
      <c r="J251" s="179"/>
    </row>
    <row r="252" spans="1:10" s="87" customFormat="1" x14ac:dyDescent="0.25">
      <c r="A252" s="394">
        <f>Données!A253</f>
        <v>5853</v>
      </c>
      <c r="B252" s="398" t="str">
        <f>Données!B253</f>
        <v>Bursins</v>
      </c>
      <c r="C252" s="396">
        <f>VPI!Q253</f>
        <v>71</v>
      </c>
      <c r="D252" s="401">
        <f>Données!Z253</f>
        <v>767</v>
      </c>
      <c r="E252" s="177">
        <f>VPI!R253</f>
        <v>47536.23239436619</v>
      </c>
      <c r="F252" s="313">
        <f>'Péréquation directe'!K259</f>
        <v>814074.60409617657</v>
      </c>
      <c r="G252" s="326">
        <f>PCS!I259</f>
        <v>1114170.8239034934</v>
      </c>
      <c r="H252" s="342">
        <f>'Facture policière'!L253</f>
        <v>124565.51207704426</v>
      </c>
      <c r="I252" s="450">
        <f t="shared" si="3"/>
        <v>2052810.9400767141</v>
      </c>
      <c r="J252" s="179"/>
    </row>
    <row r="253" spans="1:10" s="87" customFormat="1" x14ac:dyDescent="0.25">
      <c r="A253" s="394">
        <f>Données!A254</f>
        <v>5854</v>
      </c>
      <c r="B253" s="398" t="str">
        <f>Données!B254</f>
        <v>Burtigny</v>
      </c>
      <c r="C253" s="396">
        <f>VPI!Q254</f>
        <v>78.5</v>
      </c>
      <c r="D253" s="401">
        <f>Données!Z254</f>
        <v>414</v>
      </c>
      <c r="E253" s="177">
        <f>VPI!R254</f>
        <v>15260.883397027597</v>
      </c>
      <c r="F253" s="313">
        <f>'Péréquation directe'!K260</f>
        <v>121631.04561306557</v>
      </c>
      <c r="G253" s="326">
        <f>PCS!I260</f>
        <v>234409.35219515368</v>
      </c>
      <c r="H253" s="342">
        <f>'Facture policière'!L254</f>
        <v>46436.391783096777</v>
      </c>
      <c r="I253" s="450">
        <f t="shared" si="3"/>
        <v>402476.78959131602</v>
      </c>
      <c r="J253" s="179"/>
    </row>
    <row r="254" spans="1:10" s="87" customFormat="1" x14ac:dyDescent="0.25">
      <c r="A254" s="394">
        <f>Données!A255</f>
        <v>5855</v>
      </c>
      <c r="B254" s="398" t="str">
        <f>Données!B255</f>
        <v>Dully</v>
      </c>
      <c r="C254" s="396">
        <f>VPI!Q255</f>
        <v>53</v>
      </c>
      <c r="D254" s="401">
        <f>Données!Z255</f>
        <v>631</v>
      </c>
      <c r="E254" s="177">
        <f>VPI!R255</f>
        <v>82571.89</v>
      </c>
      <c r="F254" s="313">
        <f>'Péréquation directe'!K261</f>
        <v>1504557.4441758515</v>
      </c>
      <c r="G254" s="326">
        <f>PCS!I261</f>
        <v>2747627.7627562354</v>
      </c>
      <c r="H254" s="342">
        <f>'Facture policière'!L255</f>
        <v>153773.62104474823</v>
      </c>
      <c r="I254" s="450">
        <f t="shared" si="3"/>
        <v>4405958.827976835</v>
      </c>
      <c r="J254" s="179"/>
    </row>
    <row r="255" spans="1:10" s="87" customFormat="1" x14ac:dyDescent="0.25">
      <c r="A255" s="394">
        <f>Données!A256</f>
        <v>5856</v>
      </c>
      <c r="B255" s="398" t="str">
        <f>Données!B256</f>
        <v>Essertines-sur-Rolle</v>
      </c>
      <c r="C255" s="396">
        <f>VPI!Q256</f>
        <v>66.5</v>
      </c>
      <c r="D255" s="401">
        <f>Données!Z256</f>
        <v>757</v>
      </c>
      <c r="E255" s="177">
        <f>VPI!R256</f>
        <v>36688.113684210526</v>
      </c>
      <c r="F255" s="313">
        <f>'Péréquation directe'!K262</f>
        <v>607003.27054496098</v>
      </c>
      <c r="G255" s="326">
        <f>PCS!I262</f>
        <v>533293.83212294593</v>
      </c>
      <c r="H255" s="342">
        <f>'Facture policière'!L256</f>
        <v>110563.2137529958</v>
      </c>
      <c r="I255" s="450">
        <f t="shared" si="3"/>
        <v>1250860.3164209025</v>
      </c>
      <c r="J255" s="179"/>
    </row>
    <row r="256" spans="1:10" s="87" customFormat="1" x14ac:dyDescent="0.25">
      <c r="A256" s="394">
        <f>Données!A257</f>
        <v>5857</v>
      </c>
      <c r="B256" s="398" t="str">
        <f>Données!B257</f>
        <v>Gilly</v>
      </c>
      <c r="C256" s="396">
        <f>VPI!Q257</f>
        <v>64.5</v>
      </c>
      <c r="D256" s="401">
        <f>Données!Z257</f>
        <v>1446</v>
      </c>
      <c r="E256" s="177">
        <f>VPI!R257</f>
        <v>86828.689767441872</v>
      </c>
      <c r="F256" s="313">
        <f>'Péréquation directe'!K263</f>
        <v>1377583.2259450459</v>
      </c>
      <c r="G256" s="326">
        <f>PCS!I263</f>
        <v>1497105.7099583689</v>
      </c>
      <c r="H256" s="342">
        <f>'Facture policière'!L257</f>
        <v>231546.83972828419</v>
      </c>
      <c r="I256" s="450">
        <f t="shared" si="3"/>
        <v>3106235.7756316992</v>
      </c>
      <c r="J256" s="179"/>
    </row>
    <row r="257" spans="1:10" s="87" customFormat="1" x14ac:dyDescent="0.25">
      <c r="A257" s="394">
        <f>Données!A258</f>
        <v>5858</v>
      </c>
      <c r="B257" s="398" t="str">
        <f>Données!B258</f>
        <v>Luins</v>
      </c>
      <c r="C257" s="396">
        <f>VPI!Q258</f>
        <v>58.5</v>
      </c>
      <c r="D257" s="401">
        <f>Données!Z258</f>
        <v>618</v>
      </c>
      <c r="E257" s="177">
        <f>VPI!R258</f>
        <v>41178.091054131051</v>
      </c>
      <c r="F257" s="313">
        <f>'Péréquation directe'!K264</f>
        <v>711177.35003904591</v>
      </c>
      <c r="G257" s="326">
        <f>PCS!I264</f>
        <v>832358.07960883609</v>
      </c>
      <c r="H257" s="342">
        <f>'Facture policière'!L258</f>
        <v>103761.63523681567</v>
      </c>
      <c r="I257" s="450">
        <f t="shared" si="3"/>
        <v>1647297.0648846976</v>
      </c>
      <c r="J257" s="179"/>
    </row>
    <row r="258" spans="1:10" s="87" customFormat="1" x14ac:dyDescent="0.25">
      <c r="A258" s="394">
        <f>Données!A259</f>
        <v>5859</v>
      </c>
      <c r="B258" s="398" t="str">
        <f>Données!B259</f>
        <v>Mont-sur-Rolle</v>
      </c>
      <c r="C258" s="396">
        <f>VPI!Q259</f>
        <v>63.5</v>
      </c>
      <c r="D258" s="401">
        <f>Données!Z259</f>
        <v>2761</v>
      </c>
      <c r="E258" s="177">
        <f>VPI!R259</f>
        <v>158441.81716535432</v>
      </c>
      <c r="F258" s="313">
        <f>'Péréquation directe'!K265</f>
        <v>2278001.2739526741</v>
      </c>
      <c r="G258" s="326">
        <f>PCS!I265</f>
        <v>2864066.2690790654</v>
      </c>
      <c r="H258" s="342">
        <f>'Facture policière'!L259</f>
        <v>433443.31038382626</v>
      </c>
      <c r="I258" s="450">
        <f t="shared" si="3"/>
        <v>5575510.8534155656</v>
      </c>
      <c r="J258" s="179"/>
    </row>
    <row r="259" spans="1:10" s="87" customFormat="1" x14ac:dyDescent="0.25">
      <c r="A259" s="394">
        <f>Données!A260</f>
        <v>5860</v>
      </c>
      <c r="B259" s="398" t="str">
        <f>Données!B260</f>
        <v>Perroy</v>
      </c>
      <c r="C259" s="396">
        <f>VPI!Q260</f>
        <v>58.5</v>
      </c>
      <c r="D259" s="401">
        <f>Données!Z260</f>
        <v>1542</v>
      </c>
      <c r="E259" s="177">
        <f>VPI!R260</f>
        <v>132374.98733727811</v>
      </c>
      <c r="F259" s="313">
        <f>'Péréquation directe'!K266</f>
        <v>2217716.6581886215</v>
      </c>
      <c r="G259" s="326">
        <f>PCS!I266</f>
        <v>2980035.9644711204</v>
      </c>
      <c r="H259" s="342">
        <f>'Facture policière'!L260</f>
        <v>293868.3077594433</v>
      </c>
      <c r="I259" s="450">
        <f t="shared" si="3"/>
        <v>5491620.9304191852</v>
      </c>
      <c r="J259" s="179"/>
    </row>
    <row r="260" spans="1:10" s="87" customFormat="1" x14ac:dyDescent="0.25">
      <c r="A260" s="394">
        <f>Données!A261</f>
        <v>5861</v>
      </c>
      <c r="B260" s="398" t="str">
        <f>Données!B261</f>
        <v>Rolle</v>
      </c>
      <c r="C260" s="396">
        <f>VPI!Q261</f>
        <v>59.5</v>
      </c>
      <c r="D260" s="401">
        <f>Données!Z261</f>
        <v>6323</v>
      </c>
      <c r="E260" s="177">
        <f>VPI!R261</f>
        <v>897513.79815126071</v>
      </c>
      <c r="F260" s="313">
        <f>'Péréquation directe'!K267</f>
        <v>14535585.600963542</v>
      </c>
      <c r="G260" s="326">
        <f>PCS!I267</f>
        <v>25970365.679122303</v>
      </c>
      <c r="H260" s="342">
        <f>'Facture policière'!L261</f>
        <v>1623626.5475472149</v>
      </c>
      <c r="I260" s="450">
        <f t="shared" si="3"/>
        <v>42129577.827633061</v>
      </c>
      <c r="J260" s="179"/>
    </row>
    <row r="261" spans="1:10" s="87" customFormat="1" x14ac:dyDescent="0.25">
      <c r="A261" s="394">
        <f>Données!A262</f>
        <v>5862</v>
      </c>
      <c r="B261" s="398" t="str">
        <f>Données!B262</f>
        <v>Tartegnin</v>
      </c>
      <c r="C261" s="396">
        <f>VPI!Q262</f>
        <v>79</v>
      </c>
      <c r="D261" s="401">
        <f>Données!Z262</f>
        <v>249</v>
      </c>
      <c r="E261" s="177">
        <f>VPI!R262</f>
        <v>10371.497468354431</v>
      </c>
      <c r="F261" s="313">
        <f>'Péréquation directe'!K268</f>
        <v>124912.78960399059</v>
      </c>
      <c r="G261" s="326">
        <f>PCS!I268</f>
        <v>203556.85056468146</v>
      </c>
      <c r="H261" s="342">
        <f>'Facture policière'!L262</f>
        <v>31701.503948270387</v>
      </c>
      <c r="I261" s="450">
        <f t="shared" si="3"/>
        <v>360171.14411694248</v>
      </c>
      <c r="J261" s="179"/>
    </row>
    <row r="262" spans="1:10" s="87" customFormat="1" x14ac:dyDescent="0.25">
      <c r="A262" s="394">
        <f>Données!A263</f>
        <v>5863</v>
      </c>
      <c r="B262" s="398" t="str">
        <f>Données!B263</f>
        <v>Vinzel</v>
      </c>
      <c r="C262" s="396">
        <f>VPI!Q263</f>
        <v>67</v>
      </c>
      <c r="D262" s="401">
        <f>Données!Z263</f>
        <v>378</v>
      </c>
      <c r="E262" s="177">
        <f>VPI!R263</f>
        <v>23661.929552238806</v>
      </c>
      <c r="F262" s="313">
        <f>'Péréquation directe'!K269</f>
        <v>405707.39073812583</v>
      </c>
      <c r="G262" s="326">
        <f>PCS!I269</f>
        <v>443813.53647317213</v>
      </c>
      <c r="H262" s="342">
        <f>'Facture policière'!L263</f>
        <v>61666.490683768665</v>
      </c>
      <c r="I262" s="450">
        <f t="shared" ref="I262:I304" si="4">SUM(F262:H262)</f>
        <v>911187.41789506655</v>
      </c>
      <c r="J262" s="179"/>
    </row>
    <row r="263" spans="1:10" s="87" customFormat="1" x14ac:dyDescent="0.25">
      <c r="A263" s="394">
        <f>Données!A264</f>
        <v>5871</v>
      </c>
      <c r="B263" s="398" t="str">
        <f>Données!B264</f>
        <v>L'Abbaye</v>
      </c>
      <c r="C263" s="396">
        <f>VPI!Q264</f>
        <v>77.3</v>
      </c>
      <c r="D263" s="401">
        <f>Données!Z264</f>
        <v>1536</v>
      </c>
      <c r="E263" s="177">
        <f>VPI!R264</f>
        <v>50236.516429495467</v>
      </c>
      <c r="F263" s="313">
        <f>'Péréquation directe'!K270</f>
        <v>65015.678681130637</v>
      </c>
      <c r="G263" s="326">
        <f>PCS!I270</f>
        <v>981220.55944967945</v>
      </c>
      <c r="H263" s="342">
        <f>'Facture policière'!L264</f>
        <v>151997.43533398141</v>
      </c>
      <c r="I263" s="450">
        <f t="shared" si="4"/>
        <v>1198233.6734647914</v>
      </c>
      <c r="J263" s="179"/>
    </row>
    <row r="264" spans="1:10" s="87" customFormat="1" x14ac:dyDescent="0.25">
      <c r="A264" s="394">
        <f>Données!A265</f>
        <v>5872</v>
      </c>
      <c r="B264" s="398" t="str">
        <f>Données!B265</f>
        <v>Le Chenit</v>
      </c>
      <c r="C264" s="396">
        <f>VPI!Q265</f>
        <v>66.83</v>
      </c>
      <c r="D264" s="401">
        <f>Données!Z265</f>
        <v>4617</v>
      </c>
      <c r="E264" s="177">
        <f>VPI!R265</f>
        <v>317064.3538829867</v>
      </c>
      <c r="F264" s="313">
        <f>'Péréquation directe'!K271</f>
        <v>4403818.9292779323</v>
      </c>
      <c r="G264" s="326">
        <f>PCS!I271</f>
        <v>8020428.0840602983</v>
      </c>
      <c r="H264" s="342">
        <f>'Facture policière'!L265</f>
        <v>786316.72691626637</v>
      </c>
      <c r="I264" s="450">
        <f t="shared" si="4"/>
        <v>13210563.740254497</v>
      </c>
      <c r="J264" s="179"/>
    </row>
    <row r="265" spans="1:10" s="87" customFormat="1" x14ac:dyDescent="0.25">
      <c r="A265" s="394">
        <f>Données!A266</f>
        <v>5873</v>
      </c>
      <c r="B265" s="398" t="str">
        <f>Données!B266</f>
        <v>Le Lieu</v>
      </c>
      <c r="C265" s="396">
        <f>VPI!Q266</f>
        <v>70</v>
      </c>
      <c r="D265" s="401">
        <f>Données!Z266</f>
        <v>886</v>
      </c>
      <c r="E265" s="177">
        <f>VPI!R266</f>
        <v>35207.025785714286</v>
      </c>
      <c r="F265" s="313">
        <f>'Péréquation directe'!K272</f>
        <v>410872.3323791757</v>
      </c>
      <c r="G265" s="326">
        <f>PCS!I272</f>
        <v>797755.28903750586</v>
      </c>
      <c r="H265" s="342">
        <f>'Facture policière'!L266</f>
        <v>107636.82736354202</v>
      </c>
      <c r="I265" s="450">
        <f t="shared" si="4"/>
        <v>1316264.4487802235</v>
      </c>
      <c r="J265" s="179"/>
    </row>
    <row r="266" spans="1:10" s="87" customFormat="1" x14ac:dyDescent="0.25">
      <c r="A266" s="394">
        <f>Données!A267</f>
        <v>5882</v>
      </c>
      <c r="B266" s="398" t="str">
        <f>Données!B267</f>
        <v>Chardonne</v>
      </c>
      <c r="C266" s="396">
        <f>VPI!Q267</f>
        <v>68</v>
      </c>
      <c r="D266" s="401">
        <f>Données!Z267</f>
        <v>3195</v>
      </c>
      <c r="E266" s="177">
        <f>VPI!R267</f>
        <v>201724.94897058822</v>
      </c>
      <c r="F266" s="313">
        <f>'Péréquation directe'!K273</f>
        <v>2922365.6137980451</v>
      </c>
      <c r="G266" s="326">
        <f>PCS!I273</f>
        <v>4664865.9851686759</v>
      </c>
      <c r="H266" s="342">
        <f>'Facture policière'!L267</f>
        <v>238068.97686790174</v>
      </c>
      <c r="I266" s="450">
        <f t="shared" si="4"/>
        <v>7825300.5758346235</v>
      </c>
      <c r="J266" s="179"/>
    </row>
    <row r="267" spans="1:10" s="87" customFormat="1" x14ac:dyDescent="0.25">
      <c r="A267" s="394">
        <f>Données!A268</f>
        <v>5883</v>
      </c>
      <c r="B267" s="398" t="str">
        <f>Données!B268</f>
        <v>Corseaux</v>
      </c>
      <c r="C267" s="396">
        <f>VPI!Q268</f>
        <v>67.5</v>
      </c>
      <c r="D267" s="401">
        <f>Données!Z268</f>
        <v>2307</v>
      </c>
      <c r="E267" s="177">
        <f>VPI!R268</f>
        <v>180896.25407407407</v>
      </c>
      <c r="F267" s="313">
        <f>'Péréquation directe'!K274</f>
        <v>2873302.7774199578</v>
      </c>
      <c r="G267" s="326">
        <f>PCS!I274</f>
        <v>4195340.079059938</v>
      </c>
      <c r="H267" s="342">
        <f>'Facture policière'!L268</f>
        <v>213487.65408749648</v>
      </c>
      <c r="I267" s="450">
        <f t="shared" si="4"/>
        <v>7282130.5105673932</v>
      </c>
      <c r="J267" s="179"/>
    </row>
    <row r="268" spans="1:10" s="87" customFormat="1" x14ac:dyDescent="0.25">
      <c r="A268" s="394">
        <f>Données!A269</f>
        <v>5884</v>
      </c>
      <c r="B268" s="398" t="str">
        <f>Données!B269</f>
        <v>Corsier-sur-Vevey</v>
      </c>
      <c r="C268" s="396">
        <f>VPI!Q269</f>
        <v>64.5</v>
      </c>
      <c r="D268" s="401">
        <f>Données!Z269</f>
        <v>3367</v>
      </c>
      <c r="E268" s="177">
        <f>VPI!R269</f>
        <v>128051.27881136951</v>
      </c>
      <c r="F268" s="313">
        <f>'Péréquation directe'!K275</f>
        <v>835707.51554646855</v>
      </c>
      <c r="G268" s="326">
        <f>PCS!I275</f>
        <v>2178438.0159254232</v>
      </c>
      <c r="H268" s="342">
        <f>'Facture policière'!L269</f>
        <v>151121.79771919997</v>
      </c>
      <c r="I268" s="450">
        <f t="shared" si="4"/>
        <v>3165267.3291910919</v>
      </c>
      <c r="J268" s="179"/>
    </row>
    <row r="269" spans="1:10" s="87" customFormat="1" x14ac:dyDescent="0.25">
      <c r="A269" s="394">
        <f>Données!A270</f>
        <v>5885</v>
      </c>
      <c r="B269" s="398" t="str">
        <f>Données!B270</f>
        <v>Jongny</v>
      </c>
      <c r="C269" s="396">
        <f>VPI!Q270</f>
        <v>69.5</v>
      </c>
      <c r="D269" s="401">
        <f>Données!Z270</f>
        <v>1842</v>
      </c>
      <c r="E269" s="177">
        <f>VPI!R270</f>
        <v>104091.36242206233</v>
      </c>
      <c r="F269" s="313">
        <f>'Péréquation directe'!K276</f>
        <v>1566088.2067928938</v>
      </c>
      <c r="G269" s="326">
        <f>PCS!I276</f>
        <v>1715457.4134666815</v>
      </c>
      <c r="H269" s="342">
        <f>'Facture policière'!L270</f>
        <v>122845.1130069163</v>
      </c>
      <c r="I269" s="450">
        <f t="shared" si="4"/>
        <v>3404390.7332664919</v>
      </c>
      <c r="J269" s="179"/>
    </row>
    <row r="270" spans="1:10" s="87" customFormat="1" x14ac:dyDescent="0.25">
      <c r="A270" s="394">
        <f>Données!A271</f>
        <v>5886</v>
      </c>
      <c r="B270" s="398" t="str">
        <f>Données!B271</f>
        <v>Montreux</v>
      </c>
      <c r="C270" s="396">
        <f>VPI!Q271</f>
        <v>65</v>
      </c>
      <c r="D270" s="401">
        <f>Données!Z271</f>
        <v>26100</v>
      </c>
      <c r="E270" s="177">
        <f>VPI!R271</f>
        <v>1153112.7161538461</v>
      </c>
      <c r="F270" s="313">
        <f>'Péréquation directe'!K277</f>
        <v>-1849909.7676024698</v>
      </c>
      <c r="G270" s="326">
        <f>PCS!I277</f>
        <v>25085136.034260496</v>
      </c>
      <c r="H270" s="342">
        <f>'Facture policière'!L271</f>
        <v>1360864.711821733</v>
      </c>
      <c r="I270" s="450">
        <f t="shared" si="4"/>
        <v>24596090.978479758</v>
      </c>
      <c r="J270" s="179"/>
    </row>
    <row r="271" spans="1:10" s="87" customFormat="1" x14ac:dyDescent="0.25">
      <c r="A271" s="394">
        <f>Données!A272</f>
        <v>5889</v>
      </c>
      <c r="B271" s="398" t="str">
        <f>Données!B272</f>
        <v>La Tour-de-Peilz</v>
      </c>
      <c r="C271" s="396">
        <f>VPI!Q272</f>
        <v>64</v>
      </c>
      <c r="D271" s="401">
        <f>Données!Z272</f>
        <v>12402</v>
      </c>
      <c r="E271" s="177">
        <f>VPI!R272</f>
        <v>709179.36611979152</v>
      </c>
      <c r="F271" s="313">
        <f>'Péréquation directe'!K278</f>
        <v>6213272.7709005708</v>
      </c>
      <c r="G271" s="326">
        <f>PCS!I278</f>
        <v>11930998.90492302</v>
      </c>
      <c r="H271" s="342">
        <f>'Facture policière'!L272</f>
        <v>836949.554180242</v>
      </c>
      <c r="I271" s="450">
        <f t="shared" si="4"/>
        <v>18981221.230003834</v>
      </c>
      <c r="J271" s="179"/>
    </row>
    <row r="272" spans="1:10" s="87" customFormat="1" x14ac:dyDescent="0.25">
      <c r="A272" s="394">
        <f>Données!A273</f>
        <v>5890</v>
      </c>
      <c r="B272" s="398" t="str">
        <f>Données!B273</f>
        <v>Vevey</v>
      </c>
      <c r="C272" s="396">
        <f>VPI!Q273</f>
        <v>74.5</v>
      </c>
      <c r="D272" s="401">
        <f>Données!Z273</f>
        <v>19754</v>
      </c>
      <c r="E272" s="177">
        <f>VPI!R273</f>
        <v>945087.70393736032</v>
      </c>
      <c r="F272" s="313">
        <f>'Péréquation directe'!K279</f>
        <v>2647934.7576137353</v>
      </c>
      <c r="G272" s="326">
        <f>PCS!I279</f>
        <v>14517562.114146868</v>
      </c>
      <c r="H272" s="342">
        <f>'Facture policière'!L273</f>
        <v>1115360.6129284808</v>
      </c>
      <c r="I272" s="450">
        <f t="shared" si="4"/>
        <v>18280857.484689083</v>
      </c>
      <c r="J272" s="179"/>
    </row>
    <row r="273" spans="1:10" s="87" customFormat="1" x14ac:dyDescent="0.25">
      <c r="A273" s="394">
        <f>Données!A274</f>
        <v>5891</v>
      </c>
      <c r="B273" s="398" t="str">
        <f>Données!B274</f>
        <v>Veytaux</v>
      </c>
      <c r="C273" s="396">
        <f>VPI!Q274</f>
        <v>69.5</v>
      </c>
      <c r="D273" s="401">
        <f>Données!Z274</f>
        <v>972</v>
      </c>
      <c r="E273" s="177">
        <f>VPI!R274</f>
        <v>41113.316211031175</v>
      </c>
      <c r="F273" s="313">
        <f>'Péréquation directe'!K280</f>
        <v>548966.39305611316</v>
      </c>
      <c r="G273" s="326">
        <f>PCS!I280</f>
        <v>776967.9075774448</v>
      </c>
      <c r="H273" s="342">
        <f>'Facture policière'!L274</f>
        <v>48520.548280985247</v>
      </c>
      <c r="I273" s="450">
        <f t="shared" si="4"/>
        <v>1374454.8489145434</v>
      </c>
      <c r="J273" s="179"/>
    </row>
    <row r="274" spans="1:10" s="87" customFormat="1" x14ac:dyDescent="0.25">
      <c r="A274" s="394">
        <f>Données!A275</f>
        <v>5892</v>
      </c>
      <c r="B274" s="398" t="str">
        <f>Données!B275</f>
        <v>Blonay-Saint-Légier</v>
      </c>
      <c r="C274" s="396">
        <f>VPI!Q275</f>
        <v>68.5</v>
      </c>
      <c r="D274" s="401">
        <f>Données!Z275</f>
        <v>12137</v>
      </c>
      <c r="E274" s="177">
        <f>VPI!R275</f>
        <v>749734.6567883211</v>
      </c>
      <c r="F274" s="313">
        <f>'Péréquation directe'!K281</f>
        <v>7265756.0016032783</v>
      </c>
      <c r="G274" s="326">
        <f>PCS!I281</f>
        <v>14673487.013320627</v>
      </c>
      <c r="H274" s="342">
        <f>'Facture policière'!L275</f>
        <v>884811.5395484718</v>
      </c>
      <c r="I274" s="450">
        <f t="shared" si="4"/>
        <v>22824054.554472376</v>
      </c>
      <c r="J274" s="179"/>
    </row>
    <row r="275" spans="1:10" s="87" customFormat="1" x14ac:dyDescent="0.25">
      <c r="A275" s="394">
        <f>Données!A276</f>
        <v>5902</v>
      </c>
      <c r="B275" s="398" t="str">
        <f>Données!B276</f>
        <v>Belmont-sur-Yverdon</v>
      </c>
      <c r="C275" s="396">
        <f>VPI!Q276</f>
        <v>70</v>
      </c>
      <c r="D275" s="401">
        <f>Données!Z276</f>
        <v>434</v>
      </c>
      <c r="E275" s="177">
        <f>VPI!R276</f>
        <v>11918.01</v>
      </c>
      <c r="F275" s="313">
        <f>'Péréquation directe'!K282</f>
        <v>-5412.1850149089878</v>
      </c>
      <c r="G275" s="326">
        <f>PCS!I282</f>
        <v>179908.68242566753</v>
      </c>
      <c r="H275" s="342">
        <f>'Facture policière'!L276</f>
        <v>35907.581758896646</v>
      </c>
      <c r="I275" s="450">
        <f t="shared" si="4"/>
        <v>210404.07916965519</v>
      </c>
      <c r="J275" s="179"/>
    </row>
    <row r="276" spans="1:10" s="87" customFormat="1" x14ac:dyDescent="0.25">
      <c r="A276" s="394">
        <f>Données!A277</f>
        <v>5903</v>
      </c>
      <c r="B276" s="398" t="str">
        <f>Données!B277</f>
        <v>Bioley-Magnoux</v>
      </c>
      <c r="C276" s="396">
        <f>VPI!Q277</f>
        <v>72</v>
      </c>
      <c r="D276" s="401">
        <f>Données!Z277</f>
        <v>247</v>
      </c>
      <c r="E276" s="177">
        <f>VPI!R277</f>
        <v>6275.4313293650803</v>
      </c>
      <c r="F276" s="313">
        <f>'Péréquation directe'!K283</f>
        <v>-29221.081544814355</v>
      </c>
      <c r="G276" s="326">
        <f>PCS!I283</f>
        <v>92867.235079635109</v>
      </c>
      <c r="H276" s="342">
        <f>'Facture policière'!L277</f>
        <v>18860.420879859219</v>
      </c>
      <c r="I276" s="450">
        <f t="shared" si="4"/>
        <v>82506.57441467997</v>
      </c>
      <c r="J276" s="179"/>
    </row>
    <row r="277" spans="1:10" s="87" customFormat="1" x14ac:dyDescent="0.25">
      <c r="A277" s="394">
        <f>Données!A278</f>
        <v>5904</v>
      </c>
      <c r="B277" s="398" t="str">
        <f>Données!B278</f>
        <v>Chamblon</v>
      </c>
      <c r="C277" s="396">
        <f>VPI!Q278</f>
        <v>66</v>
      </c>
      <c r="D277" s="401">
        <f>Données!Z278</f>
        <v>567</v>
      </c>
      <c r="E277" s="177">
        <f>VPI!R278</f>
        <v>18890.250303030305</v>
      </c>
      <c r="F277" s="313">
        <f>'Péréquation directe'!K284</f>
        <v>140360.81222143315</v>
      </c>
      <c r="G277" s="326">
        <f>PCS!I284</f>
        <v>290652.79807033075</v>
      </c>
      <c r="H277" s="342">
        <f>'Facture policière'!L278</f>
        <v>22293.635890703292</v>
      </c>
      <c r="I277" s="450">
        <f t="shared" si="4"/>
        <v>453307.24618246721</v>
      </c>
      <c r="J277" s="179"/>
    </row>
    <row r="278" spans="1:10" s="87" customFormat="1" x14ac:dyDescent="0.25">
      <c r="A278" s="394">
        <f>Données!A279</f>
        <v>5905</v>
      </c>
      <c r="B278" s="398" t="str">
        <f>Données!B279</f>
        <v>Champvent</v>
      </c>
      <c r="C278" s="396">
        <f>VPI!Q279</f>
        <v>70</v>
      </c>
      <c r="D278" s="401">
        <f>Données!Z279</f>
        <v>733</v>
      </c>
      <c r="E278" s="177">
        <f>VPI!R279</f>
        <v>21534.177714285714</v>
      </c>
      <c r="F278" s="313">
        <f>'Péréquation directe'!K285</f>
        <v>45375.308655359724</v>
      </c>
      <c r="G278" s="326">
        <f>PCS!I285</f>
        <v>354090.95319673885</v>
      </c>
      <c r="H278" s="342">
        <f>'Facture policière'!L279</f>
        <v>65267.220935834906</v>
      </c>
      <c r="I278" s="450">
        <f t="shared" si="4"/>
        <v>464733.48278793349</v>
      </c>
      <c r="J278" s="179"/>
    </row>
    <row r="279" spans="1:10" s="87" customFormat="1" x14ac:dyDescent="0.25">
      <c r="A279" s="394">
        <f>Données!A280</f>
        <v>5907</v>
      </c>
      <c r="B279" s="398" t="str">
        <f>Données!B280</f>
        <v>Chavannes-le-Chêne</v>
      </c>
      <c r="C279" s="396">
        <f>VPI!Q280</f>
        <v>75</v>
      </c>
      <c r="D279" s="401">
        <f>Données!Z280</f>
        <v>317</v>
      </c>
      <c r="E279" s="177">
        <f>VPI!R280</f>
        <v>8453.4726666666666</v>
      </c>
      <c r="F279" s="313">
        <f>'Péréquation directe'!K286</f>
        <v>-33714.861760677944</v>
      </c>
      <c r="G279" s="326">
        <f>PCS!I286</f>
        <v>132770.40309488561</v>
      </c>
      <c r="H279" s="342">
        <f>'Facture policière'!L280</f>
        <v>25487.531149481692</v>
      </c>
      <c r="I279" s="450">
        <f t="shared" si="4"/>
        <v>124543.07248368935</v>
      </c>
      <c r="J279" s="179"/>
    </row>
    <row r="280" spans="1:10" s="87" customFormat="1" x14ac:dyDescent="0.25">
      <c r="A280" s="394">
        <f>Données!A281</f>
        <v>5908</v>
      </c>
      <c r="B280" s="398" t="str">
        <f>Données!B281</f>
        <v>Chêne-Pâquier</v>
      </c>
      <c r="C280" s="396">
        <f>VPI!Q281</f>
        <v>75</v>
      </c>
      <c r="D280" s="401">
        <f>Données!Z281</f>
        <v>163</v>
      </c>
      <c r="E280" s="177">
        <f>VPI!R281</f>
        <v>4917.9366666666683</v>
      </c>
      <c r="F280" s="313">
        <f>'Péréquation directe'!K287</f>
        <v>6476.5942334834399</v>
      </c>
      <c r="G280" s="326">
        <f>PCS!I287</f>
        <v>69462.699498214293</v>
      </c>
      <c r="H280" s="342">
        <f>'Facture policière'!L281</f>
        <v>15011.693547857922</v>
      </c>
      <c r="I280" s="450">
        <f t="shared" si="4"/>
        <v>90950.987279555658</v>
      </c>
      <c r="J280" s="179"/>
    </row>
    <row r="281" spans="1:10" s="87" customFormat="1" x14ac:dyDescent="0.25">
      <c r="A281" s="394">
        <f>Données!A282</f>
        <v>5909</v>
      </c>
      <c r="B281" s="398" t="str">
        <f>Données!B282</f>
        <v>Cheseaux-Noréaz</v>
      </c>
      <c r="C281" s="396">
        <f>VPI!Q282</f>
        <v>67</v>
      </c>
      <c r="D281" s="401">
        <f>Données!Z282</f>
        <v>735</v>
      </c>
      <c r="E281" s="177">
        <f>VPI!R282</f>
        <v>34179.649850746275</v>
      </c>
      <c r="F281" s="313">
        <f>'Péréquation directe'!K288</f>
        <v>536094.368452886</v>
      </c>
      <c r="G281" s="326">
        <f>PCS!I288</f>
        <v>505372.53022532037</v>
      </c>
      <c r="H281" s="342">
        <f>'Facture policière'!L282</f>
        <v>40337.669243166842</v>
      </c>
      <c r="I281" s="450">
        <f t="shared" si="4"/>
        <v>1081804.5679213733</v>
      </c>
      <c r="J281" s="179"/>
    </row>
    <row r="282" spans="1:10" s="87" customFormat="1" x14ac:dyDescent="0.25">
      <c r="A282" s="394">
        <f>Données!A283</f>
        <v>5910</v>
      </c>
      <c r="B282" s="398" t="str">
        <f>Données!B283</f>
        <v>Cronay</v>
      </c>
      <c r="C282" s="396">
        <f>VPI!Q283</f>
        <v>77</v>
      </c>
      <c r="D282" s="401">
        <f>Données!Z283</f>
        <v>410</v>
      </c>
      <c r="E282" s="177">
        <f>VPI!R283</f>
        <v>10620.023506493504</v>
      </c>
      <c r="F282" s="313">
        <f>'Péréquation directe'!K289</f>
        <v>-67903.063420712628</v>
      </c>
      <c r="G282" s="326">
        <f>PCS!I289</f>
        <v>195673.82817592146</v>
      </c>
      <c r="H282" s="342">
        <f>'Facture policière'!L283</f>
        <v>32043.526060154938</v>
      </c>
      <c r="I282" s="450">
        <f t="shared" si="4"/>
        <v>159814.29081536375</v>
      </c>
      <c r="J282" s="179"/>
    </row>
    <row r="283" spans="1:10" s="87" customFormat="1" x14ac:dyDescent="0.25">
      <c r="A283" s="394">
        <f>Données!A284</f>
        <v>5911</v>
      </c>
      <c r="B283" s="398" t="str">
        <f>Données!B284</f>
        <v>Cuarny</v>
      </c>
      <c r="C283" s="396">
        <f>VPI!Q284</f>
        <v>77</v>
      </c>
      <c r="D283" s="401">
        <f>Données!Z284</f>
        <v>236</v>
      </c>
      <c r="E283" s="177">
        <f>VPI!R284</f>
        <v>7630.7251948051926</v>
      </c>
      <c r="F283" s="313">
        <f>'Péréquation directe'!K290</f>
        <v>26031.139084712951</v>
      </c>
      <c r="G283" s="326">
        <f>PCS!I290</f>
        <v>104219.90354906124</v>
      </c>
      <c r="H283" s="342">
        <f>'Facture policière'!L284</f>
        <v>23220.361752251643</v>
      </c>
      <c r="I283" s="450">
        <f t="shared" si="4"/>
        <v>153471.40438602585</v>
      </c>
      <c r="J283" s="179"/>
    </row>
    <row r="284" spans="1:10" s="87" customFormat="1" x14ac:dyDescent="0.25">
      <c r="A284" s="394">
        <f>Données!A285</f>
        <v>5912</v>
      </c>
      <c r="B284" s="398" t="str">
        <f>Données!B285</f>
        <v>Démoret</v>
      </c>
      <c r="C284" s="396">
        <f>VPI!Q285</f>
        <v>78</v>
      </c>
      <c r="D284" s="401">
        <f>Données!Z285</f>
        <v>167</v>
      </c>
      <c r="E284" s="177">
        <f>VPI!R285</f>
        <v>3035.5994871794869</v>
      </c>
      <c r="F284" s="313">
        <f>'Péréquation directe'!K291</f>
        <v>-80389.278437929606</v>
      </c>
      <c r="G284" s="326">
        <f>PCS!I291</f>
        <v>56104.482540493707</v>
      </c>
      <c r="H284" s="342">
        <f>'Facture policière'!L285</f>
        <v>9053.6751448721716</v>
      </c>
      <c r="I284" s="450">
        <f t="shared" si="4"/>
        <v>-15231.120752563727</v>
      </c>
      <c r="J284" s="179"/>
    </row>
    <row r="285" spans="1:10" s="87" customFormat="1" x14ac:dyDescent="0.25">
      <c r="A285" s="394">
        <f>Données!A286</f>
        <v>5913</v>
      </c>
      <c r="B285" s="398" t="str">
        <f>Données!B286</f>
        <v>Donneloye</v>
      </c>
      <c r="C285" s="396">
        <f>VPI!Q286</f>
        <v>73</v>
      </c>
      <c r="D285" s="401">
        <f>Données!Z286</f>
        <v>905</v>
      </c>
      <c r="E285" s="177">
        <f>VPI!R286</f>
        <v>21868.165342465756</v>
      </c>
      <c r="F285" s="313">
        <f>'Péréquation directe'!K292</f>
        <v>-164707.88119693595</v>
      </c>
      <c r="G285" s="326">
        <f>PCS!I292</f>
        <v>346934.48383079114</v>
      </c>
      <c r="H285" s="342">
        <f>'Facture policière'!L286</f>
        <v>66233.194555802824</v>
      </c>
      <c r="I285" s="450">
        <f t="shared" si="4"/>
        <v>248459.79718965801</v>
      </c>
      <c r="J285" s="179"/>
    </row>
    <row r="286" spans="1:10" s="87" customFormat="1" x14ac:dyDescent="0.25">
      <c r="A286" s="394">
        <f>Données!A287</f>
        <v>5914</v>
      </c>
      <c r="B286" s="398" t="str">
        <f>Données!B287</f>
        <v>Ependes</v>
      </c>
      <c r="C286" s="396">
        <f>VPI!Q287</f>
        <v>73.5</v>
      </c>
      <c r="D286" s="401">
        <f>Données!Z287</f>
        <v>372</v>
      </c>
      <c r="E286" s="177">
        <f>VPI!R287</f>
        <v>9826.1438095238063</v>
      </c>
      <c r="F286" s="313">
        <f>'Péréquation directe'!K293</f>
        <v>-36188.933326902596</v>
      </c>
      <c r="G286" s="326">
        <f>PCS!I293</f>
        <v>134127.1846642301</v>
      </c>
      <c r="H286" s="342">
        <f>'Facture policière'!L287</f>
        <v>11596.483306738981</v>
      </c>
      <c r="I286" s="450">
        <f t="shared" si="4"/>
        <v>109534.73464406648</v>
      </c>
      <c r="J286" s="179"/>
    </row>
    <row r="287" spans="1:10" s="87" customFormat="1" x14ac:dyDescent="0.25">
      <c r="A287" s="394">
        <f>Données!A288</f>
        <v>5919</v>
      </c>
      <c r="B287" s="398" t="str">
        <f>Données!B288</f>
        <v>Mathod</v>
      </c>
      <c r="C287" s="396">
        <f>VPI!Q288</f>
        <v>72</v>
      </c>
      <c r="D287" s="401">
        <f>Données!Z288</f>
        <v>685</v>
      </c>
      <c r="E287" s="177">
        <f>VPI!R288</f>
        <v>20854.383912037036</v>
      </c>
      <c r="F287" s="313">
        <f>'Péréquation directe'!K294</f>
        <v>56741.928778419096</v>
      </c>
      <c r="G287" s="326">
        <f>PCS!I294</f>
        <v>390709.33255476016</v>
      </c>
      <c r="H287" s="342">
        <f>'Facture policière'!L288</f>
        <v>24611.640089560562</v>
      </c>
      <c r="I287" s="450">
        <f t="shared" si="4"/>
        <v>472062.90142273984</v>
      </c>
      <c r="J287" s="179"/>
    </row>
    <row r="288" spans="1:10" s="87" customFormat="1" x14ac:dyDescent="0.25">
      <c r="A288" s="394">
        <f>Données!A289</f>
        <v>5921</v>
      </c>
      <c r="B288" s="398" t="str">
        <f>Données!B289</f>
        <v>Molondin</v>
      </c>
      <c r="C288" s="396">
        <f>VPI!Q289</f>
        <v>81</v>
      </c>
      <c r="D288" s="401">
        <f>Données!Z289</f>
        <v>258</v>
      </c>
      <c r="E288" s="177">
        <f>VPI!R289</f>
        <v>5090.9675308641981</v>
      </c>
      <c r="F288" s="313">
        <f>'Péréquation directe'!K295</f>
        <v>-115884.58822670129</v>
      </c>
      <c r="G288" s="326">
        <f>PCS!I295</f>
        <v>75156.847979787708</v>
      </c>
      <c r="H288" s="342">
        <f>'Facture policière'!L289</f>
        <v>15268.877450307329</v>
      </c>
      <c r="I288" s="450">
        <f t="shared" si="4"/>
        <v>-25458.862796606256</v>
      </c>
      <c r="J288" s="179"/>
    </row>
    <row r="289" spans="1:10" s="87" customFormat="1" x14ac:dyDescent="0.25">
      <c r="A289" s="394">
        <f>Données!A290</f>
        <v>5922</v>
      </c>
      <c r="B289" s="398" t="str">
        <f>Données!B290</f>
        <v>Montagny-près-Yverdon</v>
      </c>
      <c r="C289" s="396">
        <f>VPI!Q290</f>
        <v>64.5</v>
      </c>
      <c r="D289" s="401">
        <f>Données!Z290</f>
        <v>770</v>
      </c>
      <c r="E289" s="177">
        <f>VPI!R290</f>
        <v>39799.996472868217</v>
      </c>
      <c r="F289" s="313">
        <f>'Péréquation directe'!K296</f>
        <v>665096.39394981647</v>
      </c>
      <c r="G289" s="326">
        <f>PCS!I296</f>
        <v>652855.77541477571</v>
      </c>
      <c r="H289" s="342">
        <f>'Facture policière'!L290</f>
        <v>114113.25947023471</v>
      </c>
      <c r="I289" s="450">
        <f t="shared" si="4"/>
        <v>1432065.4288348267</v>
      </c>
      <c r="J289" s="179"/>
    </row>
    <row r="290" spans="1:10" s="87" customFormat="1" x14ac:dyDescent="0.25">
      <c r="A290" s="394">
        <f>Données!A291</f>
        <v>5923</v>
      </c>
      <c r="B290" s="398" t="str">
        <f>Données!B291</f>
        <v>Oppens</v>
      </c>
      <c r="C290" s="396">
        <f>VPI!Q291</f>
        <v>81</v>
      </c>
      <c r="D290" s="401">
        <f>Données!Z291</f>
        <v>202</v>
      </c>
      <c r="E290" s="177">
        <f>VPI!R291</f>
        <v>4459.4095061728403</v>
      </c>
      <c r="F290" s="313">
        <f>'Péréquation directe'!K297</f>
        <v>-80067.62684378821</v>
      </c>
      <c r="G290" s="326">
        <f>PCS!I297</f>
        <v>64714.871452652238</v>
      </c>
      <c r="H290" s="342">
        <f>'Facture policière'!L291</f>
        <v>13506.256205902097</v>
      </c>
      <c r="I290" s="450">
        <f t="shared" si="4"/>
        <v>-1846.4991852338753</v>
      </c>
      <c r="J290" s="179"/>
    </row>
    <row r="291" spans="1:10" s="87" customFormat="1" x14ac:dyDescent="0.25">
      <c r="A291" s="394">
        <f>Données!A292</f>
        <v>5924</v>
      </c>
      <c r="B291" s="398" t="str">
        <f>Données!B292</f>
        <v>Orges</v>
      </c>
      <c r="C291" s="396">
        <f>VPI!Q292</f>
        <v>74</v>
      </c>
      <c r="D291" s="401">
        <f>Données!Z292</f>
        <v>407</v>
      </c>
      <c r="E291" s="177">
        <f>VPI!R292</f>
        <v>11637.592027027025</v>
      </c>
      <c r="F291" s="313">
        <f>'Péréquation directe'!K298</f>
        <v>-5788.7912418838241</v>
      </c>
      <c r="G291" s="326">
        <f>PCS!I298</f>
        <v>166052.87530714297</v>
      </c>
      <c r="H291" s="342">
        <f>'Facture policière'!L292</f>
        <v>35340.36525133314</v>
      </c>
      <c r="I291" s="450">
        <f t="shared" si="4"/>
        <v>195604.44931659228</v>
      </c>
      <c r="J291" s="179"/>
    </row>
    <row r="292" spans="1:10" s="87" customFormat="1" x14ac:dyDescent="0.25">
      <c r="A292" s="394">
        <f>Données!A293</f>
        <v>5925</v>
      </c>
      <c r="B292" s="398" t="str">
        <f>Données!B293</f>
        <v>Orzens</v>
      </c>
      <c r="C292" s="396">
        <f>VPI!Q293</f>
        <v>79</v>
      </c>
      <c r="D292" s="401">
        <f>Données!Z293</f>
        <v>212</v>
      </c>
      <c r="E292" s="177">
        <f>VPI!R293</f>
        <v>5249.0272151898725</v>
      </c>
      <c r="F292" s="313">
        <f>'Péréquation directe'!K299</f>
        <v>-51767.201733641705</v>
      </c>
      <c r="G292" s="326">
        <f>PCS!I299</f>
        <v>80575.887018786438</v>
      </c>
      <c r="H292" s="342">
        <f>'Facture policière'!L293</f>
        <v>15802.305785419094</v>
      </c>
      <c r="I292" s="450">
        <f t="shared" si="4"/>
        <v>44610.991070563825</v>
      </c>
      <c r="J292" s="179"/>
    </row>
    <row r="293" spans="1:10" s="87" customFormat="1" x14ac:dyDescent="0.25">
      <c r="A293" s="394">
        <f>Données!A294</f>
        <v>5926</v>
      </c>
      <c r="B293" s="398" t="str">
        <f>Données!B294</f>
        <v>Pomy</v>
      </c>
      <c r="C293" s="396">
        <f>VPI!Q294</f>
        <v>71</v>
      </c>
      <c r="D293" s="401">
        <f>Données!Z294</f>
        <v>868</v>
      </c>
      <c r="E293" s="177">
        <f>VPI!R294</f>
        <v>26782.680140845066</v>
      </c>
      <c r="F293" s="313">
        <f>'Péréquation directe'!K300</f>
        <v>94877.928301129665</v>
      </c>
      <c r="G293" s="326">
        <f>PCS!I300</f>
        <v>369348.76194687077</v>
      </c>
      <c r="H293" s="342">
        <f>'Facture policière'!L294</f>
        <v>31608.015227907697</v>
      </c>
      <c r="I293" s="450">
        <f t="shared" si="4"/>
        <v>495834.70547590812</v>
      </c>
      <c r="J293" s="179"/>
    </row>
    <row r="294" spans="1:10" s="87" customFormat="1" x14ac:dyDescent="0.25">
      <c r="A294" s="394">
        <f>Données!A295</f>
        <v>5928</v>
      </c>
      <c r="B294" s="398" t="str">
        <f>Données!B295</f>
        <v>Rovray</v>
      </c>
      <c r="C294" s="396">
        <f>VPI!Q295</f>
        <v>71.5</v>
      </c>
      <c r="D294" s="401">
        <f>Données!Z295</f>
        <v>197</v>
      </c>
      <c r="E294" s="177">
        <f>VPI!R295</f>
        <v>5095.519580419581</v>
      </c>
      <c r="F294" s="313">
        <f>'Péréquation directe'!K301</f>
        <v>-18420.408542814868</v>
      </c>
      <c r="G294" s="326">
        <f>PCS!I301</f>
        <v>59477.014856214708</v>
      </c>
      <c r="H294" s="342">
        <f>'Facture policière'!L295</f>
        <v>15469.055347746966</v>
      </c>
      <c r="I294" s="450">
        <f t="shared" si="4"/>
        <v>56525.661661146805</v>
      </c>
      <c r="J294" s="179"/>
    </row>
    <row r="295" spans="1:10" s="87" customFormat="1" x14ac:dyDescent="0.25">
      <c r="A295" s="394">
        <f>Données!A296</f>
        <v>5929</v>
      </c>
      <c r="B295" s="398" t="str">
        <f>Données!B296</f>
        <v>Suchy</v>
      </c>
      <c r="C295" s="396">
        <f>VPI!Q296</f>
        <v>70</v>
      </c>
      <c r="D295" s="401">
        <f>Données!Z296</f>
        <v>671</v>
      </c>
      <c r="E295" s="177">
        <f>VPI!R296</f>
        <v>21603.071857142855</v>
      </c>
      <c r="F295" s="313">
        <f>'Péréquation directe'!K302</f>
        <v>114865.8934695737</v>
      </c>
      <c r="G295" s="326">
        <f>PCS!I302</f>
        <v>302261.83684112027</v>
      </c>
      <c r="H295" s="342">
        <f>'Facture policière'!L296</f>
        <v>25495.216335306257</v>
      </c>
      <c r="I295" s="450">
        <f t="shared" si="4"/>
        <v>442622.9466460002</v>
      </c>
      <c r="J295" s="179"/>
    </row>
    <row r="296" spans="1:10" s="87" customFormat="1" x14ac:dyDescent="0.25">
      <c r="A296" s="394">
        <f>Données!A297</f>
        <v>5930</v>
      </c>
      <c r="B296" s="398" t="str">
        <f>Données!B297</f>
        <v>Suscévaz</v>
      </c>
      <c r="C296" s="396">
        <f>VPI!Q297</f>
        <v>72</v>
      </c>
      <c r="D296" s="401">
        <f>Données!Z297</f>
        <v>220</v>
      </c>
      <c r="E296" s="177">
        <f>VPI!R297</f>
        <v>5749.1651388888886</v>
      </c>
      <c r="F296" s="313">
        <f>'Péréquation directe'!K303</f>
        <v>-19650.155640807483</v>
      </c>
      <c r="G296" s="326">
        <f>PCS!I303</f>
        <v>91241.0643125512</v>
      </c>
      <c r="H296" s="342">
        <f>'Facture policière'!L297</f>
        <v>6784.9706714237118</v>
      </c>
      <c r="I296" s="450">
        <f t="shared" si="4"/>
        <v>78375.879343167428</v>
      </c>
      <c r="J296" s="179"/>
    </row>
    <row r="297" spans="1:10" s="87" customFormat="1" x14ac:dyDescent="0.25">
      <c r="A297" s="394">
        <f>Données!A298</f>
        <v>5931</v>
      </c>
      <c r="B297" s="398" t="str">
        <f>Données!B298</f>
        <v>Treycovagnes</v>
      </c>
      <c r="C297" s="396">
        <f>VPI!Q298</f>
        <v>75</v>
      </c>
      <c r="D297" s="401">
        <f>Données!Z298</f>
        <v>520</v>
      </c>
      <c r="E297" s="177">
        <f>VPI!R298</f>
        <v>16306.743466666663</v>
      </c>
      <c r="F297" s="313">
        <f>'Péréquation directe'!K304</f>
        <v>46409.436789466301</v>
      </c>
      <c r="G297" s="326">
        <f>PCS!I304</f>
        <v>293381.70289984863</v>
      </c>
      <c r="H297" s="342">
        <f>'Facture policière'!L298</f>
        <v>19244.66831181449</v>
      </c>
      <c r="I297" s="450">
        <f t="shared" si="4"/>
        <v>359035.80800112942</v>
      </c>
      <c r="J297" s="179"/>
    </row>
    <row r="298" spans="1:10" s="87" customFormat="1" x14ac:dyDescent="0.25">
      <c r="A298" s="394">
        <f>Données!A299</f>
        <v>5932</v>
      </c>
      <c r="B298" s="398" t="str">
        <f>Données!B299</f>
        <v>Ursins</v>
      </c>
      <c r="C298" s="396">
        <f>VPI!Q299</f>
        <v>75</v>
      </c>
      <c r="D298" s="401">
        <f>Données!Z299</f>
        <v>230</v>
      </c>
      <c r="E298" s="177">
        <f>VPI!R299</f>
        <v>7945.6340000000009</v>
      </c>
      <c r="F298" s="313">
        <f>'Péréquation directe'!K305</f>
        <v>51086.707432755138</v>
      </c>
      <c r="G298" s="326">
        <f>PCS!I305</f>
        <v>102293.60475974903</v>
      </c>
      <c r="H298" s="342">
        <f>'Facture policière'!L299</f>
        <v>24312.469093856671</v>
      </c>
      <c r="I298" s="450">
        <f t="shared" si="4"/>
        <v>177692.78128636084</v>
      </c>
      <c r="J298" s="179"/>
    </row>
    <row r="299" spans="1:10" s="87" customFormat="1" x14ac:dyDescent="0.25">
      <c r="A299" s="394">
        <f>Données!A300</f>
        <v>5933</v>
      </c>
      <c r="B299" s="398" t="str">
        <f>Données!B300</f>
        <v>Valeyres-sous-Montagny</v>
      </c>
      <c r="C299" s="396">
        <f>VPI!Q300</f>
        <v>70.5</v>
      </c>
      <c r="D299" s="401">
        <f>Données!Z300</f>
        <v>703</v>
      </c>
      <c r="E299" s="177">
        <f>VPI!R300</f>
        <v>23478.314609929079</v>
      </c>
      <c r="F299" s="313">
        <f>'Péréquation directe'!K306</f>
        <v>150152.63528751931</v>
      </c>
      <c r="G299" s="326">
        <f>PCS!I306</f>
        <v>328366.87074247352</v>
      </c>
      <c r="H299" s="342">
        <f>'Facture policière'!L300</f>
        <v>71073.153694518114</v>
      </c>
      <c r="I299" s="450">
        <f t="shared" si="4"/>
        <v>549592.65972451097</v>
      </c>
      <c r="J299" s="179"/>
    </row>
    <row r="300" spans="1:10" s="87" customFormat="1" x14ac:dyDescent="0.25">
      <c r="A300" s="394">
        <f>Données!A301</f>
        <v>5934</v>
      </c>
      <c r="B300" s="398" t="str">
        <f>Données!B301</f>
        <v>Valeyres-sous-Ursins</v>
      </c>
      <c r="C300" s="396">
        <f>VPI!Q301</f>
        <v>77</v>
      </c>
      <c r="D300" s="401">
        <f>Données!Z301</f>
        <v>241</v>
      </c>
      <c r="E300" s="177">
        <f>VPI!R301</f>
        <v>16787.585844155841</v>
      </c>
      <c r="F300" s="313">
        <f>'Péréquation directe'!K307</f>
        <v>291347.06436530873</v>
      </c>
      <c r="G300" s="326">
        <f>PCS!I307</f>
        <v>325859.00877214572</v>
      </c>
      <c r="H300" s="342">
        <f>'Facture policière'!L301</f>
        <v>41324.567324646137</v>
      </c>
      <c r="I300" s="450">
        <f t="shared" si="4"/>
        <v>658530.64046210062</v>
      </c>
      <c r="J300" s="179"/>
    </row>
    <row r="301" spans="1:10" s="87" customFormat="1" x14ac:dyDescent="0.25">
      <c r="A301" s="394">
        <f>Données!A302</f>
        <v>5935</v>
      </c>
      <c r="B301" s="398" t="str">
        <f>Données!B302</f>
        <v>Villars-Epeney</v>
      </c>
      <c r="C301" s="396">
        <f>VPI!Q302</f>
        <v>68</v>
      </c>
      <c r="D301" s="401">
        <f>Données!Z302</f>
        <v>92</v>
      </c>
      <c r="E301" s="177">
        <f>VPI!R302</f>
        <v>6724.4138235294122</v>
      </c>
      <c r="F301" s="313">
        <f>'Péréquation directe'!K308</f>
        <v>117286.68528940406</v>
      </c>
      <c r="G301" s="326">
        <f>PCS!I308</f>
        <v>147733.97993536069</v>
      </c>
      <c r="H301" s="342">
        <f>'Facture policière'!L302</f>
        <v>16148.138314514428</v>
      </c>
      <c r="I301" s="450">
        <f t="shared" si="4"/>
        <v>281168.80353927915</v>
      </c>
      <c r="J301" s="179"/>
    </row>
    <row r="302" spans="1:10" s="87" customFormat="1" x14ac:dyDescent="0.25">
      <c r="A302" s="394">
        <f>Données!A303</f>
        <v>5937</v>
      </c>
      <c r="B302" s="398" t="str">
        <f>Données!B303</f>
        <v>Vugelles-La Mothe</v>
      </c>
      <c r="C302" s="396">
        <f>VPI!Q303</f>
        <v>70</v>
      </c>
      <c r="D302" s="401">
        <f>Données!Z303</f>
        <v>142</v>
      </c>
      <c r="E302" s="177">
        <f>VPI!R303</f>
        <v>3343.8941428571434</v>
      </c>
      <c r="F302" s="313">
        <f>'Péréquation directe'!K309</f>
        <v>-23321.165252579623</v>
      </c>
      <c r="G302" s="326">
        <f>PCS!I309</f>
        <v>47930.065449125774</v>
      </c>
      <c r="H302" s="342">
        <f>'Facture policière'!L303</f>
        <v>10122.565016108765</v>
      </c>
      <c r="I302" s="450">
        <f t="shared" si="4"/>
        <v>34731.465212654919</v>
      </c>
      <c r="J302" s="179"/>
    </row>
    <row r="303" spans="1:10" s="87" customFormat="1" x14ac:dyDescent="0.25">
      <c r="A303" s="394">
        <f>Données!A304</f>
        <v>5938</v>
      </c>
      <c r="B303" s="398" t="str">
        <f>Données!B304</f>
        <v>Yverdon-les-Bains</v>
      </c>
      <c r="C303" s="396">
        <f>VPI!Q304</f>
        <v>75</v>
      </c>
      <c r="D303" s="401">
        <f>Données!Z304</f>
        <v>29897</v>
      </c>
      <c r="E303" s="177">
        <f>VPI!R304</f>
        <v>780594.69946666679</v>
      </c>
      <c r="F303" s="313">
        <f>'Péréquation directe'!K310</f>
        <v>-19602342.597213931</v>
      </c>
      <c r="G303" s="326">
        <f>PCS!I310</f>
        <v>13357585.001480591</v>
      </c>
      <c r="H303" s="342">
        <f>'Facture policière'!L304</f>
        <v>921231.52043841477</v>
      </c>
      <c r="I303" s="450">
        <f t="shared" si="4"/>
        <v>-5323526.0752949258</v>
      </c>
      <c r="J303" s="179"/>
    </row>
    <row r="304" spans="1:10" s="87" customFormat="1" x14ac:dyDescent="0.25">
      <c r="A304" s="395">
        <f>Données!A305</f>
        <v>5939</v>
      </c>
      <c r="B304" s="399" t="str">
        <f>Données!B305</f>
        <v>Yvonand</v>
      </c>
      <c r="C304" s="396">
        <f>VPI!Q305</f>
        <v>71.5</v>
      </c>
      <c r="D304" s="402">
        <f>Données!Z305</f>
        <v>3535</v>
      </c>
      <c r="E304" s="177">
        <f>VPI!R305</f>
        <v>97394.348251748248</v>
      </c>
      <c r="F304" s="332">
        <f>'Péréquation directe'!K311</f>
        <v>-765876.84606208443</v>
      </c>
      <c r="G304" s="508">
        <f>PCS!I311</f>
        <v>1878370.2223110544</v>
      </c>
      <c r="H304" s="343">
        <f>'Facture policière'!L305</f>
        <v>291521.49352642416</v>
      </c>
      <c r="I304" s="475">
        <f t="shared" si="4"/>
        <v>1404014.869775394</v>
      </c>
      <c r="J304" s="179"/>
    </row>
    <row r="305" spans="1:10" x14ac:dyDescent="0.25">
      <c r="A305" s="205"/>
      <c r="B305" s="397">
        <f>COUNTA(B5:B304)</f>
        <v>300</v>
      </c>
      <c r="C305" s="407">
        <f>VPI!Q306</f>
        <v>67.554851270429381</v>
      </c>
      <c r="D305" s="408">
        <f>SUM(D5:D304)</f>
        <v>831327</v>
      </c>
      <c r="E305" s="408">
        <f>SUM(E5:E304)</f>
        <v>40270921.104040481</v>
      </c>
      <c r="F305" s="470">
        <f>ROUND(SUM(F5:F304),5)</f>
        <v>181669144.96818</v>
      </c>
      <c r="G305" s="471">
        <f>ROUND(SUM(G5:G304),5)</f>
        <v>773083130</v>
      </c>
      <c r="H305" s="472">
        <f>ROUND(SUM(H5:H304),5)</f>
        <v>71025442</v>
      </c>
      <c r="I305" s="473">
        <f>SUM(I5:I304)</f>
        <v>1025777716.9681824</v>
      </c>
    </row>
    <row r="306" spans="1:10" x14ac:dyDescent="0.25">
      <c r="D306" s="11"/>
      <c r="E306" s="11"/>
      <c r="G306" s="5"/>
      <c r="H306" s="5"/>
      <c r="I306" s="5"/>
      <c r="J306" s="5"/>
    </row>
    <row r="307" spans="1:10" x14ac:dyDescent="0.25">
      <c r="G307" s="5"/>
      <c r="H307" s="5"/>
      <c r="I307" s="5"/>
      <c r="J307" s="5"/>
    </row>
  </sheetData>
  <sheetProtection sheet="1" objects="1" scenarios="1"/>
  <phoneticPr fontId="0" type="noConversion"/>
  <conditionalFormatting sqref="F305">
    <cfRule type="cellIs" dxfId="2" priority="1" operator="equal">
      <formula>450000</formula>
    </cfRule>
  </conditionalFormatting>
  <hyperlinks>
    <hyperlink ref="D1" location="'Table des matières'!A1" display="Table des matières" xr:uid="{090680B4-EB0E-4E15-8AAA-D0F34968B211}"/>
    <hyperlink ref="C1" location="'Facture policière'!A1" display="← Précédent" xr:uid="{64470B6D-289A-4292-A2C1-B49B6B7BEF3C}"/>
    <hyperlink ref="E1" location="'Décompte vs acomptes'!A1" display="Suivant →" xr:uid="{272CB11A-40D6-45B0-BD95-5E8B832019FD}"/>
  </hyperlinks>
  <printOptions horizontalCentered="1" verticalCentered="1"/>
  <pageMargins left="0.19685039370078741" right="0.19685039370078741" top="0" bottom="0" header="0.51181102362204722" footer="0.51181102362204722"/>
  <pageSetup paperSize="9" fitToHeight="7" orientation="landscape" horizontalDpi="1200" verticalDpi="1200" r:id="rId1"/>
  <headerFooter alignWithMargins="0">
    <oddFooter>&amp;LSCL - Division finances communales&amp;C- &amp;P -</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5" operator="equal" id="{B3933958-71B3-4AD2-B33A-F05BD16E4DE8}">
            <xm:f>Paramètres!$B$56</xm:f>
            <x14:dxf>
              <fill>
                <patternFill>
                  <bgColor rgb="FF00B050"/>
                </patternFill>
              </fill>
            </x14:dxf>
          </x14:cfRule>
          <xm:sqref>H305</xm:sqref>
        </x14:conditionalFormatting>
        <x14:conditionalFormatting xmlns:xm="http://schemas.microsoft.com/office/excel/2006/main">
          <x14:cfRule type="cellIs" priority="7" operator="equal" id="{46316953-B095-4DF5-BD3A-B608529DFA48}">
            <xm:f>Paramètres!$B$11</xm:f>
            <x14:dxf>
              <fill>
                <patternFill>
                  <bgColor rgb="FF00B050"/>
                </patternFill>
              </fill>
            </x14:dxf>
          </x14:cfRule>
          <xm:sqref>G305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0C10-50F0-45D0-BA57-CF12150E4EF1}">
  <sheetPr>
    <tabColor theme="3" tint="0.59999389629810485"/>
  </sheetPr>
  <dimension ref="A1:W310"/>
  <sheetViews>
    <sheetView workbookViewId="0">
      <selection activeCell="C3" sqref="C3:E3"/>
    </sheetView>
  </sheetViews>
  <sheetFormatPr baseColWidth="10" defaultColWidth="11" defaultRowHeight="12.75" x14ac:dyDescent="0.2"/>
  <cols>
    <col min="1" max="1" width="11" style="264"/>
    <col min="2" max="2" width="26.375" style="264" customWidth="1"/>
    <col min="3" max="11" width="12.25" style="264" customWidth="1"/>
    <col min="12" max="12" width="15" style="263" bestFit="1" customWidth="1"/>
    <col min="13" max="13" width="11.125" style="263" bestFit="1" customWidth="1"/>
    <col min="14" max="14" width="15" style="263" bestFit="1" customWidth="1"/>
    <col min="15" max="15" width="11.125" style="263" bestFit="1" customWidth="1"/>
    <col min="16" max="16" width="14" style="263" bestFit="1" customWidth="1"/>
    <col min="17" max="17" width="11.125" style="263" bestFit="1" customWidth="1"/>
    <col min="18" max="18" width="14" style="263" bestFit="1" customWidth="1"/>
    <col min="19" max="19" width="11.125" style="263" bestFit="1" customWidth="1"/>
    <col min="20" max="20" width="13" style="263" bestFit="1" customWidth="1"/>
    <col min="21" max="21" width="11.125" style="263" bestFit="1" customWidth="1"/>
    <col min="22" max="22" width="13" style="263" bestFit="1" customWidth="1"/>
    <col min="23" max="23" width="11.125" style="263" bestFit="1" customWidth="1"/>
    <col min="24" max="16384" width="11" style="264"/>
  </cols>
  <sheetData>
    <row r="1" spans="1:11" s="263" customFormat="1" ht="27" customHeight="1" x14ac:dyDescent="0.2">
      <c r="A1" s="295" t="s">
        <v>404</v>
      </c>
      <c r="B1" s="296"/>
      <c r="C1" s="404" t="s">
        <v>405</v>
      </c>
      <c r="D1" s="311" t="s">
        <v>397</v>
      </c>
      <c r="E1" s="427"/>
      <c r="F1" s="34"/>
      <c r="G1" s="219"/>
      <c r="H1" s="219"/>
      <c r="I1" s="34"/>
      <c r="J1" s="219"/>
      <c r="K1" s="219"/>
    </row>
    <row r="2" spans="1:11" s="263" customFormat="1" ht="21" x14ac:dyDescent="0.2">
      <c r="A2" s="356"/>
      <c r="B2" s="33"/>
      <c r="C2" s="257"/>
      <c r="D2" s="258"/>
      <c r="E2" s="258"/>
      <c r="F2" s="34"/>
      <c r="G2" s="219"/>
      <c r="H2" s="219"/>
      <c r="I2" s="34"/>
      <c r="J2" s="219"/>
      <c r="K2" s="219"/>
    </row>
    <row r="3" spans="1:11" s="263" customFormat="1" ht="15" x14ac:dyDescent="0.2">
      <c r="A3"/>
      <c r="B3" s="34"/>
      <c r="C3" s="34"/>
      <c r="D3" s="34"/>
      <c r="E3" s="34"/>
      <c r="F3" s="34"/>
      <c r="G3" s="34"/>
      <c r="H3" s="34"/>
      <c r="I3" s="34"/>
      <c r="J3" s="34"/>
      <c r="K3" s="34"/>
    </row>
    <row r="4" spans="1:11" s="263" customFormat="1" ht="31.5" customHeight="1" x14ac:dyDescent="0.2">
      <c r="A4" s="648" t="s">
        <v>44</v>
      </c>
      <c r="B4" s="704" t="s">
        <v>390</v>
      </c>
      <c r="C4" s="706" t="s">
        <v>394</v>
      </c>
      <c r="D4" s="707"/>
      <c r="E4" s="708"/>
      <c r="F4" s="709" t="s">
        <v>391</v>
      </c>
      <c r="G4" s="709"/>
      <c r="H4" s="710"/>
      <c r="I4" s="702" t="s">
        <v>410</v>
      </c>
      <c r="J4" s="702"/>
      <c r="K4" s="703"/>
    </row>
    <row r="5" spans="1:11" s="263" customFormat="1" ht="15" x14ac:dyDescent="0.2">
      <c r="A5" s="649"/>
      <c r="B5" s="705"/>
      <c r="C5" s="318" t="s">
        <v>392</v>
      </c>
      <c r="D5" s="476" t="s">
        <v>393</v>
      </c>
      <c r="E5" s="476" t="s">
        <v>526</v>
      </c>
      <c r="F5" s="480" t="s">
        <v>392</v>
      </c>
      <c r="G5" s="481" t="s">
        <v>393</v>
      </c>
      <c r="H5" s="481" t="s">
        <v>526</v>
      </c>
      <c r="I5" s="484" t="s">
        <v>392</v>
      </c>
      <c r="J5" s="485" t="s">
        <v>393</v>
      </c>
      <c r="K5" s="485" t="s">
        <v>526</v>
      </c>
    </row>
    <row r="6" spans="1:11" s="263" customFormat="1" ht="15" x14ac:dyDescent="0.25">
      <c r="A6" s="86">
        <f>Données!A6</f>
        <v>5401</v>
      </c>
      <c r="B6" s="398" t="str">
        <f>Données!B6</f>
        <v>Aigle</v>
      </c>
      <c r="C6" s="260">
        <v>5242465.4664148707</v>
      </c>
      <c r="D6" s="477">
        <f>Synthèse!G5</f>
        <v>4779381.8301891685</v>
      </c>
      <c r="E6" s="478">
        <f>D6-C6</f>
        <v>-463083.63622570224</v>
      </c>
      <c r="F6" s="259">
        <v>-6703272.993908369</v>
      </c>
      <c r="G6" s="482">
        <f>Synthèse!F5</f>
        <v>-4506024.4410090633</v>
      </c>
      <c r="H6" s="482">
        <f>G6-F6</f>
        <v>2197248.5528993057</v>
      </c>
      <c r="I6" s="260">
        <v>367259.43443525274</v>
      </c>
      <c r="J6" s="486">
        <f>Synthèse!H5</f>
        <v>347717.71203473059</v>
      </c>
      <c r="K6" s="486">
        <f>J6-I6</f>
        <v>-19541.722400522151</v>
      </c>
    </row>
    <row r="7" spans="1:11" s="263" customFormat="1" ht="15" x14ac:dyDescent="0.25">
      <c r="A7" s="86">
        <f>Données!A7</f>
        <v>5402</v>
      </c>
      <c r="B7" s="398" t="str">
        <f>Données!B7</f>
        <v>Bex</v>
      </c>
      <c r="C7" s="260">
        <v>3231029.6252428126</v>
      </c>
      <c r="D7" s="477">
        <f>Synthèse!G6</f>
        <v>3156566.4650544017</v>
      </c>
      <c r="E7" s="478">
        <f t="shared" ref="E7:E70" si="0">D7-C7</f>
        <v>-74463.160188410897</v>
      </c>
      <c r="F7" s="259">
        <v>-5797488.9742594687</v>
      </c>
      <c r="G7" s="482">
        <f>Synthèse!F6</f>
        <v>-4258220.9644185472</v>
      </c>
      <c r="H7" s="482">
        <f t="shared" ref="H7:H70" si="1">G7-F7</f>
        <v>1539268.0098409215</v>
      </c>
      <c r="I7" s="260">
        <v>231437.04557181426</v>
      </c>
      <c r="J7" s="486">
        <f>Synthèse!H6</f>
        <v>226546.11505071129</v>
      </c>
      <c r="K7" s="486">
        <f t="shared" ref="K7:K70" si="2">J7-I7</f>
        <v>-4890.9305211029714</v>
      </c>
    </row>
    <row r="8" spans="1:11" s="263" customFormat="1" ht="15" x14ac:dyDescent="0.25">
      <c r="A8" s="86">
        <f>Données!A8</f>
        <v>5403</v>
      </c>
      <c r="B8" s="398" t="str">
        <f>Données!B8</f>
        <v>Chessel</v>
      </c>
      <c r="C8" s="260">
        <v>216364.31626166109</v>
      </c>
      <c r="D8" s="477">
        <f>Synthèse!G7</f>
        <v>173877.8221936679</v>
      </c>
      <c r="E8" s="478">
        <f t="shared" si="0"/>
        <v>-42486.49406799319</v>
      </c>
      <c r="F8" s="259">
        <v>-76698.041396673128</v>
      </c>
      <c r="G8" s="482">
        <f>Synthèse!F7</f>
        <v>-11994.108973925962</v>
      </c>
      <c r="H8" s="482">
        <f t="shared" si="1"/>
        <v>64703.932422747166</v>
      </c>
      <c r="I8" s="260">
        <v>33128.989408220892</v>
      </c>
      <c r="J8" s="486">
        <f>Synthèse!H7</f>
        <v>40042.717315531248</v>
      </c>
      <c r="K8" s="486">
        <f t="shared" si="2"/>
        <v>6913.7279073103564</v>
      </c>
    </row>
    <row r="9" spans="1:11" s="263" customFormat="1" ht="15" x14ac:dyDescent="0.25">
      <c r="A9" s="86">
        <f>Données!A9</f>
        <v>5404</v>
      </c>
      <c r="B9" s="398" t="str">
        <f>Données!B9</f>
        <v>Corbeyrier</v>
      </c>
      <c r="C9" s="260">
        <v>224900.53210058011</v>
      </c>
      <c r="D9" s="477">
        <f>Synthèse!G8</f>
        <v>240436.6856603307</v>
      </c>
      <c r="E9" s="478">
        <f t="shared" si="0"/>
        <v>15536.153559750586</v>
      </c>
      <c r="F9" s="259">
        <v>-174946.23227387224</v>
      </c>
      <c r="G9" s="482">
        <f>Synthèse!F8</f>
        <v>-43979.106797453074</v>
      </c>
      <c r="H9" s="482">
        <f t="shared" si="1"/>
        <v>130967.12547641917</v>
      </c>
      <c r="I9" s="260">
        <v>34631.765026765701</v>
      </c>
      <c r="J9" s="486">
        <f>Synthèse!H8</f>
        <v>34619.810994136067</v>
      </c>
      <c r="K9" s="486">
        <f t="shared" si="2"/>
        <v>-11.95403262963373</v>
      </c>
    </row>
    <row r="10" spans="1:11" s="263" customFormat="1" ht="15" x14ac:dyDescent="0.25">
      <c r="A10" s="86">
        <f>Données!A10</f>
        <v>5405</v>
      </c>
      <c r="B10" s="398" t="str">
        <f>Données!B10</f>
        <v>Gryon</v>
      </c>
      <c r="C10" s="260">
        <v>1485066.8139834227</v>
      </c>
      <c r="D10" s="477">
        <f>Synthèse!G9</f>
        <v>1534568.4400685588</v>
      </c>
      <c r="E10" s="478">
        <f t="shared" si="0"/>
        <v>49501.626085136086</v>
      </c>
      <c r="F10" s="259">
        <v>192392.73232259462</v>
      </c>
      <c r="G10" s="482">
        <f>Synthèse!F9</f>
        <v>1137701.6929653725</v>
      </c>
      <c r="H10" s="482">
        <f t="shared" si="1"/>
        <v>945308.96064277785</v>
      </c>
      <c r="I10" s="260">
        <v>205320.93062854599</v>
      </c>
      <c r="J10" s="486">
        <f>Synthèse!H9</f>
        <v>210033.79266318015</v>
      </c>
      <c r="K10" s="486">
        <f t="shared" si="2"/>
        <v>4712.8620346341631</v>
      </c>
    </row>
    <row r="11" spans="1:11" s="263" customFormat="1" ht="15" x14ac:dyDescent="0.25">
      <c r="A11" s="86">
        <f>Données!A11</f>
        <v>5406</v>
      </c>
      <c r="B11" s="398" t="str">
        <f>Données!B11</f>
        <v>Lavey-Morcles</v>
      </c>
      <c r="C11" s="260">
        <v>423883.55151723477</v>
      </c>
      <c r="D11" s="477">
        <f>Synthèse!G10</f>
        <v>424926.29425514146</v>
      </c>
      <c r="E11" s="478">
        <f t="shared" si="0"/>
        <v>1042.7427379066939</v>
      </c>
      <c r="F11" s="259">
        <v>-319956.52392409765</v>
      </c>
      <c r="G11" s="482">
        <f>Synthèse!F10</f>
        <v>-216581.07410930912</v>
      </c>
      <c r="H11" s="482">
        <f t="shared" si="1"/>
        <v>103375.44981478853</v>
      </c>
      <c r="I11" s="260">
        <v>67397.577960100229</v>
      </c>
      <c r="J11" s="486">
        <f>Synthèse!H10</f>
        <v>65635.409976528943</v>
      </c>
      <c r="K11" s="486">
        <f t="shared" si="2"/>
        <v>-1762.1679835712857</v>
      </c>
    </row>
    <row r="12" spans="1:11" s="263" customFormat="1" ht="15" x14ac:dyDescent="0.25">
      <c r="A12" s="86">
        <f>Données!A12</f>
        <v>5407</v>
      </c>
      <c r="B12" s="398" t="str">
        <f>Données!B12</f>
        <v>Leysin</v>
      </c>
      <c r="C12" s="260">
        <v>1719121.0059753601</v>
      </c>
      <c r="D12" s="477">
        <f>Synthèse!G11</f>
        <v>1522223.7491072789</v>
      </c>
      <c r="E12" s="478">
        <f t="shared" si="0"/>
        <v>-196897.25686808117</v>
      </c>
      <c r="F12" s="259">
        <v>-3002707.9744373988</v>
      </c>
      <c r="G12" s="482">
        <f>Synthèse!F11</f>
        <v>-1749019.0109240308</v>
      </c>
      <c r="H12" s="482">
        <f t="shared" si="1"/>
        <v>1253688.963513368</v>
      </c>
      <c r="I12" s="260">
        <v>275880.78468802915</v>
      </c>
      <c r="J12" s="486">
        <f>Synthèse!H11</f>
        <v>261995.47509932017</v>
      </c>
      <c r="K12" s="486">
        <f t="shared" si="2"/>
        <v>-13885.309588708973</v>
      </c>
    </row>
    <row r="13" spans="1:11" s="263" customFormat="1" ht="15" x14ac:dyDescent="0.25">
      <c r="A13" s="86">
        <f>Données!A13</f>
        <v>5408</v>
      </c>
      <c r="B13" s="398" t="str">
        <f>Données!B13</f>
        <v>Noville</v>
      </c>
      <c r="C13" s="260">
        <v>791520.62295515393</v>
      </c>
      <c r="D13" s="477">
        <f>Synthèse!G12</f>
        <v>616919.96635608468</v>
      </c>
      <c r="E13" s="478">
        <f t="shared" si="0"/>
        <v>-174600.65659906925</v>
      </c>
      <c r="F13" s="259">
        <v>247902.80634150456</v>
      </c>
      <c r="G13" s="482">
        <f>Synthèse!F12</f>
        <v>286641.23066257581</v>
      </c>
      <c r="H13" s="482">
        <f t="shared" si="1"/>
        <v>38738.424321071245</v>
      </c>
      <c r="I13" s="260">
        <v>134401.1745139077</v>
      </c>
      <c r="J13" s="486">
        <f>Synthèse!H12</f>
        <v>123666.59704379812</v>
      </c>
      <c r="K13" s="486">
        <f t="shared" si="2"/>
        <v>-10734.57747010958</v>
      </c>
    </row>
    <row r="14" spans="1:11" s="263" customFormat="1" ht="15" x14ac:dyDescent="0.25">
      <c r="A14" s="86">
        <f>Données!A14</f>
        <v>5409</v>
      </c>
      <c r="B14" s="398" t="str">
        <f>Données!B14</f>
        <v>Ollon</v>
      </c>
      <c r="C14" s="260">
        <v>7924303.2060555108</v>
      </c>
      <c r="D14" s="477">
        <f>Synthèse!G13</f>
        <v>7443378.5928236805</v>
      </c>
      <c r="E14" s="478">
        <f t="shared" si="0"/>
        <v>-480924.6132318303</v>
      </c>
      <c r="F14" s="259">
        <v>1296358.9685021555</v>
      </c>
      <c r="G14" s="482">
        <f>Synthèse!F13</f>
        <v>4073182.65399238</v>
      </c>
      <c r="H14" s="482">
        <f t="shared" si="1"/>
        <v>2776823.6854902245</v>
      </c>
      <c r="I14" s="260">
        <v>503099.7048216018</v>
      </c>
      <c r="J14" s="486">
        <f>Synthèse!H13</f>
        <v>479074.67858170654</v>
      </c>
      <c r="K14" s="486">
        <f t="shared" si="2"/>
        <v>-24025.026239895262</v>
      </c>
    </row>
    <row r="15" spans="1:11" s="263" customFormat="1" ht="15" x14ac:dyDescent="0.25">
      <c r="A15" s="86">
        <f>Données!A15</f>
        <v>5410</v>
      </c>
      <c r="B15" s="398" t="str">
        <f>Données!B15</f>
        <v>Ormont-Dessous</v>
      </c>
      <c r="C15" s="260">
        <v>796542.14642458828</v>
      </c>
      <c r="D15" s="477">
        <f>Synthèse!G14</f>
        <v>706227.40638427949</v>
      </c>
      <c r="E15" s="478">
        <f t="shared" si="0"/>
        <v>-90314.740040308796</v>
      </c>
      <c r="F15" s="259">
        <v>-585574.93709300272</v>
      </c>
      <c r="G15" s="482">
        <f>Synthèse!F14</f>
        <v>102737.66855324781</v>
      </c>
      <c r="H15" s="482">
        <f t="shared" si="1"/>
        <v>688312.60564625054</v>
      </c>
      <c r="I15" s="260">
        <v>119910.12020344642</v>
      </c>
      <c r="J15" s="486">
        <f>Synthèse!H14</f>
        <v>111528.53591714913</v>
      </c>
      <c r="K15" s="486">
        <f t="shared" si="2"/>
        <v>-8381.5842862972931</v>
      </c>
    </row>
    <row r="16" spans="1:11" s="263" customFormat="1" ht="15" x14ac:dyDescent="0.25">
      <c r="A16" s="86">
        <f>Données!A16</f>
        <v>5411</v>
      </c>
      <c r="B16" s="398" t="str">
        <f>Données!B16</f>
        <v>Ormont-Dessus</v>
      </c>
      <c r="C16" s="260">
        <v>1461467.5269063266</v>
      </c>
      <c r="D16" s="477">
        <f>Synthèse!G15</f>
        <v>1596559.6266558808</v>
      </c>
      <c r="E16" s="478">
        <f t="shared" si="0"/>
        <v>135092.09974955418</v>
      </c>
      <c r="F16" s="259">
        <v>88591.652901988942</v>
      </c>
      <c r="G16" s="482">
        <f>Synthèse!F15</f>
        <v>1180282.74258792</v>
      </c>
      <c r="H16" s="482">
        <f t="shared" si="1"/>
        <v>1091691.0896859311</v>
      </c>
      <c r="I16" s="260">
        <v>202068.40214028442</v>
      </c>
      <c r="J16" s="486">
        <f>Synthèse!H15</f>
        <v>217083.21517107065</v>
      </c>
      <c r="K16" s="486">
        <f t="shared" si="2"/>
        <v>15014.81303078623</v>
      </c>
    </row>
    <row r="17" spans="1:11" s="263" customFormat="1" ht="15" x14ac:dyDescent="0.25">
      <c r="A17" s="86">
        <f>Données!A17</f>
        <v>5412</v>
      </c>
      <c r="B17" s="398" t="str">
        <f>Données!B17</f>
        <v>Rennaz</v>
      </c>
      <c r="C17" s="260">
        <v>657071.50747431221</v>
      </c>
      <c r="D17" s="477">
        <f>Synthèse!G16</f>
        <v>802242.41463401238</v>
      </c>
      <c r="E17" s="478">
        <f t="shared" si="0"/>
        <v>145170.90715970017</v>
      </c>
      <c r="F17" s="259">
        <v>-54307.997738743725</v>
      </c>
      <c r="G17" s="482">
        <f>Synthèse!F16</f>
        <v>256543.07997644594</v>
      </c>
      <c r="H17" s="482">
        <f t="shared" si="1"/>
        <v>310851.07771518966</v>
      </c>
      <c r="I17" s="260">
        <v>72381.703665607987</v>
      </c>
      <c r="J17" s="486">
        <f>Synthèse!H16</f>
        <v>92736.249472041745</v>
      </c>
      <c r="K17" s="486">
        <f t="shared" si="2"/>
        <v>20354.545806433758</v>
      </c>
    </row>
    <row r="18" spans="1:11" s="263" customFormat="1" ht="15" x14ac:dyDescent="0.25">
      <c r="A18" s="86">
        <f>Données!A18</f>
        <v>5413</v>
      </c>
      <c r="B18" s="398" t="str">
        <f>Données!B18</f>
        <v>Roche</v>
      </c>
      <c r="C18" s="260">
        <v>922903.41247738898</v>
      </c>
      <c r="D18" s="477">
        <f>Synthèse!G17</f>
        <v>901218.02389351116</v>
      </c>
      <c r="E18" s="478">
        <f t="shared" si="0"/>
        <v>-21685.388583877822</v>
      </c>
      <c r="F18" s="259">
        <v>-214387.67361201195</v>
      </c>
      <c r="G18" s="482">
        <f>Synthèse!F17</f>
        <v>-603783.38295126602</v>
      </c>
      <c r="H18" s="482">
        <f t="shared" si="1"/>
        <v>-389395.70933925407</v>
      </c>
      <c r="I18" s="260">
        <v>148118.73348432482</v>
      </c>
      <c r="J18" s="486">
        <f>Synthèse!H17</f>
        <v>125671.85638731139</v>
      </c>
      <c r="K18" s="486">
        <f t="shared" si="2"/>
        <v>-22446.877097013436</v>
      </c>
    </row>
    <row r="19" spans="1:11" s="263" customFormat="1" ht="15" x14ac:dyDescent="0.25">
      <c r="A19" s="86">
        <f>Données!A19</f>
        <v>5414</v>
      </c>
      <c r="B19" s="398" t="str">
        <f>Données!B19</f>
        <v>Villeneuve</v>
      </c>
      <c r="C19" s="260">
        <v>3206008.0831986954</v>
      </c>
      <c r="D19" s="477">
        <f>Synthèse!G18</f>
        <v>2991786.2995681698</v>
      </c>
      <c r="E19" s="478">
        <f t="shared" si="0"/>
        <v>-214221.78363052569</v>
      </c>
      <c r="F19" s="259">
        <v>-3705109.2820544061</v>
      </c>
      <c r="G19" s="482">
        <f>Synthèse!F18</f>
        <v>-1558994.7098828028</v>
      </c>
      <c r="H19" s="482">
        <f t="shared" si="1"/>
        <v>2146114.5721716033</v>
      </c>
      <c r="I19" s="260">
        <v>483082.67921021965</v>
      </c>
      <c r="J19" s="486">
        <f>Synthèse!H18</f>
        <v>483258.77975832403</v>
      </c>
      <c r="K19" s="486">
        <f t="shared" si="2"/>
        <v>176.10054810438305</v>
      </c>
    </row>
    <row r="20" spans="1:11" s="263" customFormat="1" ht="15" x14ac:dyDescent="0.25">
      <c r="A20" s="86">
        <f>Données!A20</f>
        <v>5415</v>
      </c>
      <c r="B20" s="398" t="str">
        <f>Données!B20</f>
        <v>Yvorne</v>
      </c>
      <c r="C20" s="260">
        <v>740169.38698677777</v>
      </c>
      <c r="D20" s="477">
        <f>Synthèse!G19</f>
        <v>587015.35422385996</v>
      </c>
      <c r="E20" s="478">
        <f t="shared" si="0"/>
        <v>-153154.03276291781</v>
      </c>
      <c r="F20" s="259">
        <v>174261.76155256515</v>
      </c>
      <c r="G20" s="482">
        <f>Synthèse!F19</f>
        <v>97185.487293755985</v>
      </c>
      <c r="H20" s="482">
        <f t="shared" si="1"/>
        <v>-77076.274258809164</v>
      </c>
      <c r="I20" s="260">
        <v>118591.9081232376</v>
      </c>
      <c r="J20" s="486">
        <f>Synthèse!H19</f>
        <v>100366.54831441618</v>
      </c>
      <c r="K20" s="486">
        <f t="shared" si="2"/>
        <v>-18225.35980882142</v>
      </c>
    </row>
    <row r="21" spans="1:11" s="263" customFormat="1" ht="15" x14ac:dyDescent="0.25">
      <c r="A21" s="86">
        <f>Données!A21</f>
        <v>5422</v>
      </c>
      <c r="B21" s="398" t="str">
        <f>Données!B21</f>
        <v>Aubonne</v>
      </c>
      <c r="C21" s="260">
        <v>6122289.0859540235</v>
      </c>
      <c r="D21" s="477">
        <f>Synthèse!G20</f>
        <v>7270396.5294174887</v>
      </c>
      <c r="E21" s="478">
        <f t="shared" si="0"/>
        <v>1148107.4434634652</v>
      </c>
      <c r="F21" s="259">
        <v>3728559.8654237133</v>
      </c>
      <c r="G21" s="482">
        <f>Synthèse!F20</f>
        <v>4454872.3197995806</v>
      </c>
      <c r="H21" s="482">
        <f t="shared" si="1"/>
        <v>726312.45437586727</v>
      </c>
      <c r="I21" s="260">
        <v>652554.24499014835</v>
      </c>
      <c r="J21" s="486">
        <f>Synthèse!H20</f>
        <v>689891.84745923034</v>
      </c>
      <c r="K21" s="486">
        <f t="shared" si="2"/>
        <v>37337.60246908199</v>
      </c>
    </row>
    <row r="22" spans="1:11" s="263" customFormat="1" ht="15" x14ac:dyDescent="0.25">
      <c r="A22" s="86">
        <f>Données!A22</f>
        <v>5423</v>
      </c>
      <c r="B22" s="398" t="str">
        <f>Données!B22</f>
        <v>Ballens</v>
      </c>
      <c r="C22" s="260">
        <v>288667.18738306605</v>
      </c>
      <c r="D22" s="477">
        <f>Synthèse!G21</f>
        <v>310612.50892769074</v>
      </c>
      <c r="E22" s="478">
        <f t="shared" si="0"/>
        <v>21945.32154462469</v>
      </c>
      <c r="F22" s="259">
        <v>-69632.45977488911</v>
      </c>
      <c r="G22" s="482">
        <f>Synthèse!F21</f>
        <v>17755.978851792868</v>
      </c>
      <c r="H22" s="482">
        <f t="shared" si="1"/>
        <v>87388.438626681978</v>
      </c>
      <c r="I22" s="260">
        <v>54023.329669538842</v>
      </c>
      <c r="J22" s="486">
        <f>Synthèse!H21</f>
        <v>52806.8307919051</v>
      </c>
      <c r="K22" s="486">
        <f t="shared" si="2"/>
        <v>-1216.4988776337414</v>
      </c>
    </row>
    <row r="23" spans="1:11" s="263" customFormat="1" ht="15" x14ac:dyDescent="0.25">
      <c r="A23" s="86">
        <f>Données!A23</f>
        <v>5424</v>
      </c>
      <c r="B23" s="398" t="str">
        <f>Données!B23</f>
        <v>Berolle</v>
      </c>
      <c r="C23" s="260">
        <v>155035.42709293289</v>
      </c>
      <c r="D23" s="477">
        <f>Synthèse!G22</f>
        <v>158104.1897340763</v>
      </c>
      <c r="E23" s="478">
        <f t="shared" si="0"/>
        <v>3068.762641143403</v>
      </c>
      <c r="F23" s="259">
        <v>-32348.374050904415</v>
      </c>
      <c r="G23" s="482">
        <f>Synthèse!F22</f>
        <v>54993.01858581329</v>
      </c>
      <c r="H23" s="482">
        <f t="shared" si="1"/>
        <v>87341.392636717705</v>
      </c>
      <c r="I23" s="260">
        <v>28661.82438029677</v>
      </c>
      <c r="J23" s="486">
        <f>Synthèse!H22</f>
        <v>31201.676162586788</v>
      </c>
      <c r="K23" s="486">
        <f t="shared" si="2"/>
        <v>2539.8517822900176</v>
      </c>
    </row>
    <row r="24" spans="1:11" s="263" customFormat="1" ht="15" x14ac:dyDescent="0.25">
      <c r="A24" s="86">
        <f>Données!A24</f>
        <v>5425</v>
      </c>
      <c r="B24" s="398" t="str">
        <f>Données!B24</f>
        <v>Bière</v>
      </c>
      <c r="C24" s="260">
        <v>729791.27281768748</v>
      </c>
      <c r="D24" s="477">
        <f>Synthèse!G23</f>
        <v>610465.04552122077</v>
      </c>
      <c r="E24" s="478">
        <f t="shared" si="0"/>
        <v>-119326.22729646671</v>
      </c>
      <c r="F24" s="259">
        <v>-834062.21192575817</v>
      </c>
      <c r="G24" s="482">
        <f>Synthèse!F23</f>
        <v>-318152.90059435589</v>
      </c>
      <c r="H24" s="482">
        <f t="shared" si="1"/>
        <v>515909.31133140228</v>
      </c>
      <c r="I24" s="260">
        <v>126557.00923295201</v>
      </c>
      <c r="J24" s="486">
        <f>Synthèse!H23</f>
        <v>127413.31649249933</v>
      </c>
      <c r="K24" s="486">
        <f t="shared" si="2"/>
        <v>856.30725954732043</v>
      </c>
    </row>
    <row r="25" spans="1:11" s="263" customFormat="1" ht="15" x14ac:dyDescent="0.25">
      <c r="A25" s="86">
        <f>Données!A25</f>
        <v>5426</v>
      </c>
      <c r="B25" s="398" t="str">
        <f>Données!B25</f>
        <v>Bougy-Villars</v>
      </c>
      <c r="C25" s="260">
        <v>1797524.0274296328</v>
      </c>
      <c r="D25" s="477">
        <f>Synthèse!G24</f>
        <v>2020761.7979258406</v>
      </c>
      <c r="E25" s="478">
        <f t="shared" si="0"/>
        <v>223237.77049620776</v>
      </c>
      <c r="F25" s="259">
        <v>1005987.6425808088</v>
      </c>
      <c r="G25" s="482">
        <f>Synthèse!F24</f>
        <v>1125280.0026492148</v>
      </c>
      <c r="H25" s="482">
        <f t="shared" si="1"/>
        <v>119292.36006840598</v>
      </c>
      <c r="I25" s="260">
        <v>112463.75040766173</v>
      </c>
      <c r="J25" s="486">
        <f>Synthèse!H24</f>
        <v>118320.4027365901</v>
      </c>
      <c r="K25" s="486">
        <f t="shared" si="2"/>
        <v>5856.652328928365</v>
      </c>
    </row>
    <row r="26" spans="1:11" s="263" customFormat="1" ht="15" x14ac:dyDescent="0.25">
      <c r="A26" s="86">
        <f>Données!A26</f>
        <v>5427</v>
      </c>
      <c r="B26" s="398" t="str">
        <f>Données!B26</f>
        <v>Féchy</v>
      </c>
      <c r="C26" s="260">
        <v>1991124.6538460574</v>
      </c>
      <c r="D26" s="477">
        <f>Synthèse!G25</f>
        <v>2222375.8528949213</v>
      </c>
      <c r="E26" s="478">
        <f t="shared" si="0"/>
        <v>231251.19904886396</v>
      </c>
      <c r="F26" s="259">
        <v>1367390.303785661</v>
      </c>
      <c r="G26" s="482">
        <f>Synthèse!F25</f>
        <v>1556055.9131342652</v>
      </c>
      <c r="H26" s="482">
        <f t="shared" si="1"/>
        <v>188665.60934860422</v>
      </c>
      <c r="I26" s="260">
        <v>173470.10905935982</v>
      </c>
      <c r="J26" s="486">
        <f>Synthèse!H25</f>
        <v>181818.77818013303</v>
      </c>
      <c r="K26" s="486">
        <f t="shared" si="2"/>
        <v>8348.6691207732074</v>
      </c>
    </row>
    <row r="27" spans="1:11" s="263" customFormat="1" ht="15" x14ac:dyDescent="0.25">
      <c r="A27" s="86">
        <f>Données!A27</f>
        <v>5428</v>
      </c>
      <c r="B27" s="398" t="str">
        <f>Données!B27</f>
        <v>Gimel</v>
      </c>
      <c r="C27" s="260">
        <v>1517092.4699799786</v>
      </c>
      <c r="D27" s="477">
        <f>Synthèse!G26</f>
        <v>1279034.3093786244</v>
      </c>
      <c r="E27" s="478">
        <f t="shared" si="0"/>
        <v>-238058.1606013542</v>
      </c>
      <c r="F27" s="259">
        <v>-291406.38345688232</v>
      </c>
      <c r="G27" s="482">
        <f>Synthèse!F26</f>
        <v>-280396.51847928669</v>
      </c>
      <c r="H27" s="482">
        <f t="shared" si="1"/>
        <v>11009.864977595629</v>
      </c>
      <c r="I27" s="260">
        <v>220404.90305601398</v>
      </c>
      <c r="J27" s="486">
        <f>Synthèse!H26</f>
        <v>214826.4300186722</v>
      </c>
      <c r="K27" s="486">
        <f t="shared" si="2"/>
        <v>-5578.4730373417842</v>
      </c>
    </row>
    <row r="28" spans="1:11" s="263" customFormat="1" ht="15" x14ac:dyDescent="0.25">
      <c r="A28" s="86">
        <f>Données!A28</f>
        <v>5429</v>
      </c>
      <c r="B28" s="398" t="str">
        <f>Données!B28</f>
        <v>Longirod</v>
      </c>
      <c r="C28" s="260">
        <v>282272.58096702071</v>
      </c>
      <c r="D28" s="477">
        <f>Synthèse!G27</f>
        <v>260400.78729858942</v>
      </c>
      <c r="E28" s="478">
        <f t="shared" si="0"/>
        <v>-21871.793668431288</v>
      </c>
      <c r="F28" s="259">
        <v>-35055.121151518193</v>
      </c>
      <c r="G28" s="482">
        <f>Synthèse!F27</f>
        <v>40562.43349737383</v>
      </c>
      <c r="H28" s="482">
        <f t="shared" si="1"/>
        <v>75617.554648892023</v>
      </c>
      <c r="I28" s="260">
        <v>50414.881510302985</v>
      </c>
      <c r="J28" s="486">
        <f>Synthèse!H27</f>
        <v>51612.613418187269</v>
      </c>
      <c r="K28" s="486">
        <f t="shared" si="2"/>
        <v>1197.7319078842847</v>
      </c>
    </row>
    <row r="29" spans="1:11" s="263" customFormat="1" ht="15" x14ac:dyDescent="0.25">
      <c r="A29" s="86">
        <f>Données!A29</f>
        <v>5430</v>
      </c>
      <c r="B29" s="398" t="str">
        <f>Données!B29</f>
        <v>Marchissy</v>
      </c>
      <c r="C29" s="260">
        <v>260750.61810218601</v>
      </c>
      <c r="D29" s="477">
        <f>Synthèse!G28</f>
        <v>260078.70108699036</v>
      </c>
      <c r="E29" s="478">
        <f t="shared" si="0"/>
        <v>-671.91701519564958</v>
      </c>
      <c r="F29" s="259">
        <v>-319837.57184691541</v>
      </c>
      <c r="G29" s="482">
        <f>Synthèse!F28</f>
        <v>92636.974411996052</v>
      </c>
      <c r="H29" s="482">
        <f t="shared" si="1"/>
        <v>412474.54625891149</v>
      </c>
      <c r="I29" s="260">
        <v>46452.486838864905</v>
      </c>
      <c r="J29" s="486">
        <f>Synthèse!H28</f>
        <v>52033.075943755524</v>
      </c>
      <c r="K29" s="486">
        <f t="shared" si="2"/>
        <v>5580.5891048906196</v>
      </c>
    </row>
    <row r="30" spans="1:11" s="263" customFormat="1" ht="15" x14ac:dyDescent="0.25">
      <c r="A30" s="86">
        <f>Données!A30</f>
        <v>5431</v>
      </c>
      <c r="B30" s="398" t="str">
        <f>Données!B30</f>
        <v>Mollens</v>
      </c>
      <c r="C30" s="260">
        <v>222922.95040311391</v>
      </c>
      <c r="D30" s="477">
        <f>Synthèse!G29</f>
        <v>139478.73920889135</v>
      </c>
      <c r="E30" s="478">
        <f t="shared" si="0"/>
        <v>-83444.21119422256</v>
      </c>
      <c r="F30" s="259">
        <v>-65470.344534831587</v>
      </c>
      <c r="G30" s="482">
        <f>Synthèse!F29</f>
        <v>4051.1554338497517</v>
      </c>
      <c r="H30" s="482">
        <f t="shared" si="1"/>
        <v>69521.499968681339</v>
      </c>
      <c r="I30" s="260">
        <v>29328.741340773428</v>
      </c>
      <c r="J30" s="486">
        <f>Synthèse!H29</f>
        <v>28638.235655061908</v>
      </c>
      <c r="K30" s="486">
        <f t="shared" si="2"/>
        <v>-690.50568571151962</v>
      </c>
    </row>
    <row r="31" spans="1:11" s="263" customFormat="1" ht="15" x14ac:dyDescent="0.25">
      <c r="A31" s="86">
        <f>Données!A31</f>
        <v>5434</v>
      </c>
      <c r="B31" s="398" t="str">
        <f>Données!B31</f>
        <v>Saint-George</v>
      </c>
      <c r="C31" s="260">
        <v>710604.82244556118</v>
      </c>
      <c r="D31" s="477">
        <f>Synthèse!G30</f>
        <v>818544.74917459267</v>
      </c>
      <c r="E31" s="478">
        <f t="shared" si="0"/>
        <v>107939.92672903149</v>
      </c>
      <c r="F31" s="259">
        <v>406978.94625167584</v>
      </c>
      <c r="G31" s="482">
        <f>Synthèse!F30</f>
        <v>429563.46370221139</v>
      </c>
      <c r="H31" s="482">
        <f t="shared" si="1"/>
        <v>22584.517450535554</v>
      </c>
      <c r="I31" s="260">
        <v>127508.55538594126</v>
      </c>
      <c r="J31" s="486">
        <f>Synthèse!H30</f>
        <v>123520.33672530056</v>
      </c>
      <c r="K31" s="486">
        <f t="shared" si="2"/>
        <v>-3988.2186606407049</v>
      </c>
    </row>
    <row r="32" spans="1:11" s="263" customFormat="1" ht="15" x14ac:dyDescent="0.25">
      <c r="A32" s="86">
        <f>Données!A32</f>
        <v>5435</v>
      </c>
      <c r="B32" s="398" t="str">
        <f>Données!B32</f>
        <v>Saint-Livres</v>
      </c>
      <c r="C32" s="260">
        <v>454252.25768077187</v>
      </c>
      <c r="D32" s="477">
        <f>Synthèse!G31</f>
        <v>477396.42430491594</v>
      </c>
      <c r="E32" s="478">
        <f t="shared" si="0"/>
        <v>23144.166624144069</v>
      </c>
      <c r="F32" s="259">
        <v>280432.95334485662</v>
      </c>
      <c r="G32" s="482">
        <f>Synthèse!F31</f>
        <v>240110.50317230279</v>
      </c>
      <c r="H32" s="482">
        <f t="shared" si="1"/>
        <v>-40322.450172553828</v>
      </c>
      <c r="I32" s="260">
        <v>83092.100472107675</v>
      </c>
      <c r="J32" s="486">
        <f>Synthèse!H31</f>
        <v>77092.089452381144</v>
      </c>
      <c r="K32" s="486">
        <f t="shared" si="2"/>
        <v>-6000.0110197265312</v>
      </c>
    </row>
    <row r="33" spans="1:11" s="263" customFormat="1" ht="15" x14ac:dyDescent="0.25">
      <c r="A33" s="86">
        <f>Données!A33</f>
        <v>5436</v>
      </c>
      <c r="B33" s="398" t="str">
        <f>Données!B33</f>
        <v>Saint-Oyens</v>
      </c>
      <c r="C33" s="260">
        <v>275518.99826225184</v>
      </c>
      <c r="D33" s="477">
        <f>Synthèse!G32</f>
        <v>213347.94036360169</v>
      </c>
      <c r="E33" s="478">
        <f t="shared" si="0"/>
        <v>-62171.05789865015</v>
      </c>
      <c r="F33" s="259">
        <v>144976.36115026832</v>
      </c>
      <c r="G33" s="482">
        <f>Synthèse!F32</f>
        <v>115367.01367871414</v>
      </c>
      <c r="H33" s="482">
        <f t="shared" si="1"/>
        <v>-29609.347471554182</v>
      </c>
      <c r="I33" s="260">
        <v>53019.228806817497</v>
      </c>
      <c r="J33" s="486">
        <f>Synthèse!H32</f>
        <v>49900.742092652901</v>
      </c>
      <c r="K33" s="486">
        <f t="shared" si="2"/>
        <v>-3118.4867141645955</v>
      </c>
    </row>
    <row r="34" spans="1:11" s="263" customFormat="1" ht="15" x14ac:dyDescent="0.25">
      <c r="A34" s="86">
        <f>Données!A34</f>
        <v>5437</v>
      </c>
      <c r="B34" s="398" t="str">
        <f>Données!B34</f>
        <v>Saubraz</v>
      </c>
      <c r="C34" s="260">
        <v>249107.48338628683</v>
      </c>
      <c r="D34" s="477">
        <f>Synthèse!G33</f>
        <v>225977.54433987406</v>
      </c>
      <c r="E34" s="478">
        <f t="shared" si="0"/>
        <v>-23129.939046412765</v>
      </c>
      <c r="F34" s="259">
        <v>31510.625403960265</v>
      </c>
      <c r="G34" s="482">
        <f>Synthèse!F33</f>
        <v>-71122.938292517298</v>
      </c>
      <c r="H34" s="482">
        <f t="shared" si="1"/>
        <v>-102633.56369647756</v>
      </c>
      <c r="I34" s="260">
        <v>42316.044097670157</v>
      </c>
      <c r="J34" s="486">
        <f>Synthèse!H33</f>
        <v>36576.3768898708</v>
      </c>
      <c r="K34" s="486">
        <f t="shared" si="2"/>
        <v>-5739.6672077993571</v>
      </c>
    </row>
    <row r="35" spans="1:11" s="263" customFormat="1" ht="15" x14ac:dyDescent="0.25">
      <c r="A35" s="86">
        <f>Données!A35</f>
        <v>5451</v>
      </c>
      <c r="B35" s="398" t="str">
        <f>Données!B35</f>
        <v>Avenches</v>
      </c>
      <c r="C35" s="260">
        <v>2355854.8104043007</v>
      </c>
      <c r="D35" s="477">
        <f>Synthèse!G34</f>
        <v>2263185.6519300975</v>
      </c>
      <c r="E35" s="478">
        <f t="shared" si="0"/>
        <v>-92669.158474203199</v>
      </c>
      <c r="F35" s="259">
        <v>-1833852.434519581</v>
      </c>
      <c r="G35" s="482">
        <f>Synthèse!F34</f>
        <v>-491078.60577428108</v>
      </c>
      <c r="H35" s="482">
        <f t="shared" si="1"/>
        <v>1342773.8287453</v>
      </c>
      <c r="I35" s="260">
        <v>390274.70574682317</v>
      </c>
      <c r="J35" s="486">
        <f>Synthèse!H34</f>
        <v>419631.67554712627</v>
      </c>
      <c r="K35" s="486">
        <f t="shared" si="2"/>
        <v>29356.969800303108</v>
      </c>
    </row>
    <row r="36" spans="1:11" s="263" customFormat="1" ht="15" x14ac:dyDescent="0.25">
      <c r="A36" s="86">
        <f>Données!A36</f>
        <v>5456</v>
      </c>
      <c r="B36" s="398" t="str">
        <f>Données!B36</f>
        <v>Cudrefin</v>
      </c>
      <c r="C36" s="260">
        <v>1120125.0417215058</v>
      </c>
      <c r="D36" s="477">
        <f>Synthèse!G35</f>
        <v>1069956.6656406117</v>
      </c>
      <c r="E36" s="478">
        <f t="shared" si="0"/>
        <v>-50168.376080894144</v>
      </c>
      <c r="F36" s="259">
        <v>351476.00246037485</v>
      </c>
      <c r="G36" s="482">
        <f>Synthèse!F35</f>
        <v>411836.57682225853</v>
      </c>
      <c r="H36" s="482">
        <f t="shared" si="1"/>
        <v>60360.574361883686</v>
      </c>
      <c r="I36" s="260">
        <v>200142.22986859633</v>
      </c>
      <c r="J36" s="486">
        <f>Synthèse!H35</f>
        <v>190860.59435111468</v>
      </c>
      <c r="K36" s="486">
        <f t="shared" si="2"/>
        <v>-9281.6355174816563</v>
      </c>
    </row>
    <row r="37" spans="1:11" s="263" customFormat="1" ht="15" x14ac:dyDescent="0.25">
      <c r="A37" s="86">
        <f>Données!A37</f>
        <v>5458</v>
      </c>
      <c r="B37" s="398" t="str">
        <f>Données!B37</f>
        <v>Faoug</v>
      </c>
      <c r="C37" s="260">
        <v>552624.55956653424</v>
      </c>
      <c r="D37" s="477">
        <f>Synthèse!G36</f>
        <v>461279.38476306357</v>
      </c>
      <c r="E37" s="478">
        <f t="shared" si="0"/>
        <v>-91345.174803470669</v>
      </c>
      <c r="F37" s="259">
        <v>254131.60044745239</v>
      </c>
      <c r="G37" s="482">
        <f>Synthèse!F36</f>
        <v>321651.82383413595</v>
      </c>
      <c r="H37" s="482">
        <f t="shared" si="1"/>
        <v>67520.22338668356</v>
      </c>
      <c r="I37" s="260">
        <v>99166.884950747204</v>
      </c>
      <c r="J37" s="486">
        <f>Synthèse!H36</f>
        <v>97419.084991937067</v>
      </c>
      <c r="K37" s="486">
        <f t="shared" si="2"/>
        <v>-1747.7999588101375</v>
      </c>
    </row>
    <row r="38" spans="1:11" s="263" customFormat="1" ht="15" x14ac:dyDescent="0.25">
      <c r="A38" s="86">
        <f>Données!A38</f>
        <v>5464</v>
      </c>
      <c r="B38" s="398" t="str">
        <f>Données!B38</f>
        <v>Vully-les-Lacs</v>
      </c>
      <c r="C38" s="260">
        <v>1861546.754502502</v>
      </c>
      <c r="D38" s="477">
        <f>Synthèse!G37</f>
        <v>1892188.7181008596</v>
      </c>
      <c r="E38" s="478">
        <f t="shared" si="0"/>
        <v>30641.963598357514</v>
      </c>
      <c r="F38" s="259">
        <v>7773.9499026024714</v>
      </c>
      <c r="G38" s="482">
        <f>Synthèse!F37</f>
        <v>169991.43308848562</v>
      </c>
      <c r="H38" s="482">
        <f t="shared" si="1"/>
        <v>162217.48318588315</v>
      </c>
      <c r="I38" s="260">
        <v>346660.46824178181</v>
      </c>
      <c r="J38" s="486">
        <f>Synthèse!H37</f>
        <v>352460.0735510852</v>
      </c>
      <c r="K38" s="486">
        <f t="shared" si="2"/>
        <v>5799.6053093033843</v>
      </c>
    </row>
    <row r="39" spans="1:11" s="263" customFormat="1" ht="15" x14ac:dyDescent="0.25">
      <c r="A39" s="86">
        <f>Données!A39</f>
        <v>5471</v>
      </c>
      <c r="B39" s="398" t="str">
        <f>Données!B39</f>
        <v>Bettens</v>
      </c>
      <c r="C39" s="260">
        <v>332843.57883435488</v>
      </c>
      <c r="D39" s="477">
        <f>Synthèse!G38</f>
        <v>302640.88608848926</v>
      </c>
      <c r="E39" s="478">
        <f t="shared" si="0"/>
        <v>-30202.692745865614</v>
      </c>
      <c r="F39" s="259">
        <v>113519.74783865782</v>
      </c>
      <c r="G39" s="482">
        <f>Synthèse!F38</f>
        <v>179749.85950795785</v>
      </c>
      <c r="H39" s="482">
        <f t="shared" si="1"/>
        <v>66230.111669300037</v>
      </c>
      <c r="I39" s="260">
        <v>63240.155996082234</v>
      </c>
      <c r="J39" s="486">
        <f>Synthèse!H38</f>
        <v>68124.885488906642</v>
      </c>
      <c r="K39" s="486">
        <f t="shared" si="2"/>
        <v>4884.7294928244082</v>
      </c>
    </row>
    <row r="40" spans="1:11" s="263" customFormat="1" ht="15" x14ac:dyDescent="0.25">
      <c r="A40" s="86">
        <f>Données!A40</f>
        <v>5472</v>
      </c>
      <c r="B40" s="398" t="str">
        <f>Données!B40</f>
        <v>Bournens</v>
      </c>
      <c r="C40" s="260">
        <v>381210.07332930091</v>
      </c>
      <c r="D40" s="477">
        <f>Synthèse!G39</f>
        <v>304172.62123797974</v>
      </c>
      <c r="E40" s="478">
        <f t="shared" si="0"/>
        <v>-77037.452091321175</v>
      </c>
      <c r="F40" s="259">
        <v>257890.77221236259</v>
      </c>
      <c r="G40" s="482">
        <f>Synthèse!F39</f>
        <v>226337.19543342057</v>
      </c>
      <c r="H40" s="482">
        <f t="shared" si="1"/>
        <v>-31553.576778942021</v>
      </c>
      <c r="I40" s="260">
        <v>63749.886279401486</v>
      </c>
      <c r="J40" s="486">
        <f>Synthèse!H39</f>
        <v>60098.923350209399</v>
      </c>
      <c r="K40" s="486">
        <f t="shared" si="2"/>
        <v>-3650.9629291920864</v>
      </c>
    </row>
    <row r="41" spans="1:11" s="263" customFormat="1" ht="15" x14ac:dyDescent="0.25">
      <c r="A41" s="86">
        <f>Données!A41</f>
        <v>5473</v>
      </c>
      <c r="B41" s="398" t="str">
        <f>Données!B41</f>
        <v>Boussens</v>
      </c>
      <c r="C41" s="260">
        <v>599926.41297257412</v>
      </c>
      <c r="D41" s="477">
        <f>Synthèse!G40</f>
        <v>600197.21328168397</v>
      </c>
      <c r="E41" s="478">
        <f t="shared" si="0"/>
        <v>270.80030910985079</v>
      </c>
      <c r="F41" s="259">
        <v>447414.33390004694</v>
      </c>
      <c r="G41" s="482">
        <f>Synthèse!F40</f>
        <v>554106.01826396026</v>
      </c>
      <c r="H41" s="482">
        <f t="shared" si="1"/>
        <v>106691.68436391331</v>
      </c>
      <c r="I41" s="260">
        <v>118674.8318406403</v>
      </c>
      <c r="J41" s="486">
        <f>Synthèse!H40</f>
        <v>127485.09677928992</v>
      </c>
      <c r="K41" s="486">
        <f t="shared" si="2"/>
        <v>8810.2649386496196</v>
      </c>
    </row>
    <row r="42" spans="1:11" s="263" customFormat="1" ht="15" x14ac:dyDescent="0.25">
      <c r="A42" s="86">
        <f>Données!A42</f>
        <v>5474</v>
      </c>
      <c r="B42" s="398" t="str">
        <f>Données!B42</f>
        <v>La Chaux (Cossonay)</v>
      </c>
      <c r="C42" s="260">
        <v>246730.45868299159</v>
      </c>
      <c r="D42" s="477">
        <f>Synthèse!G41</f>
        <v>206866.40462813972</v>
      </c>
      <c r="E42" s="478">
        <f t="shared" si="0"/>
        <v>-39864.054054851877</v>
      </c>
      <c r="F42" s="259">
        <v>-133917.44749063786</v>
      </c>
      <c r="G42" s="482">
        <f>Synthèse!F41</f>
        <v>72386.080163151724</v>
      </c>
      <c r="H42" s="482">
        <f t="shared" si="1"/>
        <v>206303.52765378958</v>
      </c>
      <c r="I42" s="260">
        <v>41540.394103663362</v>
      </c>
      <c r="J42" s="486">
        <f>Synthèse!H41</f>
        <v>42121.910625612902</v>
      </c>
      <c r="K42" s="486">
        <f t="shared" si="2"/>
        <v>581.51652194953931</v>
      </c>
    </row>
    <row r="43" spans="1:11" s="263" customFormat="1" ht="15" x14ac:dyDescent="0.25">
      <c r="A43" s="86">
        <f>Données!A43</f>
        <v>5475</v>
      </c>
      <c r="B43" s="398" t="str">
        <f>Données!B43</f>
        <v>Chavannes-le-Veyron</v>
      </c>
      <c r="C43" s="260">
        <v>68333.139234620292</v>
      </c>
      <c r="D43" s="477">
        <f>Synthèse!G42</f>
        <v>61168.187007573768</v>
      </c>
      <c r="E43" s="478">
        <f t="shared" si="0"/>
        <v>-7164.9522270465241</v>
      </c>
      <c r="F43" s="259">
        <v>-50361.131244818665</v>
      </c>
      <c r="G43" s="482">
        <f>Synthèse!F42</f>
        <v>-19401.030280788123</v>
      </c>
      <c r="H43" s="482">
        <f t="shared" si="1"/>
        <v>30960.100964030542</v>
      </c>
      <c r="I43" s="260">
        <v>12168.361699155083</v>
      </c>
      <c r="J43" s="486">
        <f>Synthèse!H42</f>
        <v>12982.484347565</v>
      </c>
      <c r="K43" s="486">
        <f t="shared" si="2"/>
        <v>814.12264840991702</v>
      </c>
    </row>
    <row r="44" spans="1:11" s="263" customFormat="1" ht="15" x14ac:dyDescent="0.25">
      <c r="A44" s="86">
        <f>Données!A44</f>
        <v>5476</v>
      </c>
      <c r="B44" s="398" t="str">
        <f>Données!B44</f>
        <v>Chevilly</v>
      </c>
      <c r="C44" s="260">
        <v>179509.37153512862</v>
      </c>
      <c r="D44" s="477">
        <f>Synthèse!G43</f>
        <v>187130.82096642337</v>
      </c>
      <c r="E44" s="478">
        <f t="shared" si="0"/>
        <v>7621.44943129475</v>
      </c>
      <c r="F44" s="259">
        <v>122028.68988308719</v>
      </c>
      <c r="G44" s="482">
        <f>Synthèse!F43</f>
        <v>165701.8046663517</v>
      </c>
      <c r="H44" s="482">
        <f t="shared" si="1"/>
        <v>43673.114783264507</v>
      </c>
      <c r="I44" s="260">
        <v>37348.641085375624</v>
      </c>
      <c r="J44" s="486">
        <f>Synthèse!H43</f>
        <v>41401.229716389375</v>
      </c>
      <c r="K44" s="486">
        <f t="shared" si="2"/>
        <v>4052.5886310137503</v>
      </c>
    </row>
    <row r="45" spans="1:11" s="263" customFormat="1" ht="15" x14ac:dyDescent="0.25">
      <c r="A45" s="86">
        <f>Données!A45</f>
        <v>5477</v>
      </c>
      <c r="B45" s="398" t="str">
        <f>Données!B45</f>
        <v>Cossonay</v>
      </c>
      <c r="C45" s="260">
        <v>2469795.8665449321</v>
      </c>
      <c r="D45" s="477">
        <f>Synthèse!G44</f>
        <v>2531861.032729472</v>
      </c>
      <c r="E45" s="478">
        <f t="shared" si="0"/>
        <v>62065.166184539907</v>
      </c>
      <c r="F45" s="259">
        <v>-1463741.761557695</v>
      </c>
      <c r="G45" s="482">
        <f>Synthèse!F44</f>
        <v>210312.23114151368</v>
      </c>
      <c r="H45" s="482">
        <f t="shared" si="1"/>
        <v>1674053.9926992087</v>
      </c>
      <c r="I45" s="260">
        <v>369982.43018344359</v>
      </c>
      <c r="J45" s="486">
        <f>Synthèse!H44</f>
        <v>458141.83778015897</v>
      </c>
      <c r="K45" s="486">
        <f t="shared" si="2"/>
        <v>88159.407596715377</v>
      </c>
    </row>
    <row r="46" spans="1:11" s="263" customFormat="1" ht="15" x14ac:dyDescent="0.25">
      <c r="A46" s="86">
        <f>Données!A46</f>
        <v>5479</v>
      </c>
      <c r="B46" s="398" t="str">
        <f>Données!B46</f>
        <v>Cuarnens</v>
      </c>
      <c r="C46" s="260">
        <v>347450.57264261629</v>
      </c>
      <c r="D46" s="477">
        <f>Synthèse!G45</f>
        <v>224947.71499829073</v>
      </c>
      <c r="E46" s="478">
        <f t="shared" si="0"/>
        <v>-122502.85764432556</v>
      </c>
      <c r="F46" s="259">
        <v>41982.284630210197</v>
      </c>
      <c r="G46" s="482">
        <f>Synthèse!F45</f>
        <v>-81059.476251118525</v>
      </c>
      <c r="H46" s="482">
        <f t="shared" si="1"/>
        <v>-123041.76088132872</v>
      </c>
      <c r="I46" s="260">
        <v>57214.26373311998</v>
      </c>
      <c r="J46" s="486">
        <f>Synthèse!H45</f>
        <v>43030.439383543679</v>
      </c>
      <c r="K46" s="486">
        <f t="shared" si="2"/>
        <v>-14183.824349576302</v>
      </c>
    </row>
    <row r="47" spans="1:11" s="263" customFormat="1" ht="15" x14ac:dyDescent="0.25">
      <c r="A47" s="86">
        <f>Données!A47</f>
        <v>5480</v>
      </c>
      <c r="B47" s="398" t="str">
        <f>Données!B47</f>
        <v>Daillens</v>
      </c>
      <c r="C47" s="260">
        <v>764641.25096023863</v>
      </c>
      <c r="D47" s="477">
        <f>Synthèse!G46</f>
        <v>938144.06296251668</v>
      </c>
      <c r="E47" s="478">
        <f t="shared" si="0"/>
        <v>173502.81200227805</v>
      </c>
      <c r="F47" s="259">
        <v>80688.149181118119</v>
      </c>
      <c r="G47" s="482">
        <f>Synthèse!F46</f>
        <v>523237.0351379973</v>
      </c>
      <c r="H47" s="482">
        <f t="shared" si="1"/>
        <v>442548.88595687918</v>
      </c>
      <c r="I47" s="260">
        <v>125278.19785615707</v>
      </c>
      <c r="J47" s="486">
        <f>Synthèse!H46</f>
        <v>125417.76530268609</v>
      </c>
      <c r="K47" s="486">
        <f t="shared" si="2"/>
        <v>139.56744652902125</v>
      </c>
    </row>
    <row r="48" spans="1:11" s="263" customFormat="1" ht="15" x14ac:dyDescent="0.25">
      <c r="A48" s="86">
        <f>Données!A48</f>
        <v>5481</v>
      </c>
      <c r="B48" s="398" t="str">
        <f>Données!B48</f>
        <v>Dizy</v>
      </c>
      <c r="C48" s="260">
        <v>122194.04165642547</v>
      </c>
      <c r="D48" s="477">
        <f>Synthèse!G47</f>
        <v>121117.30514058661</v>
      </c>
      <c r="E48" s="478">
        <f t="shared" si="0"/>
        <v>-1076.7365158388566</v>
      </c>
      <c r="F48" s="259">
        <v>48304.957214576192</v>
      </c>
      <c r="G48" s="482">
        <f>Synthèse!F47</f>
        <v>73959.111089197177</v>
      </c>
      <c r="H48" s="482">
        <f t="shared" si="1"/>
        <v>25654.153874620984</v>
      </c>
      <c r="I48" s="260">
        <v>25653.299918896875</v>
      </c>
      <c r="J48" s="486">
        <f>Synthèse!H47</f>
        <v>26154.626843438458</v>
      </c>
      <c r="K48" s="486">
        <f t="shared" si="2"/>
        <v>501.32692454158314</v>
      </c>
    </row>
    <row r="49" spans="1:11" s="263" customFormat="1" ht="15" x14ac:dyDescent="0.25">
      <c r="A49" s="86">
        <f>Données!A49</f>
        <v>5482</v>
      </c>
      <c r="B49" s="398" t="str">
        <f>Données!B49</f>
        <v>Eclépens</v>
      </c>
      <c r="C49" s="260">
        <v>1325385.1495779678</v>
      </c>
      <c r="D49" s="477">
        <f>Synthèse!G48</f>
        <v>782843.17253862415</v>
      </c>
      <c r="E49" s="478">
        <f t="shared" si="0"/>
        <v>-542541.97703934368</v>
      </c>
      <c r="F49" s="259">
        <v>1148908.6804384768</v>
      </c>
      <c r="G49" s="482">
        <f>Synthèse!F48</f>
        <v>644467.31959724938</v>
      </c>
      <c r="H49" s="482">
        <f t="shared" si="1"/>
        <v>-504441.36084122746</v>
      </c>
      <c r="I49" s="260">
        <v>194811.38912606833</v>
      </c>
      <c r="J49" s="486">
        <f>Synthèse!H48</f>
        <v>133527.61313673609</v>
      </c>
      <c r="K49" s="486">
        <f t="shared" si="2"/>
        <v>-61283.775989332236</v>
      </c>
    </row>
    <row r="50" spans="1:11" s="263" customFormat="1" ht="15" x14ac:dyDescent="0.25">
      <c r="A50" s="86">
        <f>Données!A50</f>
        <v>5483</v>
      </c>
      <c r="B50" s="398" t="str">
        <f>Données!B50</f>
        <v>Ferreyres</v>
      </c>
      <c r="C50" s="260">
        <v>167538.99940440926</v>
      </c>
      <c r="D50" s="477">
        <f>Synthèse!G49</f>
        <v>125526.88161477886</v>
      </c>
      <c r="E50" s="478">
        <f t="shared" si="0"/>
        <v>-42012.1177896304</v>
      </c>
      <c r="F50" s="259">
        <v>77403.85930484577</v>
      </c>
      <c r="G50" s="482">
        <f>Synthèse!F49</f>
        <v>50774.578368549701</v>
      </c>
      <c r="H50" s="482">
        <f t="shared" si="1"/>
        <v>-26629.280936296069</v>
      </c>
      <c r="I50" s="260">
        <v>34111.362507308979</v>
      </c>
      <c r="J50" s="486">
        <f>Synthèse!H49</f>
        <v>31120.575375261535</v>
      </c>
      <c r="K50" s="486">
        <f t="shared" si="2"/>
        <v>-2990.7871320474442</v>
      </c>
    </row>
    <row r="51" spans="1:11" s="263" customFormat="1" ht="15" x14ac:dyDescent="0.25">
      <c r="A51" s="86">
        <f>Données!A51</f>
        <v>5484</v>
      </c>
      <c r="B51" s="398" t="str">
        <f>Données!B51</f>
        <v>Gollion</v>
      </c>
      <c r="C51" s="260">
        <v>622932.80999315449</v>
      </c>
      <c r="D51" s="477">
        <f>Synthèse!G50</f>
        <v>490719.67122983251</v>
      </c>
      <c r="E51" s="478">
        <f t="shared" si="0"/>
        <v>-132213.13876332197</v>
      </c>
      <c r="F51" s="259">
        <v>87437.943745140336</v>
      </c>
      <c r="G51" s="482">
        <f>Synthèse!F50</f>
        <v>97887.886363866739</v>
      </c>
      <c r="H51" s="482">
        <f t="shared" si="1"/>
        <v>10449.942618726403</v>
      </c>
      <c r="I51" s="260">
        <v>109995.29555552419</v>
      </c>
      <c r="J51" s="486">
        <f>Synthèse!H50</f>
        <v>98189.843145437175</v>
      </c>
      <c r="K51" s="486">
        <f t="shared" si="2"/>
        <v>-11805.452410087019</v>
      </c>
    </row>
    <row r="52" spans="1:11" s="263" customFormat="1" ht="15" x14ac:dyDescent="0.25">
      <c r="A52" s="86">
        <f>Données!A52</f>
        <v>5485</v>
      </c>
      <c r="B52" s="398" t="str">
        <f>Données!B52</f>
        <v>Grancy</v>
      </c>
      <c r="C52" s="260">
        <v>293580.10554635664</v>
      </c>
      <c r="D52" s="477">
        <f>Synthèse!G51</f>
        <v>261861.06370212603</v>
      </c>
      <c r="E52" s="478">
        <f t="shared" si="0"/>
        <v>-31719.041844230611</v>
      </c>
      <c r="F52" s="259">
        <v>104017.2829479221</v>
      </c>
      <c r="G52" s="482">
        <f>Synthèse!F51</f>
        <v>207457.11548407446</v>
      </c>
      <c r="H52" s="482">
        <f t="shared" si="1"/>
        <v>103439.83253615236</v>
      </c>
      <c r="I52" s="260">
        <v>45693.846803618464</v>
      </c>
      <c r="J52" s="486">
        <f>Synthèse!H51</f>
        <v>57690.516407191579</v>
      </c>
      <c r="K52" s="486">
        <f t="shared" si="2"/>
        <v>11996.669603573115</v>
      </c>
    </row>
    <row r="53" spans="1:11" s="263" customFormat="1" ht="15" x14ac:dyDescent="0.25">
      <c r="A53" s="86">
        <f>Données!A53</f>
        <v>5486</v>
      </c>
      <c r="B53" s="398" t="str">
        <f>Données!B53</f>
        <v>L'Isle</v>
      </c>
      <c r="C53" s="260">
        <v>619068.30208066525</v>
      </c>
      <c r="D53" s="477">
        <f>Synthèse!G52</f>
        <v>586276.54956467333</v>
      </c>
      <c r="E53" s="478">
        <f t="shared" si="0"/>
        <v>-32791.752515991917</v>
      </c>
      <c r="F53" s="259">
        <v>36580.652857852401</v>
      </c>
      <c r="G53" s="482">
        <f>Synthèse!F52</f>
        <v>93089.426279159728</v>
      </c>
      <c r="H53" s="482">
        <f t="shared" si="1"/>
        <v>56508.773421307327</v>
      </c>
      <c r="I53" s="260">
        <v>117944.80725937127</v>
      </c>
      <c r="J53" s="486">
        <f>Synthèse!H52</f>
        <v>104787.76212487216</v>
      </c>
      <c r="K53" s="486">
        <f t="shared" si="2"/>
        <v>-13157.045134499116</v>
      </c>
    </row>
    <row r="54" spans="1:11" s="263" customFormat="1" ht="15" x14ac:dyDescent="0.25">
      <c r="A54" s="86">
        <f>Données!A54</f>
        <v>5487</v>
      </c>
      <c r="B54" s="398" t="str">
        <f>Données!B54</f>
        <v>Lussery-Villars</v>
      </c>
      <c r="C54" s="260">
        <v>203720.31126465212</v>
      </c>
      <c r="D54" s="477">
        <f>Synthèse!G53</f>
        <v>182436.56416284438</v>
      </c>
      <c r="E54" s="478">
        <f t="shared" si="0"/>
        <v>-21283.747101807734</v>
      </c>
      <c r="F54" s="259">
        <v>-30236.783189026115</v>
      </c>
      <c r="G54" s="482">
        <f>Synthèse!F53</f>
        <v>-85070.186077145307</v>
      </c>
      <c r="H54" s="482">
        <f t="shared" si="1"/>
        <v>-54833.402888119192</v>
      </c>
      <c r="I54" s="260">
        <v>40319.641368699093</v>
      </c>
      <c r="J54" s="486">
        <f>Synthèse!H53</f>
        <v>36066.903946716469</v>
      </c>
      <c r="K54" s="486">
        <f t="shared" si="2"/>
        <v>-4252.7374219826233</v>
      </c>
    </row>
    <row r="55" spans="1:11" s="263" customFormat="1" ht="15" x14ac:dyDescent="0.25">
      <c r="A55" s="86">
        <f>Données!A55</f>
        <v>5488</v>
      </c>
      <c r="B55" s="398" t="str">
        <f>Données!B55</f>
        <v>Mauraz</v>
      </c>
      <c r="C55" s="260">
        <v>23826.170241167987</v>
      </c>
      <c r="D55" s="477">
        <f>Synthèse!G54</f>
        <v>44258.379972325303</v>
      </c>
      <c r="E55" s="478">
        <f t="shared" si="0"/>
        <v>20432.209731157316</v>
      </c>
      <c r="F55" s="259">
        <v>-713.14274202151137</v>
      </c>
      <c r="G55" s="482">
        <f>Synthèse!F54</f>
        <v>8453.4261488246848</v>
      </c>
      <c r="H55" s="482">
        <f t="shared" si="1"/>
        <v>9166.5688908461962</v>
      </c>
      <c r="I55" s="260">
        <v>5155.587776477998</v>
      </c>
      <c r="J55" s="486">
        <f>Synthèse!H54</f>
        <v>6545.4336347584767</v>
      </c>
      <c r="K55" s="486">
        <f t="shared" si="2"/>
        <v>1389.8458582804788</v>
      </c>
    </row>
    <row r="56" spans="1:11" s="263" customFormat="1" ht="15" x14ac:dyDescent="0.25">
      <c r="A56" s="86">
        <f>Données!A56</f>
        <v>5489</v>
      </c>
      <c r="B56" s="398" t="str">
        <f>Données!B56</f>
        <v>Mex</v>
      </c>
      <c r="C56" s="260">
        <v>1491982.4432973568</v>
      </c>
      <c r="D56" s="477">
        <f>Synthèse!G55</f>
        <v>1270703.9977824208</v>
      </c>
      <c r="E56" s="478">
        <f t="shared" si="0"/>
        <v>-221278.445514936</v>
      </c>
      <c r="F56" s="259">
        <v>999770.90936036594</v>
      </c>
      <c r="G56" s="482">
        <f>Synthèse!F55</f>
        <v>1061237.3716642288</v>
      </c>
      <c r="H56" s="482">
        <f t="shared" si="1"/>
        <v>61466.462303862907</v>
      </c>
      <c r="I56" s="260">
        <v>141573.82131843144</v>
      </c>
      <c r="J56" s="486">
        <f>Synthèse!H55</f>
        <v>144611.74610636907</v>
      </c>
      <c r="K56" s="486">
        <f t="shared" si="2"/>
        <v>3037.9247879376344</v>
      </c>
    </row>
    <row r="57" spans="1:11" s="263" customFormat="1" ht="15" x14ac:dyDescent="0.25">
      <c r="A57" s="86">
        <f>Données!A57</f>
        <v>5490</v>
      </c>
      <c r="B57" s="398" t="str">
        <f>Données!B57</f>
        <v>Moiry</v>
      </c>
      <c r="C57" s="260">
        <v>146201.38174078791</v>
      </c>
      <c r="D57" s="477">
        <f>Synthèse!G56</f>
        <v>108494.07886637139</v>
      </c>
      <c r="E57" s="478">
        <f t="shared" si="0"/>
        <v>-37707.30287441652</v>
      </c>
      <c r="F57" s="259">
        <v>-32757.502358003141</v>
      </c>
      <c r="G57" s="482">
        <f>Synthèse!F56</f>
        <v>-14965.003349282284</v>
      </c>
      <c r="H57" s="482">
        <f t="shared" si="1"/>
        <v>17792.499008720857</v>
      </c>
      <c r="I57" s="260">
        <v>27316.642614705044</v>
      </c>
      <c r="J57" s="486">
        <f>Synthèse!H56</f>
        <v>25661.624690477664</v>
      </c>
      <c r="K57" s="486">
        <f t="shared" si="2"/>
        <v>-1655.0179242273807</v>
      </c>
    </row>
    <row r="58" spans="1:11" s="263" customFormat="1" ht="15" x14ac:dyDescent="0.25">
      <c r="A58" s="86">
        <f>Données!A58</f>
        <v>5491</v>
      </c>
      <c r="B58" s="398" t="str">
        <f>Données!B58</f>
        <v>Mont-la-Ville</v>
      </c>
      <c r="C58" s="260">
        <v>256128.37784749383</v>
      </c>
      <c r="D58" s="477">
        <f>Synthèse!G57</f>
        <v>230193.66915205511</v>
      </c>
      <c r="E58" s="478">
        <f t="shared" si="0"/>
        <v>-25934.70869543872</v>
      </c>
      <c r="F58" s="259">
        <v>-56661.788072736817</v>
      </c>
      <c r="G58" s="482">
        <f>Synthèse!F57</f>
        <v>-40730.611501077889</v>
      </c>
      <c r="H58" s="482">
        <f t="shared" si="1"/>
        <v>15931.176571658929</v>
      </c>
      <c r="I58" s="260">
        <v>44712.154025401454</v>
      </c>
      <c r="J58" s="486">
        <f>Synthèse!H57</f>
        <v>41490.445524087234</v>
      </c>
      <c r="K58" s="486">
        <f t="shared" si="2"/>
        <v>-3221.7085013142205</v>
      </c>
    </row>
    <row r="59" spans="1:11" s="263" customFormat="1" ht="15" x14ac:dyDescent="0.25">
      <c r="A59" s="86">
        <f>Données!A59</f>
        <v>5492</v>
      </c>
      <c r="B59" s="398" t="str">
        <f>Données!B59</f>
        <v>Montricher</v>
      </c>
      <c r="C59" s="260">
        <v>5727423.480632199</v>
      </c>
      <c r="D59" s="477">
        <f>Synthèse!G58</f>
        <v>4677223.817147919</v>
      </c>
      <c r="E59" s="478">
        <f t="shared" si="0"/>
        <v>-1050199.66348428</v>
      </c>
      <c r="F59" s="259">
        <v>1977399.8213895983</v>
      </c>
      <c r="G59" s="482">
        <f>Synthèse!F58</f>
        <v>2636947.9878520779</v>
      </c>
      <c r="H59" s="482">
        <f t="shared" si="1"/>
        <v>659548.16646247962</v>
      </c>
      <c r="I59" s="260">
        <v>285191.6820381257</v>
      </c>
      <c r="J59" s="486">
        <f>Synthèse!H58</f>
        <v>264304.51538772695</v>
      </c>
      <c r="K59" s="486">
        <f t="shared" si="2"/>
        <v>-20887.166650398751</v>
      </c>
    </row>
    <row r="60" spans="1:11" s="263" customFormat="1" ht="15" x14ac:dyDescent="0.25">
      <c r="A60" s="86">
        <f>Données!A60</f>
        <v>5493</v>
      </c>
      <c r="B60" s="398" t="str">
        <f>Données!B60</f>
        <v>Orny</v>
      </c>
      <c r="C60" s="260">
        <v>271262.82140465186</v>
      </c>
      <c r="D60" s="477">
        <f>Synthèse!G59</f>
        <v>225751.80490004399</v>
      </c>
      <c r="E60" s="478">
        <f t="shared" si="0"/>
        <v>-45511.016504607862</v>
      </c>
      <c r="F60" s="259">
        <v>9357.6290067354275</v>
      </c>
      <c r="G60" s="482">
        <f>Synthèse!F59</f>
        <v>31024.275347425631</v>
      </c>
      <c r="H60" s="482">
        <f t="shared" si="1"/>
        <v>21666.646340690204</v>
      </c>
      <c r="I60" s="260">
        <v>40738.365434360836</v>
      </c>
      <c r="J60" s="486">
        <f>Synthèse!H59</f>
        <v>44256.373313191667</v>
      </c>
      <c r="K60" s="486">
        <f t="shared" si="2"/>
        <v>3518.007878830831</v>
      </c>
    </row>
    <row r="61" spans="1:11" s="263" customFormat="1" ht="15" x14ac:dyDescent="0.25">
      <c r="A61" s="86">
        <f>Données!A61</f>
        <v>5495</v>
      </c>
      <c r="B61" s="398" t="str">
        <f>Données!B61</f>
        <v>Penthalaz</v>
      </c>
      <c r="C61" s="260">
        <v>1651365.4975513243</v>
      </c>
      <c r="D61" s="477">
        <f>Synthèse!G60</f>
        <v>2304622.4907018566</v>
      </c>
      <c r="E61" s="478">
        <f t="shared" si="0"/>
        <v>653256.99315053225</v>
      </c>
      <c r="F61" s="259">
        <v>-941811.8902204195</v>
      </c>
      <c r="G61" s="482">
        <f>Synthèse!F60</f>
        <v>-137716.76776843076</v>
      </c>
      <c r="H61" s="482">
        <f t="shared" si="1"/>
        <v>804095.12245198875</v>
      </c>
      <c r="I61" s="260">
        <v>292502.09811989707</v>
      </c>
      <c r="J61" s="486">
        <f>Synthèse!H60</f>
        <v>311759.97695393069</v>
      </c>
      <c r="K61" s="486">
        <f t="shared" si="2"/>
        <v>19257.878834033618</v>
      </c>
    </row>
    <row r="62" spans="1:11" s="263" customFormat="1" ht="15" x14ac:dyDescent="0.25">
      <c r="A62" s="86">
        <f>Données!A62</f>
        <v>5496</v>
      </c>
      <c r="B62" s="398" t="str">
        <f>Données!B62</f>
        <v>Penthaz</v>
      </c>
      <c r="C62" s="260">
        <v>1057709.7100984249</v>
      </c>
      <c r="D62" s="477">
        <f>Synthèse!G61</f>
        <v>876105.14924027224</v>
      </c>
      <c r="E62" s="478">
        <f t="shared" si="0"/>
        <v>-181604.56085815269</v>
      </c>
      <c r="F62" s="259">
        <v>30711.573861982208</v>
      </c>
      <c r="G62" s="482">
        <f>Synthèse!F61</f>
        <v>113521.87676125043</v>
      </c>
      <c r="H62" s="482">
        <f t="shared" si="1"/>
        <v>82810.302899268223</v>
      </c>
      <c r="I62" s="260">
        <v>187663.7242902845</v>
      </c>
      <c r="J62" s="486">
        <f>Synthèse!H61</f>
        <v>184716.7611560818</v>
      </c>
      <c r="K62" s="486">
        <f t="shared" si="2"/>
        <v>-2946.9631342026987</v>
      </c>
    </row>
    <row r="63" spans="1:11" s="263" customFormat="1" ht="15" x14ac:dyDescent="0.25">
      <c r="A63" s="86">
        <f>Données!A63</f>
        <v>5497</v>
      </c>
      <c r="B63" s="398" t="str">
        <f>Données!B63</f>
        <v>Pompaples</v>
      </c>
      <c r="C63" s="260">
        <v>378365.91758123005</v>
      </c>
      <c r="D63" s="477">
        <f>Synthèse!G62</f>
        <v>372645.80464225903</v>
      </c>
      <c r="E63" s="478">
        <f t="shared" si="0"/>
        <v>-5720.1129389710259</v>
      </c>
      <c r="F63" s="259">
        <v>-140036.73782008636</v>
      </c>
      <c r="G63" s="482">
        <f>Synthèse!F62</f>
        <v>4100.9614056502469</v>
      </c>
      <c r="H63" s="482">
        <f t="shared" si="1"/>
        <v>144137.69922573661</v>
      </c>
      <c r="I63" s="260">
        <v>62637.965570911605</v>
      </c>
      <c r="J63" s="486">
        <f>Synthèse!H62</f>
        <v>68647.919196103408</v>
      </c>
      <c r="K63" s="486">
        <f t="shared" si="2"/>
        <v>6009.9536251918034</v>
      </c>
    </row>
    <row r="64" spans="1:11" s="263" customFormat="1" ht="15" x14ac:dyDescent="0.25">
      <c r="A64" s="86">
        <f>Données!A64</f>
        <v>5498</v>
      </c>
      <c r="B64" s="398" t="str">
        <f>Données!B64</f>
        <v>La Sarraz</v>
      </c>
      <c r="C64" s="260">
        <v>1301933.4269422281</v>
      </c>
      <c r="D64" s="477">
        <f>Synthèse!G63</f>
        <v>1012799.2728928295</v>
      </c>
      <c r="E64" s="478">
        <f t="shared" si="0"/>
        <v>-289134.15404939861</v>
      </c>
      <c r="F64" s="259">
        <v>-359706.65209219488</v>
      </c>
      <c r="G64" s="482">
        <f>Synthèse!F63</f>
        <v>-210366.41677125986</v>
      </c>
      <c r="H64" s="482">
        <f t="shared" si="1"/>
        <v>149340.23532093503</v>
      </c>
      <c r="I64" s="260">
        <v>242459.73331445552</v>
      </c>
      <c r="J64" s="486">
        <f>Synthèse!H63</f>
        <v>221074.7575505572</v>
      </c>
      <c r="K64" s="486">
        <f t="shared" si="2"/>
        <v>-21384.975763898314</v>
      </c>
    </row>
    <row r="65" spans="1:11" s="263" customFormat="1" ht="15" x14ac:dyDescent="0.25">
      <c r="A65" s="86">
        <f>Données!A65</f>
        <v>5499</v>
      </c>
      <c r="B65" s="398" t="str">
        <f>Données!B65</f>
        <v>Senarclens</v>
      </c>
      <c r="C65" s="260">
        <v>412311.58625870943</v>
      </c>
      <c r="D65" s="477">
        <f>Synthèse!G64</f>
        <v>287596.48989312066</v>
      </c>
      <c r="E65" s="478">
        <f t="shared" si="0"/>
        <v>-124715.09636558878</v>
      </c>
      <c r="F65" s="259">
        <v>36107.190933400474</v>
      </c>
      <c r="G65" s="482">
        <f>Synthèse!F64</f>
        <v>263266.72575088229</v>
      </c>
      <c r="H65" s="482">
        <f t="shared" si="1"/>
        <v>227159.53481748182</v>
      </c>
      <c r="I65" s="260">
        <v>61798.755369667284</v>
      </c>
      <c r="J65" s="486">
        <f>Synthèse!H64</f>
        <v>62146.531944511444</v>
      </c>
      <c r="K65" s="486">
        <f t="shared" si="2"/>
        <v>347.77657484415977</v>
      </c>
    </row>
    <row r="66" spans="1:11" s="263" customFormat="1" ht="15" x14ac:dyDescent="0.25">
      <c r="A66" s="86">
        <f>Données!A66</f>
        <v>5501</v>
      </c>
      <c r="B66" s="398" t="str">
        <f>Données!B66</f>
        <v>Sullens</v>
      </c>
      <c r="C66" s="260">
        <v>874898.70181130921</v>
      </c>
      <c r="D66" s="477">
        <f>Synthèse!G65</f>
        <v>910313.41629944858</v>
      </c>
      <c r="E66" s="478">
        <f t="shared" si="0"/>
        <v>35414.714488139376</v>
      </c>
      <c r="F66" s="259">
        <v>533213.30374915246</v>
      </c>
      <c r="G66" s="482">
        <f>Synthèse!F65</f>
        <v>797257.06272348715</v>
      </c>
      <c r="H66" s="482">
        <f t="shared" si="1"/>
        <v>264043.75897433469</v>
      </c>
      <c r="I66" s="260">
        <v>131401.75313344708</v>
      </c>
      <c r="J66" s="486">
        <f>Synthèse!H65</f>
        <v>163330.9666321041</v>
      </c>
      <c r="K66" s="486">
        <f t="shared" si="2"/>
        <v>31929.213498657016</v>
      </c>
    </row>
    <row r="67" spans="1:11" s="263" customFormat="1" ht="15" x14ac:dyDescent="0.25">
      <c r="A67" s="86">
        <f>Données!A67</f>
        <v>5503</v>
      </c>
      <c r="B67" s="398" t="str">
        <f>Données!B67</f>
        <v>Vufflens-la-Ville</v>
      </c>
      <c r="C67" s="260">
        <v>1202812.2135433648</v>
      </c>
      <c r="D67" s="477">
        <f>Synthèse!G66</f>
        <v>1159878.3164919273</v>
      </c>
      <c r="E67" s="478">
        <f t="shared" si="0"/>
        <v>-42933.897051437525</v>
      </c>
      <c r="F67" s="259">
        <v>1048317.0557282452</v>
      </c>
      <c r="G67" s="482">
        <f>Synthèse!F66</f>
        <v>1195126.3786561498</v>
      </c>
      <c r="H67" s="482">
        <f t="shared" si="1"/>
        <v>146809.32292790466</v>
      </c>
      <c r="I67" s="260">
        <v>202010.0232535192</v>
      </c>
      <c r="J67" s="486">
        <f>Synthèse!H66</f>
        <v>207852.32422997852</v>
      </c>
      <c r="K67" s="486">
        <f t="shared" si="2"/>
        <v>5842.3009764593153</v>
      </c>
    </row>
    <row r="68" spans="1:11" s="263" customFormat="1" ht="15" x14ac:dyDescent="0.25">
      <c r="A68" s="86">
        <f>Données!A68</f>
        <v>5511</v>
      </c>
      <c r="B68" s="398" t="str">
        <f>Données!B68</f>
        <v>Assens</v>
      </c>
      <c r="C68" s="260">
        <v>1156767.6719174611</v>
      </c>
      <c r="D68" s="477">
        <f>Synthèse!G67</f>
        <v>1007811.6614418862</v>
      </c>
      <c r="E68" s="478">
        <f t="shared" si="0"/>
        <v>-148956.01047557488</v>
      </c>
      <c r="F68" s="259">
        <v>546182.45467889367</v>
      </c>
      <c r="G68" s="482">
        <f>Synthèse!F67</f>
        <v>871319.86763351597</v>
      </c>
      <c r="H68" s="482">
        <f t="shared" si="1"/>
        <v>325137.4129546223</v>
      </c>
      <c r="I68" s="260">
        <v>208179.98465393024</v>
      </c>
      <c r="J68" s="486">
        <f>Synthèse!H67</f>
        <v>219838.93582582209</v>
      </c>
      <c r="K68" s="486">
        <f t="shared" si="2"/>
        <v>11658.951171891851</v>
      </c>
    </row>
    <row r="69" spans="1:11" s="263" customFormat="1" ht="15" x14ac:dyDescent="0.25">
      <c r="A69" s="86">
        <f>Données!A69</f>
        <v>5512</v>
      </c>
      <c r="B69" s="398" t="str">
        <f>Données!B69</f>
        <v>Bercher</v>
      </c>
      <c r="C69" s="260">
        <v>672628.03862539842</v>
      </c>
      <c r="D69" s="477">
        <f>Synthèse!G68</f>
        <v>583325.73312121315</v>
      </c>
      <c r="E69" s="478">
        <f t="shared" si="0"/>
        <v>-89302.305504185264</v>
      </c>
      <c r="F69" s="259">
        <v>-217909.13955927943</v>
      </c>
      <c r="G69" s="482">
        <f>Synthèse!F68</f>
        <v>-81862.135850869468</v>
      </c>
      <c r="H69" s="482">
        <f t="shared" si="1"/>
        <v>136047.00370840996</v>
      </c>
      <c r="I69" s="260">
        <v>125885.25443713131</v>
      </c>
      <c r="J69" s="486">
        <f>Synthèse!H68</f>
        <v>123919.56714172085</v>
      </c>
      <c r="K69" s="486">
        <f t="shared" si="2"/>
        <v>-1965.687295410462</v>
      </c>
    </row>
    <row r="70" spans="1:11" s="263" customFormat="1" ht="15" x14ac:dyDescent="0.25">
      <c r="A70" s="86">
        <f>Données!A70</f>
        <v>5514</v>
      </c>
      <c r="B70" s="398" t="str">
        <f>Données!B70</f>
        <v>Bottens</v>
      </c>
      <c r="C70" s="260">
        <v>738436.77645927132</v>
      </c>
      <c r="D70" s="477">
        <f>Synthèse!G69</f>
        <v>635629.02606193617</v>
      </c>
      <c r="E70" s="478">
        <f t="shared" si="0"/>
        <v>-102807.75039733516</v>
      </c>
      <c r="F70" s="259">
        <v>246250.50166066189</v>
      </c>
      <c r="G70" s="482">
        <f>Synthèse!F69</f>
        <v>200738.67420613824</v>
      </c>
      <c r="H70" s="482">
        <f t="shared" si="1"/>
        <v>-45511.827454523649</v>
      </c>
      <c r="I70" s="260">
        <v>138744.79506383886</v>
      </c>
      <c r="J70" s="486">
        <f>Synthèse!H69</f>
        <v>138369.51579006796</v>
      </c>
      <c r="K70" s="486">
        <f t="shared" si="2"/>
        <v>-375.27927377089509</v>
      </c>
    </row>
    <row r="71" spans="1:11" s="263" customFormat="1" ht="15" x14ac:dyDescent="0.25">
      <c r="A71" s="86">
        <f>Données!A71</f>
        <v>5515</v>
      </c>
      <c r="B71" s="398" t="str">
        <f>Données!B71</f>
        <v>Bretigny-sur-Morrens</v>
      </c>
      <c r="C71" s="260">
        <v>550700.48429495958</v>
      </c>
      <c r="D71" s="477">
        <f>Synthèse!G70</f>
        <v>389041.68602001813</v>
      </c>
      <c r="E71" s="478">
        <f t="shared" ref="E71:E134" si="3">D71-C71</f>
        <v>-161658.79827494145</v>
      </c>
      <c r="F71" s="259">
        <v>142825.47667942429</v>
      </c>
      <c r="G71" s="482">
        <f>Synthèse!F70</f>
        <v>127098.02533613209</v>
      </c>
      <c r="H71" s="482">
        <f t="shared" ref="H71:H134" si="4">G71-F71</f>
        <v>-15727.451343292196</v>
      </c>
      <c r="I71" s="260">
        <v>93020.351392253491</v>
      </c>
      <c r="J71" s="486">
        <f>Synthèse!H70</f>
        <v>87749.053269013719</v>
      </c>
      <c r="K71" s="486">
        <f t="shared" ref="K71:K134" si="5">J71-I71</f>
        <v>-5271.2981232397724</v>
      </c>
    </row>
    <row r="72" spans="1:11" s="263" customFormat="1" ht="15" x14ac:dyDescent="0.25">
      <c r="A72" s="86">
        <f>Données!A72</f>
        <v>5516</v>
      </c>
      <c r="B72" s="398" t="str">
        <f>Données!B72</f>
        <v>Cugy</v>
      </c>
      <c r="C72" s="260">
        <v>1949394.1474843617</v>
      </c>
      <c r="D72" s="477">
        <f>Synthèse!G71</f>
        <v>1593559.0736010568</v>
      </c>
      <c r="E72" s="478">
        <f t="shared" si="3"/>
        <v>-355835.07388330484</v>
      </c>
      <c r="F72" s="259">
        <v>655615.27075402671</v>
      </c>
      <c r="G72" s="482">
        <f>Synthèse!F71</f>
        <v>903359.54447600711</v>
      </c>
      <c r="H72" s="482">
        <f t="shared" si="4"/>
        <v>247744.2737219804</v>
      </c>
      <c r="I72" s="260">
        <v>336407.70571426488</v>
      </c>
      <c r="J72" s="486">
        <f>Synthèse!H71</f>
        <v>333675.97676078201</v>
      </c>
      <c r="K72" s="486">
        <f t="shared" si="5"/>
        <v>-2731.7289534828742</v>
      </c>
    </row>
    <row r="73" spans="1:11" s="263" customFormat="1" ht="15" x14ac:dyDescent="0.25">
      <c r="A73" s="86">
        <f>Données!A73</f>
        <v>5518</v>
      </c>
      <c r="B73" s="398" t="str">
        <f>Données!B73</f>
        <v>Echallens</v>
      </c>
      <c r="C73" s="260">
        <v>3217846.8048403193</v>
      </c>
      <c r="D73" s="477">
        <f>Synthèse!G72</f>
        <v>2873407.3989681229</v>
      </c>
      <c r="E73" s="478">
        <f t="shared" si="3"/>
        <v>-344439.40587219642</v>
      </c>
      <c r="F73" s="259">
        <v>-1822602.3516410971</v>
      </c>
      <c r="G73" s="482">
        <f>Synthèse!F72</f>
        <v>-536599.93838029495</v>
      </c>
      <c r="H73" s="482">
        <f t="shared" si="4"/>
        <v>1286002.4132608022</v>
      </c>
      <c r="I73" s="260">
        <v>557024.81549046061</v>
      </c>
      <c r="J73" s="486">
        <f>Synthèse!H72</f>
        <v>581133.56906874862</v>
      </c>
      <c r="K73" s="486">
        <f t="shared" si="5"/>
        <v>24108.753578288015</v>
      </c>
    </row>
    <row r="74" spans="1:11" s="263" customFormat="1" ht="15" x14ac:dyDescent="0.25">
      <c r="A74" s="86">
        <f>Données!A74</f>
        <v>5520</v>
      </c>
      <c r="B74" s="398" t="str">
        <f>Données!B74</f>
        <v>Essertines-sur-Yverdon</v>
      </c>
      <c r="C74" s="260">
        <v>565992.33775132697</v>
      </c>
      <c r="D74" s="477">
        <f>Synthèse!G73</f>
        <v>496431.75985798833</v>
      </c>
      <c r="E74" s="478">
        <f t="shared" si="3"/>
        <v>-69560.577893338632</v>
      </c>
      <c r="F74" s="259">
        <v>-95983.660974907805</v>
      </c>
      <c r="G74" s="482">
        <f>Synthèse!F73</f>
        <v>-13132.146957109915</v>
      </c>
      <c r="H74" s="482">
        <f t="shared" si="4"/>
        <v>82851.51401779789</v>
      </c>
      <c r="I74" s="260">
        <v>92552.274419570778</v>
      </c>
      <c r="J74" s="486">
        <f>Synthèse!H73</f>
        <v>94378.672594171396</v>
      </c>
      <c r="K74" s="486">
        <f t="shared" si="5"/>
        <v>1826.3981746006175</v>
      </c>
    </row>
    <row r="75" spans="1:11" s="263" customFormat="1" ht="15" x14ac:dyDescent="0.25">
      <c r="A75" s="86">
        <f>Données!A75</f>
        <v>5521</v>
      </c>
      <c r="B75" s="398" t="str">
        <f>Données!B75</f>
        <v>Etagnières</v>
      </c>
      <c r="C75" s="260">
        <v>777073.30230111524</v>
      </c>
      <c r="D75" s="477">
        <f>Synthèse!G74</f>
        <v>920049.09327910398</v>
      </c>
      <c r="E75" s="478">
        <f t="shared" si="3"/>
        <v>142975.79097798874</v>
      </c>
      <c r="F75" s="259">
        <v>517598.83185938891</v>
      </c>
      <c r="G75" s="482">
        <f>Synthèse!F74</f>
        <v>540343.02138622582</v>
      </c>
      <c r="H75" s="482">
        <f t="shared" si="4"/>
        <v>22744.189526836912</v>
      </c>
      <c r="I75" s="260">
        <v>146219.92079824844</v>
      </c>
      <c r="J75" s="486">
        <f>Synthèse!H74</f>
        <v>141895.93631060008</v>
      </c>
      <c r="K75" s="486">
        <f t="shared" si="5"/>
        <v>-4323.9844876483548</v>
      </c>
    </row>
    <row r="76" spans="1:11" s="263" customFormat="1" ht="15" x14ac:dyDescent="0.25">
      <c r="A76" s="86">
        <f>Données!A76</f>
        <v>5522</v>
      </c>
      <c r="B76" s="398" t="str">
        <f>Données!B76</f>
        <v>Fey</v>
      </c>
      <c r="C76" s="260">
        <v>374304.87114512379</v>
      </c>
      <c r="D76" s="477">
        <f>Synthèse!G75</f>
        <v>355219.61168191995</v>
      </c>
      <c r="E76" s="478">
        <f t="shared" si="3"/>
        <v>-19085.259463203838</v>
      </c>
      <c r="F76" s="259">
        <v>8292.5307930717245</v>
      </c>
      <c r="G76" s="482">
        <f>Synthèse!F75</f>
        <v>111217.72356299253</v>
      </c>
      <c r="H76" s="482">
        <f t="shared" si="4"/>
        <v>102925.1927699208</v>
      </c>
      <c r="I76" s="260">
        <v>74363.508910588047</v>
      </c>
      <c r="J76" s="486">
        <f>Synthèse!H75</f>
        <v>72923.897381223578</v>
      </c>
      <c r="K76" s="486">
        <f t="shared" si="5"/>
        <v>-1439.6115293644689</v>
      </c>
    </row>
    <row r="77" spans="1:11" s="263" customFormat="1" ht="15" x14ac:dyDescent="0.25">
      <c r="A77" s="86">
        <f>Données!A77</f>
        <v>5523</v>
      </c>
      <c r="B77" s="398" t="str">
        <f>Données!B77</f>
        <v>Froideville</v>
      </c>
      <c r="C77" s="260">
        <v>1395342.5530433841</v>
      </c>
      <c r="D77" s="477">
        <f>Synthèse!G76</f>
        <v>1408230.6593353865</v>
      </c>
      <c r="E77" s="478">
        <f t="shared" si="3"/>
        <v>12888.106292002369</v>
      </c>
      <c r="F77" s="259">
        <v>12441.281308193924</v>
      </c>
      <c r="G77" s="482">
        <f>Synthèse!F76</f>
        <v>202064.40222819103</v>
      </c>
      <c r="H77" s="482">
        <f t="shared" si="4"/>
        <v>189623.12091999711</v>
      </c>
      <c r="I77" s="260">
        <v>267745.94397710159</v>
      </c>
      <c r="J77" s="486">
        <f>Synthèse!H76</f>
        <v>277049.58500760025</v>
      </c>
      <c r="K77" s="486">
        <f t="shared" si="5"/>
        <v>9303.6410304986639</v>
      </c>
    </row>
    <row r="78" spans="1:11" s="263" customFormat="1" ht="15" x14ac:dyDescent="0.25">
      <c r="A78" s="86">
        <f>Données!A78</f>
        <v>5527</v>
      </c>
      <c r="B78" s="398" t="str">
        <f>Données!B78</f>
        <v>Morrens</v>
      </c>
      <c r="C78" s="260">
        <v>673789.46103666222</v>
      </c>
      <c r="D78" s="477">
        <f>Synthèse!G77</f>
        <v>617461.67625912488</v>
      </c>
      <c r="E78" s="478">
        <f t="shared" si="3"/>
        <v>-56327.784777537338</v>
      </c>
      <c r="F78" s="259">
        <v>238912.28491943865</v>
      </c>
      <c r="G78" s="482">
        <f>Synthèse!F77</f>
        <v>239701.44721786014</v>
      </c>
      <c r="H78" s="482">
        <f t="shared" si="4"/>
        <v>789.16229842149187</v>
      </c>
      <c r="I78" s="260">
        <v>127085.16473408832</v>
      </c>
      <c r="J78" s="486">
        <f>Synthèse!H77</f>
        <v>122586.93552506265</v>
      </c>
      <c r="K78" s="486">
        <f t="shared" si="5"/>
        <v>-4498.2292090256669</v>
      </c>
    </row>
    <row r="79" spans="1:11" s="263" customFormat="1" ht="15" x14ac:dyDescent="0.25">
      <c r="A79" s="86">
        <f>Données!A79</f>
        <v>5529</v>
      </c>
      <c r="B79" s="398" t="str">
        <f>Données!B79</f>
        <v>Oulens-sous-Echallens</v>
      </c>
      <c r="C79" s="260">
        <v>316936.8485470647</v>
      </c>
      <c r="D79" s="477">
        <f>Synthèse!G78</f>
        <v>270269.78371321596</v>
      </c>
      <c r="E79" s="478">
        <f t="shared" si="3"/>
        <v>-46667.064833848737</v>
      </c>
      <c r="F79" s="259">
        <v>81213.82909220393</v>
      </c>
      <c r="G79" s="482">
        <f>Synthèse!F78</f>
        <v>222812.93847801397</v>
      </c>
      <c r="H79" s="482">
        <f t="shared" si="4"/>
        <v>141599.10938581004</v>
      </c>
      <c r="I79" s="260">
        <v>62994.113401282812</v>
      </c>
      <c r="J79" s="486">
        <f>Synthèse!H78</f>
        <v>68209.831792530807</v>
      </c>
      <c r="K79" s="486">
        <f t="shared" si="5"/>
        <v>5215.7183912479959</v>
      </c>
    </row>
    <row r="80" spans="1:11" s="263" customFormat="1" ht="15" x14ac:dyDescent="0.25">
      <c r="A80" s="86">
        <f>Données!A80</f>
        <v>5530</v>
      </c>
      <c r="B80" s="398" t="str">
        <f>Données!B80</f>
        <v>Pailly</v>
      </c>
      <c r="C80" s="260">
        <v>279593.38273851189</v>
      </c>
      <c r="D80" s="477">
        <f>Synthèse!G79</f>
        <v>507062.20982439152</v>
      </c>
      <c r="E80" s="478">
        <f t="shared" si="3"/>
        <v>227468.82708587963</v>
      </c>
      <c r="F80" s="259">
        <v>-275552.03808673931</v>
      </c>
      <c r="G80" s="482">
        <f>Synthèse!F79</f>
        <v>144612.87509118827</v>
      </c>
      <c r="H80" s="482">
        <f t="shared" si="4"/>
        <v>420164.91317792761</v>
      </c>
      <c r="I80" s="260">
        <v>57458.060896851945</v>
      </c>
      <c r="J80" s="486">
        <f>Synthèse!H79</f>
        <v>61456.368096469596</v>
      </c>
      <c r="K80" s="486">
        <f t="shared" si="5"/>
        <v>3998.3071996176513</v>
      </c>
    </row>
    <row r="81" spans="1:11" s="263" customFormat="1" ht="15" x14ac:dyDescent="0.25">
      <c r="A81" s="86">
        <f>Données!A81</f>
        <v>5531</v>
      </c>
      <c r="B81" s="398" t="str">
        <f>Données!B81</f>
        <v>Penthéréaz</v>
      </c>
      <c r="C81" s="260">
        <v>230078.10457693951</v>
      </c>
      <c r="D81" s="477">
        <f>Synthèse!G80</f>
        <v>225340.71752386077</v>
      </c>
      <c r="E81" s="478">
        <f t="shared" si="3"/>
        <v>-4737.387053078739</v>
      </c>
      <c r="F81" s="259">
        <v>26310.742748274875</v>
      </c>
      <c r="G81" s="482">
        <f>Synthèse!F80</f>
        <v>195950.17635503452</v>
      </c>
      <c r="H81" s="482">
        <f t="shared" si="4"/>
        <v>169639.43360675965</v>
      </c>
      <c r="I81" s="260">
        <v>43479.854883359345</v>
      </c>
      <c r="J81" s="486">
        <f>Synthèse!H80</f>
        <v>52720.598182175418</v>
      </c>
      <c r="K81" s="486">
        <f t="shared" si="5"/>
        <v>9240.7432988160726</v>
      </c>
    </row>
    <row r="82" spans="1:11" s="263" customFormat="1" ht="15" x14ac:dyDescent="0.25">
      <c r="A82" s="86">
        <f>Données!A82</f>
        <v>5533</v>
      </c>
      <c r="B82" s="398" t="str">
        <f>Données!B82</f>
        <v>Poliez-Pittet</v>
      </c>
      <c r="C82" s="260">
        <v>567188.56829908059</v>
      </c>
      <c r="D82" s="477">
        <f>Synthèse!G81</f>
        <v>385864.3171916838</v>
      </c>
      <c r="E82" s="478">
        <f t="shared" si="3"/>
        <v>-181324.25110739679</v>
      </c>
      <c r="F82" s="259">
        <v>148075.59211006493</v>
      </c>
      <c r="G82" s="482">
        <f>Synthèse!F81</f>
        <v>151493.47302284034</v>
      </c>
      <c r="H82" s="482">
        <f t="shared" si="4"/>
        <v>3417.8809127754066</v>
      </c>
      <c r="I82" s="260">
        <v>85279.633066042588</v>
      </c>
      <c r="J82" s="486">
        <f>Synthèse!H81</f>
        <v>84428.035835629649</v>
      </c>
      <c r="K82" s="486">
        <f t="shared" si="5"/>
        <v>-851.5972304129391</v>
      </c>
    </row>
    <row r="83" spans="1:11" s="263" customFormat="1" ht="15" x14ac:dyDescent="0.25">
      <c r="A83" s="86">
        <f>Données!A83</f>
        <v>5534</v>
      </c>
      <c r="B83" s="398" t="str">
        <f>Données!B83</f>
        <v>Rueyres</v>
      </c>
      <c r="C83" s="260">
        <v>167480.00475410369</v>
      </c>
      <c r="D83" s="477">
        <f>Synthèse!G82</f>
        <v>205957.18544301874</v>
      </c>
      <c r="E83" s="478">
        <f t="shared" si="3"/>
        <v>38477.180688915047</v>
      </c>
      <c r="F83" s="259">
        <v>97684.062001455619</v>
      </c>
      <c r="G83" s="482">
        <f>Synthèse!F82</f>
        <v>249820.87782132698</v>
      </c>
      <c r="H83" s="482">
        <f t="shared" si="4"/>
        <v>152136.81581987138</v>
      </c>
      <c r="I83" s="260">
        <v>29894.055568124539</v>
      </c>
      <c r="J83" s="486">
        <f>Synthèse!H82</f>
        <v>44798.86782291827</v>
      </c>
      <c r="K83" s="486">
        <f t="shared" si="5"/>
        <v>14904.812254793731</v>
      </c>
    </row>
    <row r="84" spans="1:11" s="263" customFormat="1" ht="15" x14ac:dyDescent="0.25">
      <c r="A84" s="86">
        <f>Données!A84</f>
        <v>5535</v>
      </c>
      <c r="B84" s="398" t="str">
        <f>Données!B84</f>
        <v>Saint-Barthélemy</v>
      </c>
      <c r="C84" s="260">
        <v>359666.36920433515</v>
      </c>
      <c r="D84" s="477">
        <f>Synthèse!G83</f>
        <v>380518.50699664053</v>
      </c>
      <c r="E84" s="478">
        <f t="shared" si="3"/>
        <v>20852.137792305381</v>
      </c>
      <c r="F84" s="259">
        <v>26181.251852877147</v>
      </c>
      <c r="G84" s="482">
        <f>Synthèse!F83</f>
        <v>71090.220143582614</v>
      </c>
      <c r="H84" s="482">
        <f t="shared" si="4"/>
        <v>44908.968290705467</v>
      </c>
      <c r="I84" s="260">
        <v>70219.975398291019</v>
      </c>
      <c r="J84" s="486">
        <f>Synthèse!H83</f>
        <v>77056.326648045637</v>
      </c>
      <c r="K84" s="486">
        <f t="shared" si="5"/>
        <v>6836.351249754618</v>
      </c>
    </row>
    <row r="85" spans="1:11" s="263" customFormat="1" ht="15" x14ac:dyDescent="0.25">
      <c r="A85" s="86">
        <f>Données!A85</f>
        <v>5537</v>
      </c>
      <c r="B85" s="398" t="str">
        <f>Données!B85</f>
        <v>Villars-le-Terroir</v>
      </c>
      <c r="C85" s="260">
        <v>651614.75899029046</v>
      </c>
      <c r="D85" s="477">
        <f>Synthèse!G84</f>
        <v>521048.90619795793</v>
      </c>
      <c r="E85" s="478">
        <f t="shared" si="3"/>
        <v>-130565.85279233253</v>
      </c>
      <c r="F85" s="259">
        <v>12422.226555552101</v>
      </c>
      <c r="G85" s="482">
        <f>Synthèse!F84</f>
        <v>-49630.941238443949</v>
      </c>
      <c r="H85" s="482">
        <f t="shared" si="4"/>
        <v>-62053.16779399605</v>
      </c>
      <c r="I85" s="260">
        <v>118544.05618086118</v>
      </c>
      <c r="J85" s="486">
        <f>Synthèse!H84</f>
        <v>117340.3306929323</v>
      </c>
      <c r="K85" s="486">
        <f t="shared" si="5"/>
        <v>-1203.7254879288812</v>
      </c>
    </row>
    <row r="86" spans="1:11" s="263" customFormat="1" ht="15" x14ac:dyDescent="0.25">
      <c r="A86" s="86">
        <f>Données!A86</f>
        <v>5539</v>
      </c>
      <c r="B86" s="398" t="str">
        <f>Données!B86</f>
        <v>Vuarrens</v>
      </c>
      <c r="C86" s="260">
        <v>691205.29541168071</v>
      </c>
      <c r="D86" s="477">
        <f>Synthèse!G85</f>
        <v>507556.97132449003</v>
      </c>
      <c r="E86" s="478">
        <f t="shared" si="3"/>
        <v>-183648.32408719067</v>
      </c>
      <c r="F86" s="259">
        <v>227086.35532393679</v>
      </c>
      <c r="G86" s="482">
        <f>Synthèse!F85</f>
        <v>81090.365376219503</v>
      </c>
      <c r="H86" s="482">
        <f t="shared" si="4"/>
        <v>-145995.98994771729</v>
      </c>
      <c r="I86" s="260">
        <v>113182.56846560977</v>
      </c>
      <c r="J86" s="486">
        <f>Synthèse!H85</f>
        <v>103881.44589877673</v>
      </c>
      <c r="K86" s="486">
        <f t="shared" si="5"/>
        <v>-9301.1225668330444</v>
      </c>
    </row>
    <row r="87" spans="1:11" s="263" customFormat="1" ht="15" x14ac:dyDescent="0.25">
      <c r="A87" s="86">
        <f>Données!A87</f>
        <v>5540</v>
      </c>
      <c r="B87" s="398" t="str">
        <f>Données!B87</f>
        <v>Montilliez</v>
      </c>
      <c r="C87" s="260">
        <v>1065384.2391425311</v>
      </c>
      <c r="D87" s="477">
        <f>Synthèse!G86</f>
        <v>905842.25728854467</v>
      </c>
      <c r="E87" s="478">
        <f t="shared" si="3"/>
        <v>-159541.98185398639</v>
      </c>
      <c r="F87" s="259">
        <v>182867.8403435268</v>
      </c>
      <c r="G87" s="482">
        <f>Synthèse!F86</f>
        <v>332264.42253872065</v>
      </c>
      <c r="H87" s="482">
        <f t="shared" si="4"/>
        <v>149396.58219519386</v>
      </c>
      <c r="I87" s="260">
        <v>208029.62558606669</v>
      </c>
      <c r="J87" s="486">
        <f>Synthèse!H86</f>
        <v>204301.1698762037</v>
      </c>
      <c r="K87" s="486">
        <f t="shared" si="5"/>
        <v>-3728.4557098629884</v>
      </c>
    </row>
    <row r="88" spans="1:11" s="263" customFormat="1" ht="15" x14ac:dyDescent="0.25">
      <c r="A88" s="86">
        <f>Données!A88</f>
        <v>5541</v>
      </c>
      <c r="B88" s="398" t="str">
        <f>Données!B88</f>
        <v>Goumoëns</v>
      </c>
      <c r="C88" s="260">
        <v>669810.73026323004</v>
      </c>
      <c r="D88" s="477">
        <f>Synthèse!G87</f>
        <v>623731.60887059453</v>
      </c>
      <c r="E88" s="478">
        <f t="shared" si="3"/>
        <v>-46079.121392635512</v>
      </c>
      <c r="F88" s="259">
        <v>146837.34507962875</v>
      </c>
      <c r="G88" s="482">
        <f>Synthèse!F87</f>
        <v>263065.77839444345</v>
      </c>
      <c r="H88" s="482">
        <f t="shared" si="4"/>
        <v>116228.4333148147</v>
      </c>
      <c r="I88" s="260">
        <v>116178.65426055266</v>
      </c>
      <c r="J88" s="486">
        <f>Synthèse!H87</f>
        <v>126610.67692750617</v>
      </c>
      <c r="K88" s="486">
        <f t="shared" si="5"/>
        <v>10432.022666953504</v>
      </c>
    </row>
    <row r="89" spans="1:11" s="263" customFormat="1" ht="15" x14ac:dyDescent="0.25">
      <c r="A89" s="86">
        <f>Données!A89</f>
        <v>5551</v>
      </c>
      <c r="B89" s="398" t="str">
        <f>Données!B89</f>
        <v>Bonvillars</v>
      </c>
      <c r="C89" s="260">
        <v>304642.19086071511</v>
      </c>
      <c r="D89" s="477">
        <f>Synthèse!G88</f>
        <v>392978.61709081405</v>
      </c>
      <c r="E89" s="478">
        <f t="shared" si="3"/>
        <v>88336.426230098936</v>
      </c>
      <c r="F89" s="259">
        <v>209461.47564021265</v>
      </c>
      <c r="G89" s="482">
        <f>Synthèse!F88</f>
        <v>220761.26208887147</v>
      </c>
      <c r="H89" s="482">
        <f t="shared" si="4"/>
        <v>11299.786448658822</v>
      </c>
      <c r="I89" s="260">
        <v>58344.331479012661</v>
      </c>
      <c r="J89" s="486">
        <f>Synthèse!H88</f>
        <v>54439.979236824445</v>
      </c>
      <c r="K89" s="486">
        <f t="shared" si="5"/>
        <v>-3904.3522421882153</v>
      </c>
    </row>
    <row r="90" spans="1:11" s="263" customFormat="1" ht="15" x14ac:dyDescent="0.25">
      <c r="A90" s="86">
        <f>Données!A90</f>
        <v>5552</v>
      </c>
      <c r="B90" s="398" t="str">
        <f>Données!B90</f>
        <v>Bullet</v>
      </c>
      <c r="C90" s="260">
        <v>328560.45941418229</v>
      </c>
      <c r="D90" s="477">
        <f>Synthèse!G89</f>
        <v>303010.76776453253</v>
      </c>
      <c r="E90" s="478">
        <f t="shared" si="3"/>
        <v>-25549.691649649758</v>
      </c>
      <c r="F90" s="259">
        <v>-190420.7272356184</v>
      </c>
      <c r="G90" s="482">
        <f>Synthèse!F89</f>
        <v>26353.702339794778</v>
      </c>
      <c r="H90" s="482">
        <f t="shared" si="4"/>
        <v>216774.42957541317</v>
      </c>
      <c r="I90" s="260">
        <v>54426.18207502694</v>
      </c>
      <c r="J90" s="486">
        <f>Synthèse!H89</f>
        <v>56694.276505390597</v>
      </c>
      <c r="K90" s="486">
        <f t="shared" si="5"/>
        <v>2268.094430363657</v>
      </c>
    </row>
    <row r="91" spans="1:11" s="263" customFormat="1" ht="15" x14ac:dyDescent="0.25">
      <c r="A91" s="86">
        <f>Données!A91</f>
        <v>5553</v>
      </c>
      <c r="B91" s="398" t="str">
        <f>Données!B91</f>
        <v>Champagne</v>
      </c>
      <c r="C91" s="260">
        <v>720904.86265132087</v>
      </c>
      <c r="D91" s="477">
        <f>Synthèse!G90</f>
        <v>574648.72536891187</v>
      </c>
      <c r="E91" s="478">
        <f t="shared" si="3"/>
        <v>-146256.13728240901</v>
      </c>
      <c r="F91" s="259">
        <v>274465.07888315408</v>
      </c>
      <c r="G91" s="482">
        <f>Synthèse!F90</f>
        <v>343243.68725489883</v>
      </c>
      <c r="H91" s="482">
        <f t="shared" si="4"/>
        <v>68778.608371744747</v>
      </c>
      <c r="I91" s="260">
        <v>119215.40037902766</v>
      </c>
      <c r="J91" s="486">
        <f>Synthèse!H90</f>
        <v>113684.8756303947</v>
      </c>
      <c r="K91" s="486">
        <f t="shared" si="5"/>
        <v>-5530.5247486329608</v>
      </c>
    </row>
    <row r="92" spans="1:11" s="263" customFormat="1" ht="15" x14ac:dyDescent="0.25">
      <c r="A92" s="86">
        <f>Données!A92</f>
        <v>5554</v>
      </c>
      <c r="B92" s="398" t="str">
        <f>Données!B92</f>
        <v>Concise</v>
      </c>
      <c r="C92" s="260">
        <v>596554.92000724841</v>
      </c>
      <c r="D92" s="477">
        <f>Synthèse!G91</f>
        <v>528616.62278577907</v>
      </c>
      <c r="E92" s="478">
        <f t="shared" si="3"/>
        <v>-67938.297221469344</v>
      </c>
      <c r="F92" s="259">
        <v>-14447.982929625083</v>
      </c>
      <c r="G92" s="482">
        <f>Synthèse!F91</f>
        <v>192573.40575796861</v>
      </c>
      <c r="H92" s="482">
        <f t="shared" si="4"/>
        <v>207021.38868759369</v>
      </c>
      <c r="I92" s="260">
        <v>101885.72515788062</v>
      </c>
      <c r="J92" s="486">
        <f>Synthèse!H91</f>
        <v>102639.35433176087</v>
      </c>
      <c r="K92" s="486">
        <f t="shared" si="5"/>
        <v>753.6291738802538</v>
      </c>
    </row>
    <row r="93" spans="1:11" s="263" customFormat="1" ht="15" x14ac:dyDescent="0.25">
      <c r="A93" s="86">
        <f>Données!A93</f>
        <v>5555</v>
      </c>
      <c r="B93" s="398" t="str">
        <f>Données!B93</f>
        <v>Corcelles-près-Concise</v>
      </c>
      <c r="C93" s="260">
        <v>289553.20258381299</v>
      </c>
      <c r="D93" s="477">
        <f>Synthèse!G92</f>
        <v>171868.4242444917</v>
      </c>
      <c r="E93" s="478">
        <f t="shared" si="3"/>
        <v>-117684.77833932129</v>
      </c>
      <c r="F93" s="259">
        <v>-69926.653568182373</v>
      </c>
      <c r="G93" s="482">
        <f>Synthèse!F92</f>
        <v>80392.587886574911</v>
      </c>
      <c r="H93" s="482">
        <f t="shared" si="4"/>
        <v>150319.24145475728</v>
      </c>
      <c r="I93" s="260">
        <v>42030.543823355052</v>
      </c>
      <c r="J93" s="486">
        <f>Synthèse!H92</f>
        <v>39771.159986472558</v>
      </c>
      <c r="K93" s="486">
        <f t="shared" si="5"/>
        <v>-2259.3838368824945</v>
      </c>
    </row>
    <row r="94" spans="1:11" s="263" customFormat="1" ht="15" x14ac:dyDescent="0.25">
      <c r="A94" s="86">
        <f>Données!A94</f>
        <v>5556</v>
      </c>
      <c r="B94" s="398" t="str">
        <f>Données!B94</f>
        <v>Fiez</v>
      </c>
      <c r="C94" s="260">
        <v>247015.7443682951</v>
      </c>
      <c r="D94" s="477">
        <f>Synthèse!G93</f>
        <v>216600.23709614901</v>
      </c>
      <c r="E94" s="478">
        <f t="shared" si="3"/>
        <v>-30415.507272146089</v>
      </c>
      <c r="F94" s="259">
        <v>56438.248383198981</v>
      </c>
      <c r="G94" s="482">
        <f>Synthèse!F93</f>
        <v>50548.417678529222</v>
      </c>
      <c r="H94" s="482">
        <f t="shared" si="4"/>
        <v>-5889.8307046697591</v>
      </c>
      <c r="I94" s="260">
        <v>43270.196102273847</v>
      </c>
      <c r="J94" s="486">
        <f>Synthèse!H93</f>
        <v>40040.634551115021</v>
      </c>
      <c r="K94" s="486">
        <f t="shared" si="5"/>
        <v>-3229.5615511588258</v>
      </c>
    </row>
    <row r="95" spans="1:11" s="263" customFormat="1" ht="15" x14ac:dyDescent="0.25">
      <c r="A95" s="86">
        <f>Données!A95</f>
        <v>5557</v>
      </c>
      <c r="B95" s="398" t="str">
        <f>Données!B95</f>
        <v>Fontaines-sur-Grandson</v>
      </c>
      <c r="C95" s="260">
        <v>118573.59441758512</v>
      </c>
      <c r="D95" s="477">
        <f>Synthèse!G94</f>
        <v>68269.611568510707</v>
      </c>
      <c r="E95" s="478">
        <f t="shared" si="3"/>
        <v>-50303.982849074411</v>
      </c>
      <c r="F95" s="259">
        <v>-1002.7421508390107</v>
      </c>
      <c r="G95" s="482">
        <f>Synthèse!F94</f>
        <v>-29916.682714692783</v>
      </c>
      <c r="H95" s="482">
        <f t="shared" si="4"/>
        <v>-28913.940563853772</v>
      </c>
      <c r="I95" s="260">
        <v>18299.124744042354</v>
      </c>
      <c r="J95" s="486">
        <f>Synthèse!H94</f>
        <v>15084.154750959555</v>
      </c>
      <c r="K95" s="486">
        <f t="shared" si="5"/>
        <v>-3214.9699930827992</v>
      </c>
    </row>
    <row r="96" spans="1:11" s="263" customFormat="1" ht="15" x14ac:dyDescent="0.25">
      <c r="A96" s="86">
        <f>Données!A96</f>
        <v>5559</v>
      </c>
      <c r="B96" s="398" t="str">
        <f>Données!B96</f>
        <v>Giez</v>
      </c>
      <c r="C96" s="260">
        <v>309804.96401705715</v>
      </c>
      <c r="D96" s="477">
        <f>Synthèse!G95</f>
        <v>306645.16665385035</v>
      </c>
      <c r="E96" s="478">
        <f t="shared" si="3"/>
        <v>-3159.7973632068024</v>
      </c>
      <c r="F96" s="259">
        <v>230163.93199873605</v>
      </c>
      <c r="G96" s="482">
        <f>Synthèse!F95</f>
        <v>331786.80320356769</v>
      </c>
      <c r="H96" s="482">
        <f t="shared" si="4"/>
        <v>101622.87120483164</v>
      </c>
      <c r="I96" s="260">
        <v>53522.905725959528</v>
      </c>
      <c r="J96" s="486">
        <f>Synthèse!H95</f>
        <v>63930.99165550428</v>
      </c>
      <c r="K96" s="486">
        <f t="shared" si="5"/>
        <v>10408.085929544752</v>
      </c>
    </row>
    <row r="97" spans="1:11" s="263" customFormat="1" ht="15" x14ac:dyDescent="0.25">
      <c r="A97" s="86">
        <f>Données!A97</f>
        <v>5560</v>
      </c>
      <c r="B97" s="398" t="str">
        <f>Données!B97</f>
        <v>Grandevent</v>
      </c>
      <c r="C97" s="260">
        <v>104110.22131957639</v>
      </c>
      <c r="D97" s="477">
        <f>Synthèse!G96</f>
        <v>131444.69338413316</v>
      </c>
      <c r="E97" s="478">
        <f t="shared" si="3"/>
        <v>27334.472064556772</v>
      </c>
      <c r="F97" s="259">
        <v>1892.7150852294581</v>
      </c>
      <c r="G97" s="482">
        <f>Synthèse!F96</f>
        <v>92153.98503396762</v>
      </c>
      <c r="H97" s="482">
        <f t="shared" si="4"/>
        <v>90261.269948738161</v>
      </c>
      <c r="I97" s="260">
        <v>19036.858906948277</v>
      </c>
      <c r="J97" s="486">
        <f>Synthèse!H96</f>
        <v>27339.195653898176</v>
      </c>
      <c r="K97" s="486">
        <f t="shared" si="5"/>
        <v>8302.336746949899</v>
      </c>
    </row>
    <row r="98" spans="1:11" s="263" customFormat="1" ht="15" x14ac:dyDescent="0.25">
      <c r="A98" s="86">
        <f>Données!A98</f>
        <v>5561</v>
      </c>
      <c r="B98" s="398" t="str">
        <f>Données!B98</f>
        <v>Grandson</v>
      </c>
      <c r="C98" s="260">
        <v>2129687.5848870459</v>
      </c>
      <c r="D98" s="477">
        <f>Synthèse!G97</f>
        <v>1983771.8877930471</v>
      </c>
      <c r="E98" s="478">
        <f t="shared" si="3"/>
        <v>-145915.69709399878</v>
      </c>
      <c r="F98" s="259">
        <v>-580638.54823936056</v>
      </c>
      <c r="G98" s="482">
        <f>Synthèse!F97</f>
        <v>928410.85849136556</v>
      </c>
      <c r="H98" s="482">
        <f t="shared" si="4"/>
        <v>1509049.4067307261</v>
      </c>
      <c r="I98" s="260">
        <v>358464.23651516088</v>
      </c>
      <c r="J98" s="486">
        <f>Synthèse!H97</f>
        <v>400547.06682036573</v>
      </c>
      <c r="K98" s="486">
        <f t="shared" si="5"/>
        <v>42082.830305204843</v>
      </c>
    </row>
    <row r="99" spans="1:11" s="263" customFormat="1" ht="15" x14ac:dyDescent="0.25">
      <c r="A99" s="86">
        <f>Données!A99</f>
        <v>5562</v>
      </c>
      <c r="B99" s="398" t="str">
        <f>Données!B99</f>
        <v>Mauborget</v>
      </c>
      <c r="C99" s="260">
        <v>102597.1239721794</v>
      </c>
      <c r="D99" s="477">
        <f>Synthèse!G98</f>
        <v>57166.750273224556</v>
      </c>
      <c r="E99" s="478">
        <f t="shared" si="3"/>
        <v>-45430.373698954842</v>
      </c>
      <c r="F99" s="259">
        <v>94176.532234290513</v>
      </c>
      <c r="G99" s="482">
        <f>Synthèse!F98</f>
        <v>28158.145909577448</v>
      </c>
      <c r="H99" s="482">
        <f t="shared" si="4"/>
        <v>-66018.386324713065</v>
      </c>
      <c r="I99" s="260">
        <v>18688.661541725087</v>
      </c>
      <c r="J99" s="486">
        <f>Synthèse!H98</f>
        <v>13673.934014062044</v>
      </c>
      <c r="K99" s="486">
        <f t="shared" si="5"/>
        <v>-5014.7275276630426</v>
      </c>
    </row>
    <row r="100" spans="1:11" s="263" customFormat="1" ht="15" x14ac:dyDescent="0.25">
      <c r="A100" s="86">
        <f>Données!A100</f>
        <v>5563</v>
      </c>
      <c r="B100" s="398" t="str">
        <f>Données!B100</f>
        <v>Mutrux</v>
      </c>
      <c r="C100" s="260">
        <v>71287.426923780207</v>
      </c>
      <c r="D100" s="477">
        <f>Synthèse!G99</f>
        <v>57434.07934710267</v>
      </c>
      <c r="E100" s="478">
        <f t="shared" si="3"/>
        <v>-13853.347576677537</v>
      </c>
      <c r="F100" s="259">
        <v>-59942.994035507567</v>
      </c>
      <c r="G100" s="482">
        <f>Synthèse!F99</f>
        <v>-75692.593347102695</v>
      </c>
      <c r="H100" s="482">
        <f t="shared" si="4"/>
        <v>-15749.599311595128</v>
      </c>
      <c r="I100" s="260">
        <v>12856.402139344638</v>
      </c>
      <c r="J100" s="486">
        <f>Synthèse!H99</f>
        <v>6696.0250032496042</v>
      </c>
      <c r="K100" s="486">
        <f t="shared" si="5"/>
        <v>-6160.3771360950341</v>
      </c>
    </row>
    <row r="101" spans="1:11" s="263" customFormat="1" ht="15" x14ac:dyDescent="0.25">
      <c r="A101" s="86">
        <f>Données!A101</f>
        <v>5564</v>
      </c>
      <c r="B101" s="398" t="str">
        <f>Données!B101</f>
        <v>Novalles</v>
      </c>
      <c r="C101" s="260">
        <v>43958.44952782194</v>
      </c>
      <c r="D101" s="477">
        <f>Synthèse!G100</f>
        <v>29691.8447801494</v>
      </c>
      <c r="E101" s="478">
        <f t="shared" si="3"/>
        <v>-14266.60474767254</v>
      </c>
      <c r="F101" s="259">
        <v>-32525.692237321731</v>
      </c>
      <c r="G101" s="482">
        <f>Synthèse!F100</f>
        <v>-15686.065346613956</v>
      </c>
      <c r="H101" s="482">
        <f t="shared" si="4"/>
        <v>16839.626890707776</v>
      </c>
      <c r="I101" s="260">
        <v>6528.0905781521487</v>
      </c>
      <c r="J101" s="486">
        <f>Synthèse!H100</f>
        <v>7730.3630796314537</v>
      </c>
      <c r="K101" s="486">
        <f t="shared" si="5"/>
        <v>1202.272501479305</v>
      </c>
    </row>
    <row r="102" spans="1:11" s="263" customFormat="1" ht="15" x14ac:dyDescent="0.25">
      <c r="A102" s="86">
        <f>Données!A102</f>
        <v>5565</v>
      </c>
      <c r="B102" s="398" t="str">
        <f>Données!B102</f>
        <v>Onnens</v>
      </c>
      <c r="C102" s="260">
        <v>319160.8382021992</v>
      </c>
      <c r="D102" s="477">
        <f>Synthèse!G101</f>
        <v>174462.41832845815</v>
      </c>
      <c r="E102" s="478">
        <f t="shared" si="3"/>
        <v>-144698.41987374105</v>
      </c>
      <c r="F102" s="259">
        <v>208507.16382258781</v>
      </c>
      <c r="G102" s="482">
        <f>Synthèse!F101</f>
        <v>-39393.346826624853</v>
      </c>
      <c r="H102" s="482">
        <f t="shared" si="4"/>
        <v>-247900.51064921267</v>
      </c>
      <c r="I102" s="260">
        <v>59671.490888720364</v>
      </c>
      <c r="J102" s="486">
        <f>Synthèse!H101</f>
        <v>32199.558462766145</v>
      </c>
      <c r="K102" s="486">
        <f t="shared" si="5"/>
        <v>-27471.932425954219</v>
      </c>
    </row>
    <row r="103" spans="1:11" s="263" customFormat="1" ht="15" x14ac:dyDescent="0.25">
      <c r="A103" s="86">
        <f>Données!A103</f>
        <v>5566</v>
      </c>
      <c r="B103" s="398" t="str">
        <f>Données!B103</f>
        <v>Provence</v>
      </c>
      <c r="C103" s="260">
        <v>188389.84945102801</v>
      </c>
      <c r="D103" s="477">
        <f>Synthèse!G102</f>
        <v>138289.69253185362</v>
      </c>
      <c r="E103" s="478">
        <f t="shared" si="3"/>
        <v>-50100.156919174391</v>
      </c>
      <c r="F103" s="259">
        <v>-504033.10900161997</v>
      </c>
      <c r="G103" s="482">
        <f>Synthèse!F102</f>
        <v>-176449.02119705392</v>
      </c>
      <c r="H103" s="482">
        <f t="shared" si="4"/>
        <v>327584.08780456602</v>
      </c>
      <c r="I103" s="260">
        <v>23595.513736950485</v>
      </c>
      <c r="J103" s="486">
        <f>Synthèse!H102</f>
        <v>25590.353673587881</v>
      </c>
      <c r="K103" s="486">
        <f t="shared" si="5"/>
        <v>1994.839936637396</v>
      </c>
    </row>
    <row r="104" spans="1:11" s="263" customFormat="1" ht="15" x14ac:dyDescent="0.25">
      <c r="A104" s="86">
        <f>Données!A104</f>
        <v>5568</v>
      </c>
      <c r="B104" s="398" t="str">
        <f>Données!B104</f>
        <v>Sainte-Croix</v>
      </c>
      <c r="C104" s="260">
        <v>2609041.0266124979</v>
      </c>
      <c r="D104" s="477">
        <f>Synthèse!G103</f>
        <v>2311769.6051668022</v>
      </c>
      <c r="E104" s="478">
        <f t="shared" si="3"/>
        <v>-297271.42144569568</v>
      </c>
      <c r="F104" s="259">
        <v>-3573921.7272255518</v>
      </c>
      <c r="G104" s="482">
        <f>Synthèse!F103</f>
        <v>-2323236.1382069965</v>
      </c>
      <c r="H104" s="482">
        <f t="shared" si="4"/>
        <v>1250685.5890185554</v>
      </c>
      <c r="I104" s="260">
        <v>330997.5720133076</v>
      </c>
      <c r="J104" s="486">
        <f>Synthèse!H103</f>
        <v>317055.7362718439</v>
      </c>
      <c r="K104" s="486">
        <f t="shared" si="5"/>
        <v>-13941.835741463699</v>
      </c>
    </row>
    <row r="105" spans="1:11" s="263" customFormat="1" ht="15" x14ac:dyDescent="0.25">
      <c r="A105" s="86">
        <f>Données!A105</f>
        <v>5571</v>
      </c>
      <c r="B105" s="398" t="str">
        <f>Données!B105</f>
        <v>Tévenon</v>
      </c>
      <c r="C105" s="260">
        <v>387375.32579187653</v>
      </c>
      <c r="D105" s="477">
        <f>Synthèse!G104</f>
        <v>358540.87407144473</v>
      </c>
      <c r="E105" s="478">
        <f t="shared" si="3"/>
        <v>-28834.451720431796</v>
      </c>
      <c r="F105" s="259">
        <v>-266776.81441485084</v>
      </c>
      <c r="G105" s="482">
        <f>Synthèse!F104</f>
        <v>56938.579101855867</v>
      </c>
      <c r="H105" s="482">
        <f t="shared" si="4"/>
        <v>323715.39351670671</v>
      </c>
      <c r="I105" s="260">
        <v>65495.747496009339</v>
      </c>
      <c r="J105" s="486">
        <f>Synthèse!H104</f>
        <v>77364.866153161696</v>
      </c>
      <c r="K105" s="486">
        <f t="shared" si="5"/>
        <v>11869.118657152358</v>
      </c>
    </row>
    <row r="106" spans="1:11" s="263" customFormat="1" ht="15" x14ac:dyDescent="0.25">
      <c r="A106" s="86">
        <f>Données!A106</f>
        <v>5581</v>
      </c>
      <c r="B106" s="398" t="str">
        <f>Données!B106</f>
        <v>Belmont-sur-Lausanne</v>
      </c>
      <c r="C106" s="260">
        <v>4508431.0701831514</v>
      </c>
      <c r="D106" s="477">
        <f>Synthèse!G105</f>
        <v>4106571.1302965633</v>
      </c>
      <c r="E106" s="478">
        <f t="shared" si="3"/>
        <v>-401859.93988658814</v>
      </c>
      <c r="F106" s="259">
        <v>2149070.8274573367</v>
      </c>
      <c r="G106" s="482">
        <f>Synthèse!F105</f>
        <v>3204893.3611092153</v>
      </c>
      <c r="H106" s="482">
        <f t="shared" si="4"/>
        <v>1055822.5336518786</v>
      </c>
      <c r="I106" s="260">
        <v>274708.44910061703</v>
      </c>
      <c r="J106" s="486">
        <f>Synthèse!H105</f>
        <v>275818.8535256724</v>
      </c>
      <c r="K106" s="486">
        <f t="shared" si="5"/>
        <v>1110.4044250553707</v>
      </c>
    </row>
    <row r="107" spans="1:11" s="263" customFormat="1" ht="15" x14ac:dyDescent="0.25">
      <c r="A107" s="86">
        <f>Données!A107</f>
        <v>5582</v>
      </c>
      <c r="B107" s="398" t="str">
        <f>Données!B107</f>
        <v>Cheseaux-sur-Lausanne</v>
      </c>
      <c r="C107" s="260">
        <v>2830160.8174522817</v>
      </c>
      <c r="D107" s="477">
        <f>Synthèse!G106</f>
        <v>2431278.6845785887</v>
      </c>
      <c r="E107" s="478">
        <f t="shared" si="3"/>
        <v>-398882.13287369302</v>
      </c>
      <c r="F107" s="259">
        <v>418540.99285068316</v>
      </c>
      <c r="G107" s="482">
        <f>Synthèse!F106</f>
        <v>593012.71626703301</v>
      </c>
      <c r="H107" s="482">
        <f t="shared" si="4"/>
        <v>174471.72341634985</v>
      </c>
      <c r="I107" s="260">
        <v>511513.94145306601</v>
      </c>
      <c r="J107" s="486">
        <f>Synthèse!H106</f>
        <v>511316.15461536893</v>
      </c>
      <c r="K107" s="486">
        <f t="shared" si="5"/>
        <v>-197.78683769708732</v>
      </c>
    </row>
    <row r="108" spans="1:11" s="263" customFormat="1" ht="15" x14ac:dyDescent="0.25">
      <c r="A108" s="86">
        <f>Données!A108</f>
        <v>5583</v>
      </c>
      <c r="B108" s="398" t="str">
        <f>Données!B108</f>
        <v>Crissier</v>
      </c>
      <c r="C108" s="260">
        <v>6794092.2903066073</v>
      </c>
      <c r="D108" s="477">
        <f>Synthèse!G107</f>
        <v>6174937.5641909279</v>
      </c>
      <c r="E108" s="478">
        <f t="shared" si="3"/>
        <v>-619154.72611567937</v>
      </c>
      <c r="F108" s="259">
        <v>-299997.8628248712</v>
      </c>
      <c r="G108" s="482">
        <f>Synthèse!F107</f>
        <v>366647.22922147624</v>
      </c>
      <c r="H108" s="482">
        <f t="shared" si="4"/>
        <v>666645.09204634745</v>
      </c>
      <c r="I108" s="260">
        <v>473938.11611141101</v>
      </c>
      <c r="J108" s="486">
        <f>Synthèse!H107</f>
        <v>401842.53066249948</v>
      </c>
      <c r="K108" s="486">
        <f t="shared" si="5"/>
        <v>-72095.58544891153</v>
      </c>
    </row>
    <row r="109" spans="1:11" s="263" customFormat="1" ht="15" x14ac:dyDescent="0.25">
      <c r="A109" s="86">
        <f>Données!A109</f>
        <v>5584</v>
      </c>
      <c r="B109" s="398" t="str">
        <f>Données!B109</f>
        <v>Epalinges</v>
      </c>
      <c r="C109" s="260">
        <v>9302899.1973805334</v>
      </c>
      <c r="D109" s="477">
        <f>Synthèse!G108</f>
        <v>8340376.5412395028</v>
      </c>
      <c r="E109" s="478">
        <f t="shared" si="3"/>
        <v>-962522.6561410306</v>
      </c>
      <c r="F109" s="259">
        <v>1023226.5709095597</v>
      </c>
      <c r="G109" s="482">
        <f>Synthèse!F108</f>
        <v>4319545.6227986664</v>
      </c>
      <c r="H109" s="482">
        <f t="shared" si="4"/>
        <v>3296319.0518891066</v>
      </c>
      <c r="I109" s="260">
        <v>1452456.1267690849</v>
      </c>
      <c r="J109" s="486">
        <f>Synthèse!H108</f>
        <v>1455284.0474915807</v>
      </c>
      <c r="K109" s="486">
        <f t="shared" si="5"/>
        <v>2827.9207224957645</v>
      </c>
    </row>
    <row r="110" spans="1:11" s="263" customFormat="1" ht="15" x14ac:dyDescent="0.25">
      <c r="A110" s="86">
        <f>Données!A110</f>
        <v>5585</v>
      </c>
      <c r="B110" s="398" t="str">
        <f>Données!B110</f>
        <v>Jouxtens-Mézery</v>
      </c>
      <c r="C110" s="260">
        <v>6943119.2766043246</v>
      </c>
      <c r="D110" s="477">
        <f>Synthèse!G109</f>
        <v>8196232.8950761706</v>
      </c>
      <c r="E110" s="478">
        <f t="shared" si="3"/>
        <v>1253113.618471846</v>
      </c>
      <c r="F110" s="259">
        <v>3323469.6324131312</v>
      </c>
      <c r="G110" s="482">
        <f>Synthèse!F109</f>
        <v>4313087.9919577232</v>
      </c>
      <c r="H110" s="482">
        <f t="shared" si="4"/>
        <v>989618.35954459198</v>
      </c>
      <c r="I110" s="260">
        <v>381799.61755008192</v>
      </c>
      <c r="J110" s="486">
        <f>Synthèse!H109</f>
        <v>429646.55276220752</v>
      </c>
      <c r="K110" s="486">
        <f t="shared" si="5"/>
        <v>47846.935212125594</v>
      </c>
    </row>
    <row r="111" spans="1:11" s="263" customFormat="1" ht="15" x14ac:dyDescent="0.25">
      <c r="A111" s="86">
        <f>Données!A111</f>
        <v>5586</v>
      </c>
      <c r="B111" s="398" t="str">
        <f>Données!B111</f>
        <v>Lausanne</v>
      </c>
      <c r="C111" s="260">
        <v>112382604.52569373</v>
      </c>
      <c r="D111" s="477">
        <f>Synthèse!G110</f>
        <v>100919810.86843875</v>
      </c>
      <c r="E111" s="478">
        <f t="shared" si="3"/>
        <v>-11462793.657254979</v>
      </c>
      <c r="F111" s="259">
        <v>-76461918.766157076</v>
      </c>
      <c r="G111" s="482">
        <f>Synthèse!F110</f>
        <v>-23823645.616081327</v>
      </c>
      <c r="H111" s="482">
        <f t="shared" si="4"/>
        <v>52638273.150075749</v>
      </c>
      <c r="I111" s="260">
        <v>7951405.7547911694</v>
      </c>
      <c r="J111" s="486">
        <f>Synthèse!H110</f>
        <v>7873421.7819718346</v>
      </c>
      <c r="K111" s="486">
        <f t="shared" si="5"/>
        <v>-77983.972819334827</v>
      </c>
    </row>
    <row r="112" spans="1:11" s="263" customFormat="1" ht="15" x14ac:dyDescent="0.25">
      <c r="A112" s="86">
        <f>Données!A112</f>
        <v>5587</v>
      </c>
      <c r="B112" s="398" t="str">
        <f>Données!B112</f>
        <v>Le Mont-sur-Lausanne</v>
      </c>
      <c r="C112" s="260">
        <v>8500622.6095892452</v>
      </c>
      <c r="D112" s="477">
        <f>Synthèse!G111</f>
        <v>8479005.4431083947</v>
      </c>
      <c r="E112" s="478">
        <f t="shared" si="3"/>
        <v>-21617.166480850428</v>
      </c>
      <c r="F112" s="259">
        <v>2005117.3789488226</v>
      </c>
      <c r="G112" s="482">
        <f>Synthèse!F111</f>
        <v>4672130.4698903468</v>
      </c>
      <c r="H112" s="482">
        <f t="shared" si="4"/>
        <v>2667013.0909415241</v>
      </c>
      <c r="I112" s="260">
        <v>1348689.2128261311</v>
      </c>
      <c r="J112" s="486">
        <f>Synthèse!H111</f>
        <v>1401496.6508055669</v>
      </c>
      <c r="K112" s="486">
        <f t="shared" si="5"/>
        <v>52807.437979435781</v>
      </c>
    </row>
    <row r="113" spans="1:11" s="263" customFormat="1" ht="15" x14ac:dyDescent="0.25">
      <c r="A113" s="86">
        <f>Données!A113</f>
        <v>5588</v>
      </c>
      <c r="B113" s="398" t="str">
        <f>Données!B113</f>
        <v>Paudex</v>
      </c>
      <c r="C113" s="260">
        <v>3628918.5643534325</v>
      </c>
      <c r="D113" s="477">
        <f>Synthèse!G112</f>
        <v>3210139.2454498298</v>
      </c>
      <c r="E113" s="478">
        <f t="shared" si="3"/>
        <v>-418779.31890360266</v>
      </c>
      <c r="F113" s="259">
        <v>2281556.797147247</v>
      </c>
      <c r="G113" s="482">
        <f>Synthèse!F112</f>
        <v>2314710.1529485369</v>
      </c>
      <c r="H113" s="482">
        <f t="shared" si="4"/>
        <v>33153.355801289901</v>
      </c>
      <c r="I113" s="260">
        <v>175024.5157385151</v>
      </c>
      <c r="J113" s="486">
        <f>Synthèse!H112</f>
        <v>162339.55213743585</v>
      </c>
      <c r="K113" s="486">
        <f t="shared" si="5"/>
        <v>-12684.963601079246</v>
      </c>
    </row>
    <row r="114" spans="1:11" s="263" customFormat="1" ht="15" x14ac:dyDescent="0.25">
      <c r="A114" s="86">
        <f>Données!A114</f>
        <v>5589</v>
      </c>
      <c r="B114" s="398" t="str">
        <f>Données!B114</f>
        <v>Prilly</v>
      </c>
      <c r="C114" s="260">
        <v>7937922.3432843229</v>
      </c>
      <c r="D114" s="477">
        <f>Synthèse!G113</f>
        <v>6453235.0237977691</v>
      </c>
      <c r="E114" s="478">
        <f t="shared" si="3"/>
        <v>-1484687.3194865538</v>
      </c>
      <c r="F114" s="259">
        <v>-3521665.6140714549</v>
      </c>
      <c r="G114" s="482">
        <f>Synthèse!F113</f>
        <v>-3611429.393025415</v>
      </c>
      <c r="H114" s="482">
        <f t="shared" si="4"/>
        <v>-89763.778953960165</v>
      </c>
      <c r="I114" s="260">
        <v>586098.44348803372</v>
      </c>
      <c r="J114" s="486">
        <f>Synthèse!H113</f>
        <v>477045.74007128237</v>
      </c>
      <c r="K114" s="486">
        <f t="shared" si="5"/>
        <v>-109052.70341675135</v>
      </c>
    </row>
    <row r="115" spans="1:11" s="263" customFormat="1" ht="15" x14ac:dyDescent="0.25">
      <c r="A115" s="86">
        <f>Données!A115</f>
        <v>5590</v>
      </c>
      <c r="B115" s="398" t="str">
        <f>Données!B115</f>
        <v>Pully</v>
      </c>
      <c r="C115" s="260">
        <v>37361203.214299612</v>
      </c>
      <c r="D115" s="477">
        <f>Synthèse!G114</f>
        <v>28379513.603342433</v>
      </c>
      <c r="E115" s="478">
        <f t="shared" si="3"/>
        <v>-8981689.6109571792</v>
      </c>
      <c r="F115" s="259">
        <v>12382915.364185125</v>
      </c>
      <c r="G115" s="482">
        <f>Synthèse!F114</f>
        <v>12382194.599360324</v>
      </c>
      <c r="H115" s="482">
        <f t="shared" si="4"/>
        <v>-720.76482480019331</v>
      </c>
      <c r="I115" s="260">
        <v>1909300.0561161842</v>
      </c>
      <c r="J115" s="486">
        <f>Synthèse!H114</f>
        <v>1648069.316376223</v>
      </c>
      <c r="K115" s="486">
        <f t="shared" si="5"/>
        <v>-261230.73973996122</v>
      </c>
    </row>
    <row r="116" spans="1:11" s="263" customFormat="1" ht="15" x14ac:dyDescent="0.25">
      <c r="A116" s="86">
        <f>Données!A116</f>
        <v>5591</v>
      </c>
      <c r="B116" s="398" t="str">
        <f>Données!B116</f>
        <v>Renens</v>
      </c>
      <c r="C116" s="260">
        <v>11589107.377554236</v>
      </c>
      <c r="D116" s="477">
        <f>Synthèse!G115</f>
        <v>9854877.1837640796</v>
      </c>
      <c r="E116" s="478">
        <f t="shared" si="3"/>
        <v>-1734230.1937901564</v>
      </c>
      <c r="F116" s="259">
        <v>-18886987.651447773</v>
      </c>
      <c r="G116" s="482">
        <f>Synthèse!F115</f>
        <v>-14598139.057307677</v>
      </c>
      <c r="H116" s="482">
        <f t="shared" si="4"/>
        <v>4288848.5941400956</v>
      </c>
      <c r="I116" s="260">
        <v>769391.72779291647</v>
      </c>
      <c r="J116" s="486">
        <f>Synthèse!H115</f>
        <v>699729.69816917263</v>
      </c>
      <c r="K116" s="486">
        <f t="shared" si="5"/>
        <v>-69662.029623743845</v>
      </c>
    </row>
    <row r="117" spans="1:11" s="263" customFormat="1" ht="15" x14ac:dyDescent="0.25">
      <c r="A117" s="86">
        <f>Données!A117</f>
        <v>5592</v>
      </c>
      <c r="B117" s="398" t="str">
        <f>Données!B117</f>
        <v>Romanel-sur-Lausanne</v>
      </c>
      <c r="C117" s="260">
        <v>2041241.5809071308</v>
      </c>
      <c r="D117" s="477">
        <f>Synthèse!G116</f>
        <v>2107384.5143677052</v>
      </c>
      <c r="E117" s="478">
        <f t="shared" si="3"/>
        <v>66142.933460574364</v>
      </c>
      <c r="F117" s="259">
        <v>602921.11410852987</v>
      </c>
      <c r="G117" s="482">
        <f>Synthèse!F116</f>
        <v>-476455.13943656208</v>
      </c>
      <c r="H117" s="482">
        <f t="shared" si="4"/>
        <v>-1079376.253545092</v>
      </c>
      <c r="I117" s="260">
        <v>375637.38506876933</v>
      </c>
      <c r="J117" s="486">
        <f>Synthèse!H116</f>
        <v>333544.55867130426</v>
      </c>
      <c r="K117" s="486">
        <f t="shared" si="5"/>
        <v>-42092.826397465076</v>
      </c>
    </row>
    <row r="118" spans="1:11" s="263" customFormat="1" ht="15" x14ac:dyDescent="0.25">
      <c r="A118" s="86">
        <f>Données!A118</f>
        <v>5601</v>
      </c>
      <c r="B118" s="398" t="str">
        <f>Données!B118</f>
        <v>Chexbres</v>
      </c>
      <c r="C118" s="260">
        <v>2278339.0209278627</v>
      </c>
      <c r="D118" s="477">
        <f>Synthèse!G117</f>
        <v>1694705.2791587482</v>
      </c>
      <c r="E118" s="478">
        <f t="shared" si="3"/>
        <v>-583633.74176911451</v>
      </c>
      <c r="F118" s="259">
        <v>850515.59109608317</v>
      </c>
      <c r="G118" s="482">
        <f>Synthèse!F117</f>
        <v>1454869.5597581626</v>
      </c>
      <c r="H118" s="482">
        <f t="shared" si="4"/>
        <v>604353.96866207942</v>
      </c>
      <c r="I118" s="260">
        <v>126817.38672762954</v>
      </c>
      <c r="J118" s="486">
        <f>Synthèse!H117</f>
        <v>125115.67343675852</v>
      </c>
      <c r="K118" s="486">
        <f t="shared" si="5"/>
        <v>-1701.7132908710191</v>
      </c>
    </row>
    <row r="119" spans="1:11" s="263" customFormat="1" ht="15" x14ac:dyDescent="0.25">
      <c r="A119" s="86">
        <f>Données!A119</f>
        <v>5604</v>
      </c>
      <c r="B119" s="398" t="str">
        <f>Données!B119</f>
        <v>Forel (Lavaux)</v>
      </c>
      <c r="C119" s="260">
        <v>1229540.0906798062</v>
      </c>
      <c r="D119" s="477">
        <f>Synthèse!G118</f>
        <v>1055047.0418783422</v>
      </c>
      <c r="E119" s="478">
        <f t="shared" si="3"/>
        <v>-174493.04880146403</v>
      </c>
      <c r="F119" s="259">
        <v>71841.61996581452</v>
      </c>
      <c r="G119" s="482">
        <f>Synthèse!F118</f>
        <v>288317.08116482594</v>
      </c>
      <c r="H119" s="482">
        <f t="shared" si="4"/>
        <v>216475.46119901142</v>
      </c>
      <c r="I119" s="260">
        <v>222367.8100671352</v>
      </c>
      <c r="J119" s="486">
        <f>Synthèse!H118</f>
        <v>212577.73429733427</v>
      </c>
      <c r="K119" s="486">
        <f t="shared" si="5"/>
        <v>-9790.0757698009256</v>
      </c>
    </row>
    <row r="120" spans="1:11" s="263" customFormat="1" ht="15" x14ac:dyDescent="0.25">
      <c r="A120" s="86">
        <f>Données!A120</f>
        <v>5606</v>
      </c>
      <c r="B120" s="398" t="str">
        <f>Données!B120</f>
        <v>Lutry</v>
      </c>
      <c r="C120" s="260">
        <v>22204993.771073379</v>
      </c>
      <c r="D120" s="477">
        <f>Synthèse!G119</f>
        <v>31289436.476976402</v>
      </c>
      <c r="E120" s="478">
        <f t="shared" si="3"/>
        <v>9084442.7059030235</v>
      </c>
      <c r="F120" s="259">
        <v>9177948.9569218531</v>
      </c>
      <c r="G120" s="482">
        <f>Synthèse!F119</f>
        <v>17414041.501747929</v>
      </c>
      <c r="H120" s="482">
        <f t="shared" si="4"/>
        <v>8236092.5448260754</v>
      </c>
      <c r="I120" s="260">
        <v>1130646.2999570495</v>
      </c>
      <c r="J120" s="486">
        <f>Synthèse!H119</f>
        <v>1430563.5712026577</v>
      </c>
      <c r="K120" s="486">
        <f t="shared" si="5"/>
        <v>299917.27124560811</v>
      </c>
    </row>
    <row r="121" spans="1:11" s="263" customFormat="1" ht="15" x14ac:dyDescent="0.25">
      <c r="A121" s="86">
        <f>Données!A121</f>
        <v>5607</v>
      </c>
      <c r="B121" s="398" t="str">
        <f>Données!B121</f>
        <v>Puidoux</v>
      </c>
      <c r="C121" s="260">
        <v>2145727.3239635308</v>
      </c>
      <c r="D121" s="477">
        <f>Synthèse!G120</f>
        <v>2045680.0869994024</v>
      </c>
      <c r="E121" s="478">
        <f t="shared" si="3"/>
        <v>-100047.23696412845</v>
      </c>
      <c r="F121" s="259">
        <v>-247943.38836217136</v>
      </c>
      <c r="G121" s="482">
        <f>Synthèse!F120</f>
        <v>890923.14823579183</v>
      </c>
      <c r="H121" s="482">
        <f t="shared" si="4"/>
        <v>1138866.5365979632</v>
      </c>
      <c r="I121" s="260">
        <v>132890.5397720199</v>
      </c>
      <c r="J121" s="486">
        <f>Synthèse!H120</f>
        <v>138664.86227316546</v>
      </c>
      <c r="K121" s="486">
        <f t="shared" si="5"/>
        <v>5774.3225011455652</v>
      </c>
    </row>
    <row r="122" spans="1:11" s="263" customFormat="1" ht="15" x14ac:dyDescent="0.25">
      <c r="A122" s="86">
        <f>Données!A122</f>
        <v>5609</v>
      </c>
      <c r="B122" s="398" t="str">
        <f>Données!B122</f>
        <v>Rivaz</v>
      </c>
      <c r="C122" s="260">
        <v>273017.42767679057</v>
      </c>
      <c r="D122" s="477">
        <f>Synthèse!G121</f>
        <v>244509.26137565728</v>
      </c>
      <c r="E122" s="478">
        <f t="shared" si="3"/>
        <v>-28508.166301133286</v>
      </c>
      <c r="F122" s="259">
        <v>241331.61953758518</v>
      </c>
      <c r="G122" s="482">
        <f>Synthèse!F121</f>
        <v>226225.04294754966</v>
      </c>
      <c r="H122" s="482">
        <f t="shared" si="4"/>
        <v>-15106.576590035518</v>
      </c>
      <c r="I122" s="260">
        <v>20752.858182107535</v>
      </c>
      <c r="J122" s="486">
        <f>Synthèse!H121</f>
        <v>17620.120072176134</v>
      </c>
      <c r="K122" s="486">
        <f t="shared" si="5"/>
        <v>-3132.7381099314007</v>
      </c>
    </row>
    <row r="123" spans="1:11" s="263" customFormat="1" ht="15" x14ac:dyDescent="0.25">
      <c r="A123" s="86">
        <f>Données!A123</f>
        <v>5610</v>
      </c>
      <c r="B123" s="398" t="str">
        <f>Données!B123</f>
        <v>St-Saphorin (Lavaux)</v>
      </c>
      <c r="C123" s="260">
        <v>363108.24312537053</v>
      </c>
      <c r="D123" s="477">
        <f>Synthèse!G122</f>
        <v>312625.08463211555</v>
      </c>
      <c r="E123" s="478">
        <f t="shared" si="3"/>
        <v>-50483.158493254974</v>
      </c>
      <c r="F123" s="259">
        <v>313919.2361171752</v>
      </c>
      <c r="G123" s="482">
        <f>Synthèse!F122</f>
        <v>357757.28735598666</v>
      </c>
      <c r="H123" s="482">
        <f t="shared" si="4"/>
        <v>43838.051238811458</v>
      </c>
      <c r="I123" s="260">
        <v>24848.122996035247</v>
      </c>
      <c r="J123" s="486">
        <f>Synthèse!H122</f>
        <v>25169.027556208297</v>
      </c>
      <c r="K123" s="486">
        <f t="shared" si="5"/>
        <v>320.90456017305041</v>
      </c>
    </row>
    <row r="124" spans="1:11" s="263" customFormat="1" ht="15" x14ac:dyDescent="0.25">
      <c r="A124" s="86">
        <f>Données!A124</f>
        <v>5611</v>
      </c>
      <c r="B124" s="398" t="str">
        <f>Données!B124</f>
        <v>Savigny</v>
      </c>
      <c r="C124" s="260">
        <v>2521383.072858599</v>
      </c>
      <c r="D124" s="477">
        <f>Synthèse!G123</f>
        <v>2082849.369221437</v>
      </c>
      <c r="E124" s="478">
        <f t="shared" si="3"/>
        <v>-438533.70363716199</v>
      </c>
      <c r="F124" s="259">
        <v>770836.11244589416</v>
      </c>
      <c r="G124" s="482">
        <f>Synthèse!F123</f>
        <v>1116608.6730804578</v>
      </c>
      <c r="H124" s="482">
        <f t="shared" si="4"/>
        <v>345772.56063456368</v>
      </c>
      <c r="I124" s="260">
        <v>176674.56054750236</v>
      </c>
      <c r="J124" s="486">
        <f>Synthèse!H123</f>
        <v>164786.22467469945</v>
      </c>
      <c r="K124" s="486">
        <f t="shared" si="5"/>
        <v>-11888.335872802912</v>
      </c>
    </row>
    <row r="125" spans="1:11" s="263" customFormat="1" ht="15" x14ac:dyDescent="0.25">
      <c r="A125" s="86">
        <f>Données!A125</f>
        <v>5613</v>
      </c>
      <c r="B125" s="398" t="str">
        <f>Données!B125</f>
        <v>Bourg-en-Lavaux</v>
      </c>
      <c r="C125" s="260">
        <v>7342829.2923065331</v>
      </c>
      <c r="D125" s="477">
        <f>Synthèse!G124</f>
        <v>7677872.998300828</v>
      </c>
      <c r="E125" s="478">
        <f t="shared" si="3"/>
        <v>335043.70599429496</v>
      </c>
      <c r="F125" s="259">
        <v>4543029.8307760488</v>
      </c>
      <c r="G125" s="482">
        <f>Synthèse!F124</f>
        <v>4925229.0577297965</v>
      </c>
      <c r="H125" s="482">
        <f t="shared" si="4"/>
        <v>382199.22695374768</v>
      </c>
      <c r="I125" s="260">
        <v>444584.66174512019</v>
      </c>
      <c r="J125" s="486">
        <f>Synthèse!H124</f>
        <v>433364.54970777425</v>
      </c>
      <c r="K125" s="486">
        <f t="shared" si="5"/>
        <v>-11220.112037345942</v>
      </c>
    </row>
    <row r="126" spans="1:11" s="263" customFormat="1" ht="15" x14ac:dyDescent="0.25">
      <c r="A126" s="86">
        <f>Données!A126</f>
        <v>5621</v>
      </c>
      <c r="B126" s="398" t="str">
        <f>Données!B126</f>
        <v>Aclens</v>
      </c>
      <c r="C126" s="260">
        <v>733565.42153005151</v>
      </c>
      <c r="D126" s="477">
        <f>Synthèse!G125</f>
        <v>821523.12280209013</v>
      </c>
      <c r="E126" s="478">
        <f t="shared" si="3"/>
        <v>87957.701272038626</v>
      </c>
      <c r="F126" s="259">
        <v>512865.39877705183</v>
      </c>
      <c r="G126" s="482">
        <f>Synthèse!F125</f>
        <v>681113.73569218884</v>
      </c>
      <c r="H126" s="482">
        <f t="shared" si="4"/>
        <v>168248.33691513701</v>
      </c>
      <c r="I126" s="260">
        <v>86613.575099435606</v>
      </c>
      <c r="J126" s="486">
        <f>Synthèse!H125</f>
        <v>95985.756809065264</v>
      </c>
      <c r="K126" s="486">
        <f t="shared" si="5"/>
        <v>9372.1817096296581</v>
      </c>
    </row>
    <row r="127" spans="1:11" s="263" customFormat="1" ht="15" x14ac:dyDescent="0.25">
      <c r="A127" s="86">
        <f>Données!A127</f>
        <v>5622</v>
      </c>
      <c r="B127" s="398" t="str">
        <f>Données!B127</f>
        <v>Bremblens</v>
      </c>
      <c r="C127" s="260">
        <v>472942.35450274311</v>
      </c>
      <c r="D127" s="477">
        <f>Synthèse!G126</f>
        <v>539046.82797493425</v>
      </c>
      <c r="E127" s="478">
        <f t="shared" si="3"/>
        <v>66104.473472191137</v>
      </c>
      <c r="F127" s="259">
        <v>460234.70862913551</v>
      </c>
      <c r="G127" s="482">
        <f>Synthèse!F126</f>
        <v>514663.41141273477</v>
      </c>
      <c r="H127" s="482">
        <f t="shared" si="4"/>
        <v>54428.702783599263</v>
      </c>
      <c r="I127" s="260">
        <v>85515.127355067641</v>
      </c>
      <c r="J127" s="486">
        <f>Synthèse!H126</f>
        <v>90326.345456182928</v>
      </c>
      <c r="K127" s="486">
        <f t="shared" si="5"/>
        <v>4811.2181011152861</v>
      </c>
    </row>
    <row r="128" spans="1:11" s="263" customFormat="1" ht="15" x14ac:dyDescent="0.25">
      <c r="A128" s="86">
        <f>Données!A128</f>
        <v>5623</v>
      </c>
      <c r="B128" s="398" t="str">
        <f>Données!B128</f>
        <v>Buchillon</v>
      </c>
      <c r="C128" s="260">
        <v>2858664.6580319172</v>
      </c>
      <c r="D128" s="477">
        <f>Synthèse!G127</f>
        <v>2288136.3876488796</v>
      </c>
      <c r="E128" s="478">
        <f t="shared" si="3"/>
        <v>-570528.27038303763</v>
      </c>
      <c r="F128" s="259">
        <v>1725311.3921048369</v>
      </c>
      <c r="G128" s="482">
        <f>Synthèse!F127</f>
        <v>1611526.1808221692</v>
      </c>
      <c r="H128" s="482">
        <f t="shared" si="4"/>
        <v>-113785.2112826677</v>
      </c>
      <c r="I128" s="260">
        <v>122229.31017966951</v>
      </c>
      <c r="J128" s="486">
        <f>Synthèse!H127</f>
        <v>104330.33563302438</v>
      </c>
      <c r="K128" s="486">
        <f t="shared" si="5"/>
        <v>-17898.974546645128</v>
      </c>
    </row>
    <row r="129" spans="1:11" s="263" customFormat="1" ht="15" x14ac:dyDescent="0.25">
      <c r="A129" s="86">
        <f>Données!A129</f>
        <v>5624</v>
      </c>
      <c r="B129" s="398" t="str">
        <f>Données!B129</f>
        <v>Bussigny</v>
      </c>
      <c r="C129" s="260">
        <v>6823706.896998967</v>
      </c>
      <c r="D129" s="477">
        <f>Synthèse!G128</f>
        <v>8149596.0876488322</v>
      </c>
      <c r="E129" s="478">
        <f t="shared" si="3"/>
        <v>1325889.1906498652</v>
      </c>
      <c r="F129" s="259">
        <v>-783425.98239400052</v>
      </c>
      <c r="G129" s="482">
        <f>Synthèse!F128</f>
        <v>4453807.770859329</v>
      </c>
      <c r="H129" s="482">
        <f t="shared" si="4"/>
        <v>5237233.7532533295</v>
      </c>
      <c r="I129" s="260">
        <v>453860.08938170422</v>
      </c>
      <c r="J129" s="486">
        <f>Synthèse!H128</f>
        <v>616929.30426043179</v>
      </c>
      <c r="K129" s="486">
        <f t="shared" si="5"/>
        <v>163069.21487872757</v>
      </c>
    </row>
    <row r="130" spans="1:11" s="263" customFormat="1" ht="15" x14ac:dyDescent="0.25">
      <c r="A130" s="86">
        <f>Données!A130</f>
        <v>5627</v>
      </c>
      <c r="B130" s="398" t="str">
        <f>Données!B130</f>
        <v>Chavannes-près-Renens</v>
      </c>
      <c r="C130" s="260">
        <v>2886282.6323666954</v>
      </c>
      <c r="D130" s="477">
        <f>Synthèse!G129</f>
        <v>3190486.5896521835</v>
      </c>
      <c r="E130" s="478">
        <f t="shared" si="3"/>
        <v>304203.95728548802</v>
      </c>
      <c r="F130" s="259">
        <v>-5672811.8325387388</v>
      </c>
      <c r="G130" s="482">
        <f>Synthèse!F129</f>
        <v>-4700012.6324908948</v>
      </c>
      <c r="H130" s="482">
        <f t="shared" si="4"/>
        <v>972799.20004784409</v>
      </c>
      <c r="I130" s="260">
        <v>210075.46148605985</v>
      </c>
      <c r="J130" s="486">
        <f>Synthèse!H129</f>
        <v>222686.46144660874</v>
      </c>
      <c r="K130" s="486">
        <f t="shared" si="5"/>
        <v>12610.999960548885</v>
      </c>
    </row>
    <row r="131" spans="1:11" s="263" customFormat="1" ht="15" x14ac:dyDescent="0.25">
      <c r="A131" s="86">
        <f>Données!A131</f>
        <v>5628</v>
      </c>
      <c r="B131" s="398" t="str">
        <f>Données!B131</f>
        <v>Chigny</v>
      </c>
      <c r="C131" s="260">
        <v>519482.50395227998</v>
      </c>
      <c r="D131" s="477">
        <f>Synthèse!G130</f>
        <v>531871.49960163992</v>
      </c>
      <c r="E131" s="478">
        <f t="shared" si="3"/>
        <v>12388.995649359946</v>
      </c>
      <c r="F131" s="259">
        <v>422574.71377101768</v>
      </c>
      <c r="G131" s="482">
        <f>Synthèse!F130</f>
        <v>476582.43502442958</v>
      </c>
      <c r="H131" s="482">
        <f t="shared" si="4"/>
        <v>54007.721253411903</v>
      </c>
      <c r="I131" s="260">
        <v>65509.989552208215</v>
      </c>
      <c r="J131" s="486">
        <f>Synthèse!H130</f>
        <v>70006.170679167917</v>
      </c>
      <c r="K131" s="486">
        <f t="shared" si="5"/>
        <v>4496.1811269597019</v>
      </c>
    </row>
    <row r="132" spans="1:11" s="263" customFormat="1" ht="15" x14ac:dyDescent="0.25">
      <c r="A132" s="86">
        <f>Données!A132</f>
        <v>5629</v>
      </c>
      <c r="B132" s="398" t="str">
        <f>Données!B132</f>
        <v>Clarmont</v>
      </c>
      <c r="C132" s="260">
        <v>126436.04486567902</v>
      </c>
      <c r="D132" s="477">
        <f>Synthèse!G131</f>
        <v>132145.1438388447</v>
      </c>
      <c r="E132" s="478">
        <f t="shared" si="3"/>
        <v>5709.0989731656737</v>
      </c>
      <c r="F132" s="259">
        <v>85217.323168193107</v>
      </c>
      <c r="G132" s="482">
        <f>Synthèse!F131</f>
        <v>150927.77316270518</v>
      </c>
      <c r="H132" s="482">
        <f t="shared" si="4"/>
        <v>65710.449994512077</v>
      </c>
      <c r="I132" s="260">
        <v>27020.265813103739</v>
      </c>
      <c r="J132" s="486">
        <f>Synthèse!H131</f>
        <v>30598.481237171756</v>
      </c>
      <c r="K132" s="486">
        <f t="shared" si="5"/>
        <v>3578.2154240680175</v>
      </c>
    </row>
    <row r="133" spans="1:11" s="263" customFormat="1" ht="15" x14ac:dyDescent="0.25">
      <c r="A133" s="86">
        <f>Données!A133</f>
        <v>5631</v>
      </c>
      <c r="B133" s="398" t="str">
        <f>Données!B133</f>
        <v>Denens</v>
      </c>
      <c r="C133" s="260">
        <v>965612.23281878571</v>
      </c>
      <c r="D133" s="477">
        <f>Synthèse!G132</f>
        <v>721221.98277507164</v>
      </c>
      <c r="E133" s="478">
        <f t="shared" si="3"/>
        <v>-244390.25004371407</v>
      </c>
      <c r="F133" s="259">
        <v>740218.15192775778</v>
      </c>
      <c r="G133" s="482">
        <f>Synthèse!F132</f>
        <v>708448.09613418905</v>
      </c>
      <c r="H133" s="482">
        <f t="shared" si="4"/>
        <v>-31770.055793568725</v>
      </c>
      <c r="I133" s="260">
        <v>119266.31038373506</v>
      </c>
      <c r="J133" s="486">
        <f>Synthèse!H132</f>
        <v>113118.65121527376</v>
      </c>
      <c r="K133" s="486">
        <f t="shared" si="5"/>
        <v>-6147.6591684613086</v>
      </c>
    </row>
    <row r="134" spans="1:11" s="263" customFormat="1" ht="15" x14ac:dyDescent="0.25">
      <c r="A134" s="86">
        <f>Données!A134</f>
        <v>5632</v>
      </c>
      <c r="B134" s="398" t="str">
        <f>Données!B134</f>
        <v>Denges</v>
      </c>
      <c r="C134" s="260">
        <v>1327962.9399480049</v>
      </c>
      <c r="D134" s="477">
        <f>Synthèse!G133</f>
        <v>1290462.3132648177</v>
      </c>
      <c r="E134" s="478">
        <f t="shared" si="3"/>
        <v>-37500.626683187205</v>
      </c>
      <c r="F134" s="259">
        <v>936023.24060788972</v>
      </c>
      <c r="G134" s="482">
        <f>Synthèse!F133</f>
        <v>1090202.3943974865</v>
      </c>
      <c r="H134" s="482">
        <f t="shared" si="4"/>
        <v>154179.15378959675</v>
      </c>
      <c r="I134" s="260">
        <v>239596.90444148597</v>
      </c>
      <c r="J134" s="486">
        <f>Synthèse!H133</f>
        <v>246043.8930801512</v>
      </c>
      <c r="K134" s="486">
        <f t="shared" si="5"/>
        <v>6446.9886386652361</v>
      </c>
    </row>
    <row r="135" spans="1:11" s="263" customFormat="1" ht="15" x14ac:dyDescent="0.25">
      <c r="A135" s="86">
        <f>Données!A135</f>
        <v>5633</v>
      </c>
      <c r="B135" s="398" t="str">
        <f>Données!B135</f>
        <v>Echandens</v>
      </c>
      <c r="C135" s="260">
        <v>3211753.5120655773</v>
      </c>
      <c r="D135" s="477">
        <f>Synthèse!G134</f>
        <v>2419361.8782139318</v>
      </c>
      <c r="E135" s="478">
        <f t="shared" ref="E135:E198" si="6">D135-C135</f>
        <v>-792391.63385164551</v>
      </c>
      <c r="F135" s="259">
        <v>1481572.3816568996</v>
      </c>
      <c r="G135" s="482">
        <f>Synthèse!F134</f>
        <v>2065730.635222662</v>
      </c>
      <c r="H135" s="482">
        <f t="shared" ref="H135:H198" si="7">G135-F135</f>
        <v>584158.25356576242</v>
      </c>
      <c r="I135" s="260">
        <v>425007.97139821463</v>
      </c>
      <c r="J135" s="486">
        <f>Synthèse!H134</f>
        <v>434890.45854349545</v>
      </c>
      <c r="K135" s="486">
        <f t="shared" ref="K135:K198" si="8">J135-I135</f>
        <v>9882.4871452808147</v>
      </c>
    </row>
    <row r="136" spans="1:11" s="263" customFormat="1" ht="15" x14ac:dyDescent="0.25">
      <c r="A136" s="86">
        <f>Données!A136</f>
        <v>5634</v>
      </c>
      <c r="B136" s="398" t="str">
        <f>Données!B136</f>
        <v>Echichens</v>
      </c>
      <c r="C136" s="260">
        <v>3081010.0315313796</v>
      </c>
      <c r="D136" s="477">
        <f>Synthèse!G135</f>
        <v>3416411.7999595371</v>
      </c>
      <c r="E136" s="478">
        <f t="shared" si="6"/>
        <v>335401.76842815755</v>
      </c>
      <c r="F136" s="259">
        <v>2261475.5449975068</v>
      </c>
      <c r="G136" s="482">
        <f>Synthèse!F135</f>
        <v>2555550.2110226955</v>
      </c>
      <c r="H136" s="482">
        <f t="shared" si="7"/>
        <v>294074.66602518875</v>
      </c>
      <c r="I136" s="260">
        <v>478019.7397896481</v>
      </c>
      <c r="J136" s="486">
        <f>Synthèse!H135</f>
        <v>503024.69832355354</v>
      </c>
      <c r="K136" s="486">
        <f t="shared" si="8"/>
        <v>25004.958533905447</v>
      </c>
    </row>
    <row r="137" spans="1:11" s="263" customFormat="1" ht="15" x14ac:dyDescent="0.25">
      <c r="A137" s="86">
        <f>Données!A137</f>
        <v>5635</v>
      </c>
      <c r="B137" s="398" t="str">
        <f>Données!B137</f>
        <v>Ecublens</v>
      </c>
      <c r="C137" s="260">
        <v>9534243.082332138</v>
      </c>
      <c r="D137" s="477">
        <f>Synthèse!G136</f>
        <v>8300190.7349143755</v>
      </c>
      <c r="E137" s="478">
        <f t="shared" si="6"/>
        <v>-1234052.3474177625</v>
      </c>
      <c r="F137" s="259">
        <v>-3025958.4280536994</v>
      </c>
      <c r="G137" s="482">
        <f>Synthèse!F136</f>
        <v>-138392.84513690881</v>
      </c>
      <c r="H137" s="482">
        <f t="shared" si="7"/>
        <v>2887565.5829167906</v>
      </c>
      <c r="I137" s="260">
        <v>649479.06949014403</v>
      </c>
      <c r="J137" s="486">
        <f>Synthèse!H136</f>
        <v>609161.07136401755</v>
      </c>
      <c r="K137" s="486">
        <f t="shared" si="8"/>
        <v>-40317.998126126477</v>
      </c>
    </row>
    <row r="138" spans="1:11" s="263" customFormat="1" ht="15" x14ac:dyDescent="0.25">
      <c r="A138" s="86">
        <f>Données!A138</f>
        <v>5636</v>
      </c>
      <c r="B138" s="398" t="str">
        <f>Données!B138</f>
        <v>Etoy</v>
      </c>
      <c r="C138" s="260">
        <v>3644227.3182986523</v>
      </c>
      <c r="D138" s="477">
        <f>Synthèse!G137</f>
        <v>3806470.3211716246</v>
      </c>
      <c r="E138" s="478">
        <f t="shared" si="6"/>
        <v>162243.00287297228</v>
      </c>
      <c r="F138" s="259">
        <v>2473332.6320391335</v>
      </c>
      <c r="G138" s="482">
        <f>Synthèse!F137</f>
        <v>2808712.6897749715</v>
      </c>
      <c r="H138" s="482">
        <f t="shared" si="7"/>
        <v>335380.057735838</v>
      </c>
      <c r="I138" s="260">
        <v>467405.34148726275</v>
      </c>
      <c r="J138" s="486">
        <f>Synthèse!H137</f>
        <v>486115.34768406057</v>
      </c>
      <c r="K138" s="486">
        <f t="shared" si="8"/>
        <v>18710.006196797825</v>
      </c>
    </row>
    <row r="139" spans="1:11" s="263" customFormat="1" ht="15" x14ac:dyDescent="0.25">
      <c r="A139" s="86">
        <f>Données!A139</f>
        <v>5637</v>
      </c>
      <c r="B139" s="398" t="str">
        <f>Données!B139</f>
        <v>Lavigny</v>
      </c>
      <c r="C139" s="260">
        <v>780248.20227217372</v>
      </c>
      <c r="D139" s="477">
        <f>Synthèse!G138</f>
        <v>615738.71396734379</v>
      </c>
      <c r="E139" s="478">
        <f t="shared" si="6"/>
        <v>-164509.48830482992</v>
      </c>
      <c r="F139" s="259">
        <v>400526.24882418627</v>
      </c>
      <c r="G139" s="482">
        <f>Synthèse!F138</f>
        <v>256407.5522668222</v>
      </c>
      <c r="H139" s="482">
        <f t="shared" si="7"/>
        <v>-144118.69655736408</v>
      </c>
      <c r="I139" s="260">
        <v>130203.51980319442</v>
      </c>
      <c r="J139" s="486">
        <f>Synthèse!H138</f>
        <v>109720.83282766293</v>
      </c>
      <c r="K139" s="486">
        <f t="shared" si="8"/>
        <v>-20482.686975531484</v>
      </c>
    </row>
    <row r="140" spans="1:11" s="263" customFormat="1" ht="15" x14ac:dyDescent="0.25">
      <c r="A140" s="86">
        <f>Données!A140</f>
        <v>5638</v>
      </c>
      <c r="B140" s="398" t="str">
        <f>Données!B140</f>
        <v>Lonay</v>
      </c>
      <c r="C140" s="260">
        <v>3511348.9098939458</v>
      </c>
      <c r="D140" s="477">
        <f>Synthèse!G139</f>
        <v>5206503.1066442588</v>
      </c>
      <c r="E140" s="478">
        <f t="shared" si="6"/>
        <v>1695154.196750313</v>
      </c>
      <c r="F140" s="259">
        <v>1613026.8120389972</v>
      </c>
      <c r="G140" s="482">
        <f>Synthèse!F139</f>
        <v>2220994.035454615</v>
      </c>
      <c r="H140" s="482">
        <f t="shared" si="7"/>
        <v>607967.22341561783</v>
      </c>
      <c r="I140" s="260">
        <v>415890.97845156374</v>
      </c>
      <c r="J140" s="486">
        <f>Synthèse!H139</f>
        <v>420577.83563117625</v>
      </c>
      <c r="K140" s="486">
        <f t="shared" si="8"/>
        <v>4686.8571796125034</v>
      </c>
    </row>
    <row r="141" spans="1:11" s="263" customFormat="1" ht="15" x14ac:dyDescent="0.25">
      <c r="A141" s="86">
        <f>Données!A141</f>
        <v>5639</v>
      </c>
      <c r="B141" s="398" t="str">
        <f>Données!B141</f>
        <v>Lully</v>
      </c>
      <c r="C141" s="260">
        <v>842034.985906124</v>
      </c>
      <c r="D141" s="477">
        <f>Synthèse!G140</f>
        <v>899625.25085147528</v>
      </c>
      <c r="E141" s="478">
        <f t="shared" si="6"/>
        <v>57590.264945351286</v>
      </c>
      <c r="F141" s="259">
        <v>773859.25404235278</v>
      </c>
      <c r="G141" s="482">
        <f>Synthèse!F140</f>
        <v>896720.92185040994</v>
      </c>
      <c r="H141" s="482">
        <f t="shared" si="7"/>
        <v>122861.66780805716</v>
      </c>
      <c r="I141" s="260">
        <v>129288.35459483763</v>
      </c>
      <c r="J141" s="486">
        <f>Synthèse!H140</f>
        <v>135475.09496998996</v>
      </c>
      <c r="K141" s="486">
        <f t="shared" si="8"/>
        <v>6186.7403751523379</v>
      </c>
    </row>
    <row r="142" spans="1:11" s="263" customFormat="1" ht="15" x14ac:dyDescent="0.25">
      <c r="A142" s="86">
        <f>Données!A142</f>
        <v>5640</v>
      </c>
      <c r="B142" s="398" t="str">
        <f>Données!B142</f>
        <v>Lussy-sur-Morges</v>
      </c>
      <c r="C142" s="260">
        <v>1479876.2594191132</v>
      </c>
      <c r="D142" s="477">
        <f>Synthèse!G141</f>
        <v>3238673.8814292918</v>
      </c>
      <c r="E142" s="478">
        <f t="shared" si="6"/>
        <v>1758797.6220101786</v>
      </c>
      <c r="F142" s="259">
        <v>1002822.8384643286</v>
      </c>
      <c r="G142" s="482">
        <f>Synthèse!F141</f>
        <v>1015438.8019637211</v>
      </c>
      <c r="H142" s="482">
        <f t="shared" si="7"/>
        <v>12615.963499392499</v>
      </c>
      <c r="I142" s="260">
        <v>73751.036796036453</v>
      </c>
      <c r="J142" s="486">
        <f>Synthèse!H141</f>
        <v>68179.966000948611</v>
      </c>
      <c r="K142" s="486">
        <f t="shared" si="8"/>
        <v>-5571.0707950878423</v>
      </c>
    </row>
    <row r="143" spans="1:11" s="263" customFormat="1" ht="15" x14ac:dyDescent="0.25">
      <c r="A143" s="86">
        <f>Données!A143</f>
        <v>5642</v>
      </c>
      <c r="B143" s="398" t="str">
        <f>Données!B143</f>
        <v>Morges</v>
      </c>
      <c r="C143" s="260">
        <v>17586631.790163998</v>
      </c>
      <c r="D143" s="477">
        <f>Synthèse!G142</f>
        <v>16718973.413600354</v>
      </c>
      <c r="E143" s="478">
        <f t="shared" si="6"/>
        <v>-867658.37656364404</v>
      </c>
      <c r="F143" s="259">
        <v>5195607.1196833029</v>
      </c>
      <c r="G143" s="482">
        <f>Synthèse!F142</f>
        <v>5996401.4507283717</v>
      </c>
      <c r="H143" s="482">
        <f t="shared" si="7"/>
        <v>800794.3310450688</v>
      </c>
      <c r="I143" s="260">
        <v>1128494.1716929551</v>
      </c>
      <c r="J143" s="486">
        <f>Synthèse!H142</f>
        <v>1157208.7541673945</v>
      </c>
      <c r="K143" s="486">
        <f t="shared" si="8"/>
        <v>28714.582474439405</v>
      </c>
    </row>
    <row r="144" spans="1:11" s="263" customFormat="1" ht="15" x14ac:dyDescent="0.25">
      <c r="A144" s="86">
        <f>Données!A144</f>
        <v>5643</v>
      </c>
      <c r="B144" s="398" t="str">
        <f>Données!B144</f>
        <v>Préverenges</v>
      </c>
      <c r="C144" s="260">
        <v>4548923.8565151021</v>
      </c>
      <c r="D144" s="477">
        <f>Synthèse!G143</f>
        <v>3560486.9077259619</v>
      </c>
      <c r="E144" s="478">
        <f t="shared" si="6"/>
        <v>-988436.94878914021</v>
      </c>
      <c r="F144" s="259">
        <v>3068638.6568656797</v>
      </c>
      <c r="G144" s="482">
        <f>Synthèse!F143</f>
        <v>2834658.9993618052</v>
      </c>
      <c r="H144" s="482">
        <f t="shared" si="7"/>
        <v>-233979.65750387451</v>
      </c>
      <c r="I144" s="260">
        <v>339092.25354644656</v>
      </c>
      <c r="J144" s="486">
        <f>Synthèse!H143</f>
        <v>298256.79535711871</v>
      </c>
      <c r="K144" s="486">
        <f t="shared" si="8"/>
        <v>-40835.458189327852</v>
      </c>
    </row>
    <row r="145" spans="1:11" s="263" customFormat="1" ht="15" x14ac:dyDescent="0.25">
      <c r="A145" s="86">
        <f>Données!A145</f>
        <v>5645</v>
      </c>
      <c r="B145" s="398" t="str">
        <f>Données!B145</f>
        <v>Romanel-sur-Morges</v>
      </c>
      <c r="C145" s="260">
        <v>572533.94817352865</v>
      </c>
      <c r="D145" s="477">
        <f>Synthèse!G144</f>
        <v>356038.46002151258</v>
      </c>
      <c r="E145" s="478">
        <f t="shared" si="6"/>
        <v>-216495.48815201607</v>
      </c>
      <c r="F145" s="259">
        <v>395415.22718300519</v>
      </c>
      <c r="G145" s="482">
        <f>Synthèse!F144</f>
        <v>397441.9271515818</v>
      </c>
      <c r="H145" s="482">
        <f t="shared" si="7"/>
        <v>2026.6999685766059</v>
      </c>
      <c r="I145" s="260">
        <v>74938.554115090737</v>
      </c>
      <c r="J145" s="486">
        <f>Synthèse!H144</f>
        <v>68933.902415613789</v>
      </c>
      <c r="K145" s="486">
        <f t="shared" si="8"/>
        <v>-6004.6516994769481</v>
      </c>
    </row>
    <row r="146" spans="1:11" s="263" customFormat="1" ht="15" x14ac:dyDescent="0.25">
      <c r="A146" s="86">
        <f>Données!A146</f>
        <v>5646</v>
      </c>
      <c r="B146" s="398" t="str">
        <f>Données!B146</f>
        <v>Saint-Prex</v>
      </c>
      <c r="C146" s="260">
        <v>14113190.298794772</v>
      </c>
      <c r="D146" s="477">
        <f>Synthèse!G145</f>
        <v>12689332.459563646</v>
      </c>
      <c r="E146" s="478">
        <f t="shared" si="6"/>
        <v>-1423857.839231126</v>
      </c>
      <c r="F146" s="259">
        <v>7959023.3445189679</v>
      </c>
      <c r="G146" s="482">
        <f>Synthèse!F145</f>
        <v>7475902.7447779812</v>
      </c>
      <c r="H146" s="482">
        <f t="shared" si="7"/>
        <v>-483120.59974098671</v>
      </c>
      <c r="I146" s="260">
        <v>694346.83962782728</v>
      </c>
      <c r="J146" s="486">
        <f>Synthèse!H145</f>
        <v>608468.06637818157</v>
      </c>
      <c r="K146" s="486">
        <f t="shared" si="8"/>
        <v>-85878.773249645717</v>
      </c>
    </row>
    <row r="147" spans="1:11" s="263" customFormat="1" ht="15" x14ac:dyDescent="0.25">
      <c r="A147" s="86">
        <f>Données!A147</f>
        <v>5648</v>
      </c>
      <c r="B147" s="398" t="str">
        <f>Données!B147</f>
        <v>Saint-Sulpice</v>
      </c>
      <c r="C147" s="260">
        <v>9492655.9432728905</v>
      </c>
      <c r="D147" s="477">
        <f>Synthèse!G146</f>
        <v>8594706.4311272725</v>
      </c>
      <c r="E147" s="478">
        <f t="shared" si="6"/>
        <v>-897949.51214561798</v>
      </c>
      <c r="F147" s="259">
        <v>5819418.2087976206</v>
      </c>
      <c r="G147" s="482">
        <f>Synthèse!F146</f>
        <v>6099780.3613251075</v>
      </c>
      <c r="H147" s="482">
        <f t="shared" si="7"/>
        <v>280362.15252748691</v>
      </c>
      <c r="I147" s="260">
        <v>512082.79534340196</v>
      </c>
      <c r="J147" s="486">
        <f>Synthèse!H146</f>
        <v>492177.05951919727</v>
      </c>
      <c r="K147" s="486">
        <f t="shared" si="8"/>
        <v>-19905.73582420469</v>
      </c>
    </row>
    <row r="148" spans="1:11" s="263" customFormat="1" ht="15" x14ac:dyDescent="0.25">
      <c r="A148" s="86">
        <f>Données!A148</f>
        <v>5649</v>
      </c>
      <c r="B148" s="398" t="str">
        <f>Données!B148</f>
        <v>Tolochenaz</v>
      </c>
      <c r="C148" s="260">
        <v>5865059.6546472777</v>
      </c>
      <c r="D148" s="477">
        <f>Synthèse!G147</f>
        <v>4212159.1474852851</v>
      </c>
      <c r="E148" s="478">
        <f t="shared" si="6"/>
        <v>-1652900.5071619926</v>
      </c>
      <c r="F148" s="259">
        <v>3352639.9646676499</v>
      </c>
      <c r="G148" s="482">
        <f>Synthèse!F147</f>
        <v>2881199.8652640423</v>
      </c>
      <c r="H148" s="482">
        <f t="shared" si="7"/>
        <v>-471440.09940360766</v>
      </c>
      <c r="I148" s="260">
        <v>255567.53987605905</v>
      </c>
      <c r="J148" s="486">
        <f>Synthèse!H147</f>
        <v>204716.42043076089</v>
      </c>
      <c r="K148" s="486">
        <f t="shared" si="8"/>
        <v>-50851.119445298158</v>
      </c>
    </row>
    <row r="149" spans="1:11" s="263" customFormat="1" ht="15" x14ac:dyDescent="0.25">
      <c r="A149" s="86">
        <f>Données!A149</f>
        <v>5650</v>
      </c>
      <c r="B149" s="398" t="str">
        <f>Données!B149</f>
        <v>Vaux-sur-Morges</v>
      </c>
      <c r="C149" s="260">
        <v>2569409.5449203802</v>
      </c>
      <c r="D149" s="477">
        <f>Synthèse!G148</f>
        <v>3615070.7712497865</v>
      </c>
      <c r="E149" s="478">
        <f t="shared" si="6"/>
        <v>1045661.2263294063</v>
      </c>
      <c r="F149" s="259">
        <v>473945.5836024672</v>
      </c>
      <c r="G149" s="482">
        <f>Synthèse!F148</f>
        <v>740774.39732164307</v>
      </c>
      <c r="H149" s="482">
        <f t="shared" si="7"/>
        <v>266828.81371917587</v>
      </c>
      <c r="I149" s="260">
        <v>97974.148292201091</v>
      </c>
      <c r="J149" s="486">
        <f>Synthèse!H148</f>
        <v>123388.52352285225</v>
      </c>
      <c r="K149" s="486">
        <f t="shared" si="8"/>
        <v>25414.37523065116</v>
      </c>
    </row>
    <row r="150" spans="1:11" s="263" customFormat="1" ht="15" x14ac:dyDescent="0.25">
      <c r="A150" s="86">
        <f>Données!A150</f>
        <v>5651</v>
      </c>
      <c r="B150" s="398" t="str">
        <f>Données!B150</f>
        <v>Villars-Sainte-Croix</v>
      </c>
      <c r="C150" s="260">
        <v>1161718.6180156013</v>
      </c>
      <c r="D150" s="477">
        <f>Synthèse!G149</f>
        <v>969102.66642281809</v>
      </c>
      <c r="E150" s="478">
        <f t="shared" si="6"/>
        <v>-192615.95159278321</v>
      </c>
      <c r="F150" s="259">
        <v>946494.51751774526</v>
      </c>
      <c r="G150" s="482">
        <f>Synthèse!F149</f>
        <v>949571.95224933571</v>
      </c>
      <c r="H150" s="482">
        <f t="shared" si="7"/>
        <v>3077.4347315904452</v>
      </c>
      <c r="I150" s="260">
        <v>71923.661665707899</v>
      </c>
      <c r="J150" s="486">
        <f>Synthèse!H149</f>
        <v>66098.925222328515</v>
      </c>
      <c r="K150" s="486">
        <f t="shared" si="8"/>
        <v>-5824.7364433793846</v>
      </c>
    </row>
    <row r="151" spans="1:11" s="263" customFormat="1" ht="15" x14ac:dyDescent="0.25">
      <c r="A151" s="86">
        <f>Données!A151</f>
        <v>5652</v>
      </c>
      <c r="B151" s="398" t="str">
        <f>Données!B151</f>
        <v>Villars-sous-Yens</v>
      </c>
      <c r="C151" s="260">
        <v>459143.63218379719</v>
      </c>
      <c r="D151" s="477">
        <f>Synthèse!G150</f>
        <v>548037.08537744777</v>
      </c>
      <c r="E151" s="478">
        <f t="shared" si="6"/>
        <v>88893.453193650581</v>
      </c>
      <c r="F151" s="259">
        <v>337977.31413260847</v>
      </c>
      <c r="G151" s="482">
        <f>Synthèse!F150</f>
        <v>330695.25479227985</v>
      </c>
      <c r="H151" s="482">
        <f t="shared" si="7"/>
        <v>-7282.0593403286184</v>
      </c>
      <c r="I151" s="260">
        <v>81581.770372391722</v>
      </c>
      <c r="J151" s="486">
        <f>Synthèse!H150</f>
        <v>79452.660676012398</v>
      </c>
      <c r="K151" s="486">
        <f t="shared" si="8"/>
        <v>-2129.1096963793243</v>
      </c>
    </row>
    <row r="152" spans="1:11" s="263" customFormat="1" ht="15" x14ac:dyDescent="0.25">
      <c r="A152" s="86">
        <f>Données!A152</f>
        <v>5653</v>
      </c>
      <c r="B152" s="398" t="str">
        <f>Données!B152</f>
        <v>Vufflens-le-Château</v>
      </c>
      <c r="C152" s="260">
        <v>1688863.7481970934</v>
      </c>
      <c r="D152" s="477">
        <f>Synthèse!G151</f>
        <v>1500902.1714343275</v>
      </c>
      <c r="E152" s="478">
        <f t="shared" si="6"/>
        <v>-187961.57676276588</v>
      </c>
      <c r="F152" s="259">
        <v>1209445.8645951236</v>
      </c>
      <c r="G152" s="482">
        <f>Synthèse!F151</f>
        <v>1255458.3245450391</v>
      </c>
      <c r="H152" s="482">
        <f t="shared" si="7"/>
        <v>46012.45994991553</v>
      </c>
      <c r="I152" s="260">
        <v>162899.68970179715</v>
      </c>
      <c r="J152" s="486">
        <f>Synthèse!H151</f>
        <v>163251.6473921077</v>
      </c>
      <c r="K152" s="486">
        <f t="shared" si="8"/>
        <v>351.95769031054806</v>
      </c>
    </row>
    <row r="153" spans="1:11" s="263" customFormat="1" ht="15" x14ac:dyDescent="0.25">
      <c r="A153" s="86">
        <f>Données!A153</f>
        <v>5654</v>
      </c>
      <c r="B153" s="398" t="str">
        <f>Données!B153</f>
        <v>Vullierens</v>
      </c>
      <c r="C153" s="260">
        <v>362282.50624319946</v>
      </c>
      <c r="D153" s="477">
        <f>Synthèse!G152</f>
        <v>283164.97861035226</v>
      </c>
      <c r="E153" s="478">
        <f t="shared" si="6"/>
        <v>-79117.527632847195</v>
      </c>
      <c r="F153" s="259">
        <v>143708.51811581175</v>
      </c>
      <c r="G153" s="482">
        <f>Synthèse!F152</f>
        <v>174962.54762877215</v>
      </c>
      <c r="H153" s="482">
        <f t="shared" si="7"/>
        <v>31254.029512960406</v>
      </c>
      <c r="I153" s="260">
        <v>60599.890341733735</v>
      </c>
      <c r="J153" s="486">
        <f>Synthèse!H152</f>
        <v>62880.89852223247</v>
      </c>
      <c r="K153" s="486">
        <f t="shared" si="8"/>
        <v>2281.0081804987349</v>
      </c>
    </row>
    <row r="154" spans="1:11" s="263" customFormat="1" ht="15" x14ac:dyDescent="0.25">
      <c r="A154" s="86">
        <f>Données!A154</f>
        <v>5655</v>
      </c>
      <c r="B154" s="398" t="str">
        <f>Données!B154</f>
        <v>Yens</v>
      </c>
      <c r="C154" s="260">
        <v>1946243.5550514266</v>
      </c>
      <c r="D154" s="477">
        <f>Synthèse!G153</f>
        <v>1408760.8535546209</v>
      </c>
      <c r="E154" s="478">
        <f t="shared" si="6"/>
        <v>-537482.70149680576</v>
      </c>
      <c r="F154" s="259">
        <v>1449716.5510541876</v>
      </c>
      <c r="G154" s="482">
        <f>Synthèse!F153</f>
        <v>1249367.3754334259</v>
      </c>
      <c r="H154" s="482">
        <f t="shared" si="7"/>
        <v>-200349.1756207617</v>
      </c>
      <c r="I154" s="260">
        <v>243318.07104068864</v>
      </c>
      <c r="J154" s="486">
        <f>Synthèse!H153</f>
        <v>231582.46162857785</v>
      </c>
      <c r="K154" s="486">
        <f t="shared" si="8"/>
        <v>-11735.609412110789</v>
      </c>
    </row>
    <row r="155" spans="1:11" s="263" customFormat="1" ht="15" x14ac:dyDescent="0.25">
      <c r="A155" s="86">
        <f>Données!A155</f>
        <v>5656</v>
      </c>
      <c r="B155" s="398" t="str">
        <f>Données!B155</f>
        <v>Hautemorges</v>
      </c>
      <c r="C155" s="260">
        <v>2684605.0820646812</v>
      </c>
      <c r="D155" s="477">
        <f>Synthèse!G154</f>
        <v>2575158.7944267411</v>
      </c>
      <c r="E155" s="478">
        <f t="shared" si="6"/>
        <v>-109446.28763794014</v>
      </c>
      <c r="F155" s="259">
        <v>1098187.0081773514</v>
      </c>
      <c r="G155" s="482">
        <f>Synthèse!F154</f>
        <v>952059.98703963542</v>
      </c>
      <c r="H155" s="482">
        <f t="shared" si="7"/>
        <v>-146127.02113771602</v>
      </c>
      <c r="I155" s="260">
        <v>506227.3184634652</v>
      </c>
      <c r="J155" s="486">
        <f>Synthèse!H154</f>
        <v>511986.82766297844</v>
      </c>
      <c r="K155" s="486">
        <f t="shared" si="8"/>
        <v>5759.5091995132389</v>
      </c>
    </row>
    <row r="156" spans="1:11" s="263" customFormat="1" ht="15" x14ac:dyDescent="0.25">
      <c r="A156" s="86">
        <f>Données!A156</f>
        <v>5661</v>
      </c>
      <c r="B156" s="398" t="str">
        <f>Données!B156</f>
        <v>Boulens</v>
      </c>
      <c r="C156" s="260">
        <v>165538.90959085574</v>
      </c>
      <c r="D156" s="477">
        <f>Synthèse!G155</f>
        <v>141636.45109454758</v>
      </c>
      <c r="E156" s="478">
        <f t="shared" si="6"/>
        <v>-23902.458496308158</v>
      </c>
      <c r="F156" s="259">
        <v>-5132.0539024042373</v>
      </c>
      <c r="G156" s="482">
        <f>Synthèse!F155</f>
        <v>7880.8001530347974</v>
      </c>
      <c r="H156" s="482">
        <f t="shared" si="7"/>
        <v>13012.854055439035</v>
      </c>
      <c r="I156" s="260">
        <v>31842.580082052707</v>
      </c>
      <c r="J156" s="486">
        <f>Synthèse!H155</f>
        <v>33315.419163135433</v>
      </c>
      <c r="K156" s="486">
        <f t="shared" si="8"/>
        <v>1472.8390810827259</v>
      </c>
    </row>
    <row r="157" spans="1:11" s="263" customFormat="1" ht="15" x14ac:dyDescent="0.25">
      <c r="A157" s="86">
        <f>Données!A157</f>
        <v>5663</v>
      </c>
      <c r="B157" s="398" t="str">
        <f>Données!B157</f>
        <v>Bussy-sur-Moudon</v>
      </c>
      <c r="C157" s="260">
        <v>89541.576711647896</v>
      </c>
      <c r="D157" s="477">
        <f>Synthèse!G156</f>
        <v>95902.912076224413</v>
      </c>
      <c r="E157" s="478">
        <f t="shared" si="6"/>
        <v>6361.3353645765164</v>
      </c>
      <c r="F157" s="259">
        <v>-43900.530871367286</v>
      </c>
      <c r="G157" s="482">
        <f>Synthèse!F156</f>
        <v>-42020.252050122348</v>
      </c>
      <c r="H157" s="482">
        <f t="shared" si="7"/>
        <v>1880.2788212449377</v>
      </c>
      <c r="I157" s="260">
        <v>16961.562033504397</v>
      </c>
      <c r="J157" s="486">
        <f>Synthèse!H156</f>
        <v>19652.594433309143</v>
      </c>
      <c r="K157" s="486">
        <f t="shared" si="8"/>
        <v>2691.0323998047461</v>
      </c>
    </row>
    <row r="158" spans="1:11" s="263" customFormat="1" ht="15" x14ac:dyDescent="0.25">
      <c r="A158" s="86">
        <f>Données!A158</f>
        <v>5665</v>
      </c>
      <c r="B158" s="398" t="str">
        <f>Données!B158</f>
        <v>Chavannes-sur-Moudon</v>
      </c>
      <c r="C158" s="260">
        <v>126258.1157893144</v>
      </c>
      <c r="D158" s="477">
        <f>Synthèse!G157</f>
        <v>93657.61245474816</v>
      </c>
      <c r="E158" s="478">
        <f t="shared" si="6"/>
        <v>-32600.503334566238</v>
      </c>
      <c r="F158" s="259">
        <v>27266.333847350557</v>
      </c>
      <c r="G158" s="482">
        <f>Synthèse!F157</f>
        <v>-10473.127210574821</v>
      </c>
      <c r="H158" s="482">
        <f t="shared" si="7"/>
        <v>-37739.461057925379</v>
      </c>
      <c r="I158" s="260">
        <v>21807.973221910092</v>
      </c>
      <c r="J158" s="486">
        <f>Synthèse!H157</f>
        <v>17584.514121773282</v>
      </c>
      <c r="K158" s="486">
        <f t="shared" si="8"/>
        <v>-4223.4591001368099</v>
      </c>
    </row>
    <row r="159" spans="1:11" s="263" customFormat="1" ht="15" x14ac:dyDescent="0.25">
      <c r="A159" s="86">
        <f>Données!A159</f>
        <v>5669</v>
      </c>
      <c r="B159" s="398" t="str">
        <f>Données!B159</f>
        <v>Curtilles</v>
      </c>
      <c r="C159" s="260">
        <v>166320.73149084058</v>
      </c>
      <c r="D159" s="477">
        <f>Synthèse!G158</f>
        <v>103353.21724863412</v>
      </c>
      <c r="E159" s="478">
        <f t="shared" si="6"/>
        <v>-62967.514242206467</v>
      </c>
      <c r="F159" s="259">
        <v>82771.59787266003</v>
      </c>
      <c r="G159" s="482">
        <f>Synthèse!F158</f>
        <v>118.17345338175073</v>
      </c>
      <c r="H159" s="482">
        <f t="shared" si="7"/>
        <v>-82653.424419278279</v>
      </c>
      <c r="I159" s="260">
        <v>32540.008700464481</v>
      </c>
      <c r="J159" s="486">
        <f>Synthèse!H158</f>
        <v>25469.256065741676</v>
      </c>
      <c r="K159" s="486">
        <f t="shared" si="8"/>
        <v>-7070.7526347228049</v>
      </c>
    </row>
    <row r="160" spans="1:11" s="263" customFormat="1" ht="15" x14ac:dyDescent="0.25">
      <c r="A160" s="86">
        <f>Données!A160</f>
        <v>5671</v>
      </c>
      <c r="B160" s="398" t="str">
        <f>Données!B160</f>
        <v>Dompierre</v>
      </c>
      <c r="C160" s="260">
        <v>117234.89317069808</v>
      </c>
      <c r="D160" s="477">
        <f>Synthèse!G159</f>
        <v>87901.158701799897</v>
      </c>
      <c r="E160" s="478">
        <f t="shared" si="6"/>
        <v>-29333.734468898183</v>
      </c>
      <c r="F160" s="259">
        <v>-90072.221800040308</v>
      </c>
      <c r="G160" s="482">
        <f>Synthèse!F159</f>
        <v>-30279.505226947993</v>
      </c>
      <c r="H160" s="482">
        <f t="shared" si="7"/>
        <v>59792.716573092315</v>
      </c>
      <c r="I160" s="260">
        <v>19042.26414741611</v>
      </c>
      <c r="J160" s="486">
        <f>Synthèse!H159</f>
        <v>20512.643934305095</v>
      </c>
      <c r="K160" s="486">
        <f t="shared" si="8"/>
        <v>1470.3797868889851</v>
      </c>
    </row>
    <row r="161" spans="1:11" s="263" customFormat="1" ht="15" x14ac:dyDescent="0.25">
      <c r="A161" s="86">
        <f>Données!A161</f>
        <v>5673</v>
      </c>
      <c r="B161" s="398" t="str">
        <f>Données!B161</f>
        <v>Hermenches</v>
      </c>
      <c r="C161" s="260">
        <v>169405.70061167711</v>
      </c>
      <c r="D161" s="477">
        <f>Synthèse!G160</f>
        <v>145744.54589799137</v>
      </c>
      <c r="E161" s="478">
        <f t="shared" si="6"/>
        <v>-23661.154713685741</v>
      </c>
      <c r="F161" s="259">
        <v>-51390.096209361014</v>
      </c>
      <c r="G161" s="482">
        <f>Synthèse!F160</f>
        <v>-44704.989648443734</v>
      </c>
      <c r="H161" s="482">
        <f t="shared" si="7"/>
        <v>6685.1065609172801</v>
      </c>
      <c r="I161" s="260">
        <v>33678.781997751961</v>
      </c>
      <c r="J161" s="486">
        <f>Synthèse!H160</f>
        <v>29357.615273970099</v>
      </c>
      <c r="K161" s="486">
        <f t="shared" si="8"/>
        <v>-4321.1667237818619</v>
      </c>
    </row>
    <row r="162" spans="1:11" s="263" customFormat="1" ht="15" x14ac:dyDescent="0.25">
      <c r="A162" s="86">
        <f>Données!A162</f>
        <v>5674</v>
      </c>
      <c r="B162" s="398" t="str">
        <f>Données!B162</f>
        <v>Lovatens</v>
      </c>
      <c r="C162" s="260">
        <v>87852.748682190344</v>
      </c>
      <c r="D162" s="477">
        <f>Synthèse!G161</f>
        <v>60200.301384597711</v>
      </c>
      <c r="E162" s="478">
        <f t="shared" si="6"/>
        <v>-27652.447297592633</v>
      </c>
      <c r="F162" s="259">
        <v>-51926.737010841549</v>
      </c>
      <c r="G162" s="482">
        <f>Synthèse!F161</f>
        <v>-26650.420277619574</v>
      </c>
      <c r="H162" s="482">
        <f t="shared" si="7"/>
        <v>25276.316733221975</v>
      </c>
      <c r="I162" s="260">
        <v>10788.829694596419</v>
      </c>
      <c r="J162" s="486">
        <f>Synthèse!H161</f>
        <v>10687.528573941345</v>
      </c>
      <c r="K162" s="486">
        <f t="shared" si="8"/>
        <v>-101.30112065507456</v>
      </c>
    </row>
    <row r="163" spans="1:11" s="263" customFormat="1" ht="15" x14ac:dyDescent="0.25">
      <c r="A163" s="86">
        <f>Données!A163</f>
        <v>5675</v>
      </c>
      <c r="B163" s="398" t="str">
        <f>Données!B163</f>
        <v>Lucens</v>
      </c>
      <c r="C163" s="260">
        <v>1675352.3905264048</v>
      </c>
      <c r="D163" s="477">
        <f>Synthèse!G162</f>
        <v>1472706.7585280119</v>
      </c>
      <c r="E163" s="478">
        <f t="shared" si="6"/>
        <v>-202645.63199839299</v>
      </c>
      <c r="F163" s="259">
        <v>-2049348.3217367916</v>
      </c>
      <c r="G163" s="482">
        <f>Synthèse!F162</f>
        <v>-2156881.2866624072</v>
      </c>
      <c r="H163" s="482">
        <f t="shared" si="7"/>
        <v>-107532.96492561558</v>
      </c>
      <c r="I163" s="260">
        <v>301316.75809257105</v>
      </c>
      <c r="J163" s="486">
        <f>Synthèse!H162</f>
        <v>274211.22859501117</v>
      </c>
      <c r="K163" s="486">
        <f t="shared" si="8"/>
        <v>-27105.529497559881</v>
      </c>
    </row>
    <row r="164" spans="1:11" s="263" customFormat="1" ht="15" x14ac:dyDescent="0.25">
      <c r="A164" s="86">
        <f>Données!A164</f>
        <v>5678</v>
      </c>
      <c r="B164" s="398" t="str">
        <f>Données!B164</f>
        <v>Moudon</v>
      </c>
      <c r="C164" s="260">
        <v>2481390.1108723674</v>
      </c>
      <c r="D164" s="477">
        <f>Synthèse!G163</f>
        <v>2094107.7930868329</v>
      </c>
      <c r="E164" s="478">
        <f t="shared" si="6"/>
        <v>-387282.31778553454</v>
      </c>
      <c r="F164" s="259">
        <v>-4604002.3123175437</v>
      </c>
      <c r="G164" s="482">
        <f>Synthèse!F163</f>
        <v>-3139513.7263282118</v>
      </c>
      <c r="H164" s="482">
        <f t="shared" si="7"/>
        <v>1464488.5859893318</v>
      </c>
      <c r="I164" s="260">
        <v>385871.54969137773</v>
      </c>
      <c r="J164" s="486">
        <f>Synthèse!H163</f>
        <v>388673.86764414201</v>
      </c>
      <c r="K164" s="486">
        <f t="shared" si="8"/>
        <v>2802.3179527642787</v>
      </c>
    </row>
    <row r="165" spans="1:11" s="263" customFormat="1" ht="15" x14ac:dyDescent="0.25">
      <c r="A165" s="86">
        <f>Données!A165</f>
        <v>5680</v>
      </c>
      <c r="B165" s="398" t="str">
        <f>Données!B165</f>
        <v>Ogens</v>
      </c>
      <c r="C165" s="260">
        <v>178098.7488247368</v>
      </c>
      <c r="D165" s="477">
        <f>Synthèse!G164</f>
        <v>192244.21462071248</v>
      </c>
      <c r="E165" s="478">
        <f t="shared" si="6"/>
        <v>14145.465795975673</v>
      </c>
      <c r="F165" s="259">
        <v>-4315.3178403073107</v>
      </c>
      <c r="G165" s="482">
        <f>Synthèse!F164</f>
        <v>15640.583732866042</v>
      </c>
      <c r="H165" s="482">
        <f t="shared" si="7"/>
        <v>19955.901573173353</v>
      </c>
      <c r="I165" s="260">
        <v>27242.934845607921</v>
      </c>
      <c r="J165" s="486">
        <f>Synthèse!H164</f>
        <v>30588.447349093614</v>
      </c>
      <c r="K165" s="486">
        <f t="shared" si="8"/>
        <v>3345.5125034856937</v>
      </c>
    </row>
    <row r="166" spans="1:11" s="263" customFormat="1" ht="15" x14ac:dyDescent="0.25">
      <c r="A166" s="86">
        <f>Données!A166</f>
        <v>5683</v>
      </c>
      <c r="B166" s="398" t="str">
        <f>Données!B166</f>
        <v>Prévonloup</v>
      </c>
      <c r="C166" s="260">
        <v>75340.259733132334</v>
      </c>
      <c r="D166" s="477">
        <f>Synthèse!G165</f>
        <v>65918.889697233011</v>
      </c>
      <c r="E166" s="478">
        <f t="shared" si="6"/>
        <v>-9421.3700358993228</v>
      </c>
      <c r="F166" s="259">
        <v>-19712.416694342071</v>
      </c>
      <c r="G166" s="482">
        <f>Synthèse!F165</f>
        <v>-43892.54248968992</v>
      </c>
      <c r="H166" s="482">
        <f t="shared" si="7"/>
        <v>-24180.125795347849</v>
      </c>
      <c r="I166" s="260">
        <v>15652.663707240448</v>
      </c>
      <c r="J166" s="486">
        <f>Synthèse!H165</f>
        <v>15543.597554733369</v>
      </c>
      <c r="K166" s="486">
        <f t="shared" si="8"/>
        <v>-109.0661525070791</v>
      </c>
    </row>
    <row r="167" spans="1:11" s="263" customFormat="1" ht="15" x14ac:dyDescent="0.25">
      <c r="A167" s="86">
        <f>Données!A167</f>
        <v>5684</v>
      </c>
      <c r="B167" s="398" t="str">
        <f>Données!B167</f>
        <v>Rossenges</v>
      </c>
      <c r="C167" s="260">
        <v>70151.70695673392</v>
      </c>
      <c r="D167" s="477">
        <f>Synthèse!G166</f>
        <v>140589.79384241652</v>
      </c>
      <c r="E167" s="478">
        <f t="shared" si="6"/>
        <v>70438.086885682598</v>
      </c>
      <c r="F167" s="259">
        <v>72634.190429177936</v>
      </c>
      <c r="G167" s="482">
        <f>Synthèse!F166</f>
        <v>123090.76076108143</v>
      </c>
      <c r="H167" s="482">
        <f t="shared" si="7"/>
        <v>50456.570331903495</v>
      </c>
      <c r="I167" s="260">
        <v>12748.089939742567</v>
      </c>
      <c r="J167" s="486">
        <f>Synthèse!H166</f>
        <v>16601.955288462021</v>
      </c>
      <c r="K167" s="486">
        <f t="shared" si="8"/>
        <v>3853.8653487194533</v>
      </c>
    </row>
    <row r="168" spans="1:11" s="263" customFormat="1" ht="15" x14ac:dyDescent="0.25">
      <c r="A168" s="86">
        <f>Données!A168</f>
        <v>5688</v>
      </c>
      <c r="B168" s="398" t="str">
        <f>Données!B168</f>
        <v>Syens</v>
      </c>
      <c r="C168" s="260">
        <v>74349.357403892689</v>
      </c>
      <c r="D168" s="477">
        <f>Synthèse!G167</f>
        <v>74488.314169979378</v>
      </c>
      <c r="E168" s="478">
        <f t="shared" si="6"/>
        <v>138.95676608668873</v>
      </c>
      <c r="F168" s="259">
        <v>-30835.367986794838</v>
      </c>
      <c r="G168" s="482">
        <f>Synthèse!F167</f>
        <v>35153.406116152837</v>
      </c>
      <c r="H168" s="482">
        <f t="shared" si="7"/>
        <v>65988.774102947675</v>
      </c>
      <c r="I168" s="260">
        <v>16134.89810007983</v>
      </c>
      <c r="J168" s="486">
        <f>Synthèse!H167</f>
        <v>16021.361348017581</v>
      </c>
      <c r="K168" s="486">
        <f t="shared" si="8"/>
        <v>-113.53675206224943</v>
      </c>
    </row>
    <row r="169" spans="1:11" s="263" customFormat="1" ht="15" x14ac:dyDescent="0.25">
      <c r="A169" s="86">
        <f>Données!A169</f>
        <v>5690</v>
      </c>
      <c r="B169" s="398" t="str">
        <f>Données!B169</f>
        <v>Villars-le-Comte</v>
      </c>
      <c r="C169" s="260">
        <v>68639.39157445656</v>
      </c>
      <c r="D169" s="477">
        <f>Synthèse!G168</f>
        <v>67636.587009478942</v>
      </c>
      <c r="E169" s="478">
        <f t="shared" si="6"/>
        <v>-1002.8045649776177</v>
      </c>
      <c r="F169" s="259">
        <v>1869.1739376087717</v>
      </c>
      <c r="G169" s="482">
        <f>Synthèse!F168</f>
        <v>19295.630495845005</v>
      </c>
      <c r="H169" s="482">
        <f t="shared" si="7"/>
        <v>17426.456558236234</v>
      </c>
      <c r="I169" s="260">
        <v>10854.386961284243</v>
      </c>
      <c r="J169" s="486">
        <f>Synthèse!H168</f>
        <v>13131.048254425508</v>
      </c>
      <c r="K169" s="486">
        <f t="shared" si="8"/>
        <v>2276.6612931412656</v>
      </c>
    </row>
    <row r="170" spans="1:11" s="263" customFormat="1" ht="15" x14ac:dyDescent="0.25">
      <c r="A170" s="86">
        <f>Données!A170</f>
        <v>5692</v>
      </c>
      <c r="B170" s="398" t="str">
        <f>Données!B170</f>
        <v>Vucherens</v>
      </c>
      <c r="C170" s="260">
        <v>318143.67453716288</v>
      </c>
      <c r="D170" s="477">
        <f>Synthèse!G169</f>
        <v>311840.36569413287</v>
      </c>
      <c r="E170" s="478">
        <f t="shared" si="6"/>
        <v>-6303.3088430300122</v>
      </c>
      <c r="F170" s="259">
        <v>-56535.305803458847</v>
      </c>
      <c r="G170" s="482">
        <f>Synthèse!F169</f>
        <v>-1728.7428175547975</v>
      </c>
      <c r="H170" s="482">
        <f t="shared" si="7"/>
        <v>54806.562985904049</v>
      </c>
      <c r="I170" s="260">
        <v>56920.69355403581</v>
      </c>
      <c r="J170" s="486">
        <f>Synthèse!H169</f>
        <v>57293.669212636618</v>
      </c>
      <c r="K170" s="486">
        <f t="shared" si="8"/>
        <v>372.97565860080795</v>
      </c>
    </row>
    <row r="171" spans="1:11" s="263" customFormat="1" ht="15" x14ac:dyDescent="0.25">
      <c r="A171" s="86">
        <f>Données!A171</f>
        <v>5693</v>
      </c>
      <c r="B171" s="398" t="str">
        <f>Données!B171</f>
        <v>Montanaire</v>
      </c>
      <c r="C171" s="260">
        <v>1296239.0725904636</v>
      </c>
      <c r="D171" s="477">
        <f>Synthèse!G170</f>
        <v>1153154.6061292666</v>
      </c>
      <c r="E171" s="478">
        <f t="shared" si="6"/>
        <v>-143084.46646119701</v>
      </c>
      <c r="F171" s="259">
        <v>-1001239.5183654095</v>
      </c>
      <c r="G171" s="482">
        <f>Synthèse!F170</f>
        <v>-355501.41756168404</v>
      </c>
      <c r="H171" s="482">
        <f t="shared" si="7"/>
        <v>645738.10080372542</v>
      </c>
      <c r="I171" s="260">
        <v>222153.23799858073</v>
      </c>
      <c r="J171" s="486">
        <f>Synthèse!H170</f>
        <v>241661.24191226356</v>
      </c>
      <c r="K171" s="486">
        <f t="shared" si="8"/>
        <v>19508.003913682827</v>
      </c>
    </row>
    <row r="172" spans="1:11" s="263" customFormat="1" ht="15" x14ac:dyDescent="0.25">
      <c r="A172" s="86">
        <f>Données!A172</f>
        <v>5701</v>
      </c>
      <c r="B172" s="398" t="str">
        <f>Données!B172</f>
        <v>Arnex-sur-Nyon</v>
      </c>
      <c r="C172" s="260">
        <v>282071.66140201013</v>
      </c>
      <c r="D172" s="477">
        <f>Synthèse!G171</f>
        <v>376763.21342209075</v>
      </c>
      <c r="E172" s="478">
        <f t="shared" si="6"/>
        <v>94691.55202008062</v>
      </c>
      <c r="F172" s="259">
        <v>211183.58606215392</v>
      </c>
      <c r="G172" s="482">
        <f>Synthèse!F171</f>
        <v>218666.35503045432</v>
      </c>
      <c r="H172" s="482">
        <f t="shared" si="7"/>
        <v>7482.7689683003991</v>
      </c>
      <c r="I172" s="260">
        <v>36670.042825390032</v>
      </c>
      <c r="J172" s="486">
        <f>Synthèse!H171</f>
        <v>36761.577651535801</v>
      </c>
      <c r="K172" s="486">
        <f t="shared" si="8"/>
        <v>91.53482614576933</v>
      </c>
    </row>
    <row r="173" spans="1:11" s="263" customFormat="1" ht="15" x14ac:dyDescent="0.25">
      <c r="A173" s="86">
        <f>Données!A173</f>
        <v>5702</v>
      </c>
      <c r="B173" s="398" t="str">
        <f>Données!B173</f>
        <v>Arzier-Le Muids</v>
      </c>
      <c r="C173" s="260">
        <v>3408830.711279138</v>
      </c>
      <c r="D173" s="477">
        <f>Synthèse!G172</f>
        <v>3710849.3312350921</v>
      </c>
      <c r="E173" s="478">
        <f t="shared" si="6"/>
        <v>302018.61995595414</v>
      </c>
      <c r="F173" s="259">
        <v>1985693.1581535353</v>
      </c>
      <c r="G173" s="482">
        <f>Synthèse!F172</f>
        <v>2775345.5994497044</v>
      </c>
      <c r="H173" s="482">
        <f t="shared" si="7"/>
        <v>789652.44129616907</v>
      </c>
      <c r="I173" s="260">
        <v>464471.21961010707</v>
      </c>
      <c r="J173" s="486">
        <f>Synthèse!H172</f>
        <v>485625.59076917521</v>
      </c>
      <c r="K173" s="486">
        <f t="shared" si="8"/>
        <v>21154.371159068134</v>
      </c>
    </row>
    <row r="174" spans="1:11" s="263" customFormat="1" ht="15" x14ac:dyDescent="0.25">
      <c r="A174" s="86">
        <f>Données!A174</f>
        <v>5703</v>
      </c>
      <c r="B174" s="398" t="str">
        <f>Données!B174</f>
        <v>Bassins</v>
      </c>
      <c r="C174" s="260">
        <v>1239744.6209273827</v>
      </c>
      <c r="D174" s="477">
        <f>Synthèse!G173</f>
        <v>1001683.271450694</v>
      </c>
      <c r="E174" s="478">
        <f t="shared" si="6"/>
        <v>-238061.34947668877</v>
      </c>
      <c r="F174" s="259">
        <v>690081.86281446216</v>
      </c>
      <c r="G174" s="482">
        <f>Synthèse!F173</f>
        <v>825913.43244386651</v>
      </c>
      <c r="H174" s="482">
        <f t="shared" si="7"/>
        <v>135831.56962940434</v>
      </c>
      <c r="I174" s="260">
        <v>211231.18594864561</v>
      </c>
      <c r="J174" s="486">
        <f>Synthèse!H173</f>
        <v>198607.88548358827</v>
      </c>
      <c r="K174" s="486">
        <f t="shared" si="8"/>
        <v>-12623.300465057342</v>
      </c>
    </row>
    <row r="175" spans="1:11" s="263" customFormat="1" ht="15" x14ac:dyDescent="0.25">
      <c r="A175" s="86">
        <f>Données!A175</f>
        <v>5704</v>
      </c>
      <c r="B175" s="398" t="str">
        <f>Données!B175</f>
        <v>Begnins</v>
      </c>
      <c r="C175" s="260">
        <v>3205612.0778321456</v>
      </c>
      <c r="D175" s="477">
        <f>Synthèse!G174</f>
        <v>3380607.7025557929</v>
      </c>
      <c r="E175" s="478">
        <f t="shared" si="6"/>
        <v>174995.62472364726</v>
      </c>
      <c r="F175" s="259">
        <v>2265012.7859861697</v>
      </c>
      <c r="G175" s="482">
        <f>Synthèse!F174</f>
        <v>2023491.4259497309</v>
      </c>
      <c r="H175" s="482">
        <f t="shared" si="7"/>
        <v>-241521.3600364388</v>
      </c>
      <c r="I175" s="260">
        <v>346949.84027604543</v>
      </c>
      <c r="J175" s="486">
        <f>Synthèse!H174</f>
        <v>326184.30675775785</v>
      </c>
      <c r="K175" s="486">
        <f t="shared" si="8"/>
        <v>-20765.533518287586</v>
      </c>
    </row>
    <row r="176" spans="1:11" s="263" customFormat="1" ht="15" x14ac:dyDescent="0.25">
      <c r="A176" s="86">
        <f>Données!A176</f>
        <v>5705</v>
      </c>
      <c r="B176" s="398" t="str">
        <f>Données!B176</f>
        <v>Bogis-Bossey</v>
      </c>
      <c r="C176" s="260">
        <v>1361932.4000406049</v>
      </c>
      <c r="D176" s="477">
        <f>Synthèse!G175</f>
        <v>1035871.2081444042</v>
      </c>
      <c r="E176" s="478">
        <f t="shared" si="6"/>
        <v>-326061.19189620065</v>
      </c>
      <c r="F176" s="259">
        <v>971964.75071373559</v>
      </c>
      <c r="G176" s="482">
        <f>Synthèse!F175</f>
        <v>861322.44702245155</v>
      </c>
      <c r="H176" s="482">
        <f t="shared" si="7"/>
        <v>-110642.30369128403</v>
      </c>
      <c r="I176" s="260">
        <v>143597.4989130249</v>
      </c>
      <c r="J176" s="486">
        <f>Synthèse!H175</f>
        <v>142630.39910253856</v>
      </c>
      <c r="K176" s="486">
        <f t="shared" si="8"/>
        <v>-967.09981048633927</v>
      </c>
    </row>
    <row r="177" spans="1:11" s="263" customFormat="1" ht="15" x14ac:dyDescent="0.25">
      <c r="A177" s="86">
        <f>Données!A177</f>
        <v>5706</v>
      </c>
      <c r="B177" s="398" t="str">
        <f>Données!B177</f>
        <v>Borex</v>
      </c>
      <c r="C177" s="260">
        <v>1843836.4427200868</v>
      </c>
      <c r="D177" s="477">
        <f>Synthèse!G176</f>
        <v>4402605.2250753753</v>
      </c>
      <c r="E177" s="478">
        <f t="shared" si="6"/>
        <v>2558768.7823552885</v>
      </c>
      <c r="F177" s="259">
        <v>1431806.8495294359</v>
      </c>
      <c r="G177" s="482">
        <f>Synthèse!F176</f>
        <v>2836446.4471551818</v>
      </c>
      <c r="H177" s="482">
        <f t="shared" si="7"/>
        <v>1404639.5976257459</v>
      </c>
      <c r="I177" s="260">
        <v>207079.1660445325</v>
      </c>
      <c r="J177" s="486">
        <f>Synthèse!H176</f>
        <v>286075.14428234345</v>
      </c>
      <c r="K177" s="486">
        <f t="shared" si="8"/>
        <v>78995.978237810952</v>
      </c>
    </row>
    <row r="178" spans="1:11" s="263" customFormat="1" ht="15" x14ac:dyDescent="0.25">
      <c r="A178" s="86">
        <f>Données!A178</f>
        <v>5707</v>
      </c>
      <c r="B178" s="398" t="str">
        <f>Données!B178</f>
        <v>Chavannes-de-Bogis</v>
      </c>
      <c r="C178" s="260">
        <v>1897575.182123397</v>
      </c>
      <c r="D178" s="477">
        <f>Synthèse!G177</f>
        <v>1867417.2434368145</v>
      </c>
      <c r="E178" s="478">
        <f t="shared" si="6"/>
        <v>-30157.938686582493</v>
      </c>
      <c r="F178" s="259">
        <v>1327631.810727864</v>
      </c>
      <c r="G178" s="482">
        <f>Synthèse!F177</f>
        <v>1424800.1157616409</v>
      </c>
      <c r="H178" s="482">
        <f t="shared" si="7"/>
        <v>97168.305033776909</v>
      </c>
      <c r="I178" s="260">
        <v>218699.25985080714</v>
      </c>
      <c r="J178" s="486">
        <f>Synthèse!H177</f>
        <v>219735.1952993258</v>
      </c>
      <c r="K178" s="486">
        <f t="shared" si="8"/>
        <v>1035.9354485186632</v>
      </c>
    </row>
    <row r="179" spans="1:11" s="263" customFormat="1" ht="15" x14ac:dyDescent="0.25">
      <c r="A179" s="86">
        <f>Données!A179</f>
        <v>5708</v>
      </c>
      <c r="B179" s="398" t="str">
        <f>Données!B179</f>
        <v>Chavannes-des-Bois</v>
      </c>
      <c r="C179" s="260">
        <v>1490019.8612924663</v>
      </c>
      <c r="D179" s="477">
        <f>Synthèse!G178</f>
        <v>1253944.1847926013</v>
      </c>
      <c r="E179" s="478">
        <f t="shared" si="6"/>
        <v>-236075.67649986502</v>
      </c>
      <c r="F179" s="259">
        <v>1159681.358488939</v>
      </c>
      <c r="G179" s="482">
        <f>Synthèse!F178</f>
        <v>1185333.1298633134</v>
      </c>
      <c r="H179" s="482">
        <f t="shared" si="7"/>
        <v>25651.771374374395</v>
      </c>
      <c r="I179" s="260">
        <v>173089.33774590254</v>
      </c>
      <c r="J179" s="486">
        <f>Synthèse!H178</f>
        <v>172251.85597988334</v>
      </c>
      <c r="K179" s="486">
        <f t="shared" si="8"/>
        <v>-837.48176601919113</v>
      </c>
    </row>
    <row r="180" spans="1:11" s="263" customFormat="1" ht="15" x14ac:dyDescent="0.25">
      <c r="A180" s="86">
        <f>Données!A180</f>
        <v>5709</v>
      </c>
      <c r="B180" s="398" t="str">
        <f>Données!B180</f>
        <v>Chéserex</v>
      </c>
      <c r="C180" s="260">
        <v>2334860.2494772333</v>
      </c>
      <c r="D180" s="477">
        <f>Synthèse!G179</f>
        <v>1796764.7921689791</v>
      </c>
      <c r="E180" s="478">
        <f t="shared" si="6"/>
        <v>-538095.4573082542</v>
      </c>
      <c r="F180" s="259">
        <v>1655030.5697666907</v>
      </c>
      <c r="G180" s="482">
        <f>Synthèse!F179</f>
        <v>1527835.1141310157</v>
      </c>
      <c r="H180" s="482">
        <f t="shared" si="7"/>
        <v>-127195.455635675</v>
      </c>
      <c r="I180" s="260">
        <v>232019.42549546569</v>
      </c>
      <c r="J180" s="486">
        <f>Synthèse!H179</f>
        <v>219044.04672790715</v>
      </c>
      <c r="K180" s="486">
        <f t="shared" si="8"/>
        <v>-12975.378767558548</v>
      </c>
    </row>
    <row r="181" spans="1:11" s="263" customFormat="1" ht="15" x14ac:dyDescent="0.25">
      <c r="A181" s="86">
        <f>Données!A181</f>
        <v>5710</v>
      </c>
      <c r="B181" s="398" t="str">
        <f>Données!B181</f>
        <v>Coinsins</v>
      </c>
      <c r="C181" s="260">
        <v>918932.73207075871</v>
      </c>
      <c r="D181" s="477">
        <f>Synthèse!G180</f>
        <v>617296.61733789661</v>
      </c>
      <c r="E181" s="478">
        <f t="shared" si="6"/>
        <v>-301636.1147328621</v>
      </c>
      <c r="F181" s="259">
        <v>724016.4308966049</v>
      </c>
      <c r="G181" s="482">
        <f>Synthèse!F180</f>
        <v>580010.4512723207</v>
      </c>
      <c r="H181" s="482">
        <f t="shared" si="7"/>
        <v>-144005.9796242842</v>
      </c>
      <c r="I181" s="260">
        <v>96414.36953873036</v>
      </c>
      <c r="J181" s="486">
        <f>Synthèse!H180</f>
        <v>84136.484616126225</v>
      </c>
      <c r="K181" s="486">
        <f t="shared" si="8"/>
        <v>-12277.884922604135</v>
      </c>
    </row>
    <row r="182" spans="1:11" s="263" customFormat="1" ht="15" x14ac:dyDescent="0.25">
      <c r="A182" s="86">
        <f>Données!A182</f>
        <v>5711</v>
      </c>
      <c r="B182" s="398" t="str">
        <f>Données!B182</f>
        <v>Commugny</v>
      </c>
      <c r="C182" s="260">
        <v>6333781.8447166737</v>
      </c>
      <c r="D182" s="477">
        <f>Synthèse!G181</f>
        <v>7924751.3643098474</v>
      </c>
      <c r="E182" s="478">
        <f t="shared" si="6"/>
        <v>1590969.5195931736</v>
      </c>
      <c r="F182" s="259">
        <v>4024462.613488025</v>
      </c>
      <c r="G182" s="482">
        <f>Synthèse!F181</f>
        <v>5019455.3403868787</v>
      </c>
      <c r="H182" s="482">
        <f t="shared" si="7"/>
        <v>994992.72689885367</v>
      </c>
      <c r="I182" s="260">
        <v>581675.37560503138</v>
      </c>
      <c r="J182" s="486">
        <f>Synthèse!H181</f>
        <v>627302.50255851075</v>
      </c>
      <c r="K182" s="486">
        <f t="shared" si="8"/>
        <v>45627.126953479368</v>
      </c>
    </row>
    <row r="183" spans="1:11" s="263" customFormat="1" ht="15" x14ac:dyDescent="0.25">
      <c r="A183" s="86">
        <f>Données!A183</f>
        <v>5712</v>
      </c>
      <c r="B183" s="398" t="str">
        <f>Données!B183</f>
        <v>Coppet</v>
      </c>
      <c r="C183" s="260">
        <v>11219717.200227924</v>
      </c>
      <c r="D183" s="477">
        <f>Synthèse!G182</f>
        <v>12173190.976294521</v>
      </c>
      <c r="E183" s="478">
        <f t="shared" si="6"/>
        <v>953473.77606659755</v>
      </c>
      <c r="F183" s="259">
        <v>6375633.8999275565</v>
      </c>
      <c r="G183" s="482">
        <f>Synthèse!F182</f>
        <v>7173932.5878373506</v>
      </c>
      <c r="H183" s="482">
        <f t="shared" si="7"/>
        <v>798298.68790979404</v>
      </c>
      <c r="I183" s="260">
        <v>770011.54630811303</v>
      </c>
      <c r="J183" s="486">
        <f>Synthèse!H182</f>
        <v>783167.68962511478</v>
      </c>
      <c r="K183" s="486">
        <f t="shared" si="8"/>
        <v>13156.143317001755</v>
      </c>
    </row>
    <row r="184" spans="1:11" s="263" customFormat="1" ht="15" x14ac:dyDescent="0.25">
      <c r="A184" s="86">
        <f>Données!A184</f>
        <v>5713</v>
      </c>
      <c r="B184" s="398" t="str">
        <f>Données!B184</f>
        <v>Crans</v>
      </c>
      <c r="C184" s="260">
        <v>10081474.694292963</v>
      </c>
      <c r="D184" s="477">
        <f>Synthèse!G183</f>
        <v>8024428.5875144266</v>
      </c>
      <c r="E184" s="478">
        <f t="shared" si="6"/>
        <v>-2057046.106778536</v>
      </c>
      <c r="F184" s="259">
        <v>5323484.1983901476</v>
      </c>
      <c r="G184" s="482">
        <f>Synthèse!F183</f>
        <v>4839656.0199500844</v>
      </c>
      <c r="H184" s="482">
        <f t="shared" si="7"/>
        <v>-483828.17844006326</v>
      </c>
      <c r="I184" s="260">
        <v>399203.02056560176</v>
      </c>
      <c r="J184" s="486">
        <f>Synthèse!H183</f>
        <v>335484.88498673018</v>
      </c>
      <c r="K184" s="486">
        <f t="shared" si="8"/>
        <v>-63718.135578871588</v>
      </c>
    </row>
    <row r="185" spans="1:11" s="263" customFormat="1" ht="15" x14ac:dyDescent="0.25">
      <c r="A185" s="86">
        <f>Données!A185</f>
        <v>5714</v>
      </c>
      <c r="B185" s="398" t="str">
        <f>Données!B185</f>
        <v>Crassier</v>
      </c>
      <c r="C185" s="260">
        <v>945454.66101497714</v>
      </c>
      <c r="D185" s="477">
        <f>Synthèse!G184</f>
        <v>1036263.0140574613</v>
      </c>
      <c r="E185" s="478">
        <f t="shared" si="6"/>
        <v>90808.353042484145</v>
      </c>
      <c r="F185" s="259">
        <v>829892.57119813445</v>
      </c>
      <c r="G185" s="482">
        <f>Synthèse!F184</f>
        <v>987360.43702374469</v>
      </c>
      <c r="H185" s="482">
        <f t="shared" si="7"/>
        <v>157467.86582561024</v>
      </c>
      <c r="I185" s="260">
        <v>167688.47367701901</v>
      </c>
      <c r="J185" s="486">
        <f>Synthèse!H184</f>
        <v>183940.24604664958</v>
      </c>
      <c r="K185" s="486">
        <f t="shared" si="8"/>
        <v>16251.772369630577</v>
      </c>
    </row>
    <row r="186" spans="1:11" s="263" customFormat="1" ht="15" x14ac:dyDescent="0.25">
      <c r="A186" s="86">
        <f>Données!A186</f>
        <v>5715</v>
      </c>
      <c r="B186" s="398" t="str">
        <f>Données!B186</f>
        <v>Duillier</v>
      </c>
      <c r="C186" s="260">
        <v>1261988.3420303704</v>
      </c>
      <c r="D186" s="477">
        <f>Synthèse!G185</f>
        <v>1010816.5663442931</v>
      </c>
      <c r="E186" s="478">
        <f t="shared" si="6"/>
        <v>-251171.77568607731</v>
      </c>
      <c r="F186" s="259">
        <v>1010869.8397344159</v>
      </c>
      <c r="G186" s="482">
        <f>Synthèse!F185</f>
        <v>992064.66610802314</v>
      </c>
      <c r="H186" s="482">
        <f t="shared" si="7"/>
        <v>-18805.173626392731</v>
      </c>
      <c r="I186" s="260">
        <v>175514.03428472922</v>
      </c>
      <c r="J186" s="486">
        <f>Synthèse!H185</f>
        <v>171076.90361719736</v>
      </c>
      <c r="K186" s="486">
        <f t="shared" si="8"/>
        <v>-4437.1306675318629</v>
      </c>
    </row>
    <row r="187" spans="1:11" s="263" customFormat="1" ht="15" x14ac:dyDescent="0.25">
      <c r="A187" s="86">
        <f>Données!A187</f>
        <v>5716</v>
      </c>
      <c r="B187" s="398" t="str">
        <f>Données!B187</f>
        <v>Eysins</v>
      </c>
      <c r="C187" s="260">
        <v>11674278.049262691</v>
      </c>
      <c r="D187" s="477">
        <f>Synthèse!G186</f>
        <v>6649803.8783707414</v>
      </c>
      <c r="E187" s="478">
        <f t="shared" si="6"/>
        <v>-5024474.1708919499</v>
      </c>
      <c r="F187" s="259">
        <v>3929309.9844964948</v>
      </c>
      <c r="G187" s="482">
        <f>Synthèse!F186</f>
        <v>4060925.8820953709</v>
      </c>
      <c r="H187" s="482">
        <f t="shared" si="7"/>
        <v>131615.89759887615</v>
      </c>
      <c r="I187" s="260">
        <v>545690.58751438418</v>
      </c>
      <c r="J187" s="486">
        <f>Synthèse!H186</f>
        <v>432201.29646900005</v>
      </c>
      <c r="K187" s="486">
        <f t="shared" si="8"/>
        <v>-113489.29104538413</v>
      </c>
    </row>
    <row r="188" spans="1:11" s="263" customFormat="1" ht="15" x14ac:dyDescent="0.25">
      <c r="A188" s="86">
        <f>Données!A188</f>
        <v>5717</v>
      </c>
      <c r="B188" s="398" t="str">
        <f>Données!B188</f>
        <v>Founex</v>
      </c>
      <c r="C188" s="260">
        <v>11064973.791168669</v>
      </c>
      <c r="D188" s="477">
        <f>Synthèse!G187</f>
        <v>9441017.836455239</v>
      </c>
      <c r="E188" s="478">
        <f t="shared" si="6"/>
        <v>-1623955.9547134303</v>
      </c>
      <c r="F188" s="259">
        <v>6176896.4659748096</v>
      </c>
      <c r="G188" s="482">
        <f>Synthèse!F187</f>
        <v>5698093.4133510152</v>
      </c>
      <c r="H188" s="482">
        <f t="shared" si="7"/>
        <v>-478803.05262379441</v>
      </c>
      <c r="I188" s="260">
        <v>826151.31629396393</v>
      </c>
      <c r="J188" s="486">
        <f>Synthèse!H187</f>
        <v>762893.13471561973</v>
      </c>
      <c r="K188" s="486">
        <f t="shared" si="8"/>
        <v>-63258.1815783442</v>
      </c>
    </row>
    <row r="189" spans="1:11" s="263" customFormat="1" ht="15" x14ac:dyDescent="0.25">
      <c r="A189" s="86">
        <f>Données!A189</f>
        <v>5718</v>
      </c>
      <c r="B189" s="398" t="str">
        <f>Données!B189</f>
        <v>Genolier</v>
      </c>
      <c r="C189" s="260">
        <v>7409671.5203520022</v>
      </c>
      <c r="D189" s="477">
        <f>Synthèse!G188</f>
        <v>5349995.3630012311</v>
      </c>
      <c r="E189" s="478">
        <f t="shared" si="6"/>
        <v>-2059676.1573507711</v>
      </c>
      <c r="F189" s="259">
        <v>4222649.8199557848</v>
      </c>
      <c r="G189" s="482">
        <f>Synthèse!F188</f>
        <v>3585302.555847758</v>
      </c>
      <c r="H189" s="482">
        <f t="shared" si="7"/>
        <v>-637347.26410802687</v>
      </c>
      <c r="I189" s="260">
        <v>486496.64615846251</v>
      </c>
      <c r="J189" s="486">
        <f>Synthèse!H188</f>
        <v>431956.9037101065</v>
      </c>
      <c r="K189" s="486">
        <f t="shared" si="8"/>
        <v>-54539.742448356003</v>
      </c>
    </row>
    <row r="190" spans="1:11" s="263" customFormat="1" ht="15" x14ac:dyDescent="0.25">
      <c r="A190" s="86">
        <f>Données!A190</f>
        <v>5719</v>
      </c>
      <c r="B190" s="398" t="str">
        <f>Données!B190</f>
        <v>Gingins</v>
      </c>
      <c r="C190" s="260">
        <v>4280301.644943784</v>
      </c>
      <c r="D190" s="477">
        <f>Synthèse!G189</f>
        <v>3129904.0373747949</v>
      </c>
      <c r="E190" s="478">
        <f t="shared" si="6"/>
        <v>-1150397.607568989</v>
      </c>
      <c r="F190" s="259">
        <v>2575574.5154160252</v>
      </c>
      <c r="G190" s="482">
        <f>Synthèse!F189</f>
        <v>2076842.727858566</v>
      </c>
      <c r="H190" s="482">
        <f t="shared" si="7"/>
        <v>-498731.7875574592</v>
      </c>
      <c r="I190" s="260">
        <v>295147.07538810244</v>
      </c>
      <c r="J190" s="486">
        <f>Synthèse!H189</f>
        <v>255006.52856218594</v>
      </c>
      <c r="K190" s="486">
        <f t="shared" si="8"/>
        <v>-40140.546825916506</v>
      </c>
    </row>
    <row r="191" spans="1:11" s="263" customFormat="1" ht="15" x14ac:dyDescent="0.25">
      <c r="A191" s="86">
        <f>Données!A191</f>
        <v>5720</v>
      </c>
      <c r="B191" s="398" t="str">
        <f>Données!B191</f>
        <v>Givrins</v>
      </c>
      <c r="C191" s="260">
        <v>2268223.5406372417</v>
      </c>
      <c r="D191" s="477">
        <f>Synthèse!G190</f>
        <v>1918178.5736697386</v>
      </c>
      <c r="E191" s="478">
        <f t="shared" si="6"/>
        <v>-350044.96696750307</v>
      </c>
      <c r="F191" s="259">
        <v>1423037.7949029428</v>
      </c>
      <c r="G191" s="482">
        <f>Synthèse!F190</f>
        <v>1491664.6342078068</v>
      </c>
      <c r="H191" s="482">
        <f t="shared" si="7"/>
        <v>68626.839304863941</v>
      </c>
      <c r="I191" s="260">
        <v>196491.91998520738</v>
      </c>
      <c r="J191" s="486">
        <f>Synthèse!H190</f>
        <v>191742.87652013369</v>
      </c>
      <c r="K191" s="486">
        <f t="shared" si="8"/>
        <v>-4749.0434650736861</v>
      </c>
    </row>
    <row r="192" spans="1:11" s="263" customFormat="1" ht="15" x14ac:dyDescent="0.25">
      <c r="A192" s="86">
        <f>Données!A192</f>
        <v>5721</v>
      </c>
      <c r="B192" s="398" t="str">
        <f>Données!B192</f>
        <v>Gland</v>
      </c>
      <c r="C192" s="260">
        <v>12159687.610017009</v>
      </c>
      <c r="D192" s="477">
        <f>Synthèse!G191</f>
        <v>10874918.327117767</v>
      </c>
      <c r="E192" s="478">
        <f t="shared" si="6"/>
        <v>-1284769.2828992419</v>
      </c>
      <c r="F192" s="259">
        <v>4493425.5885315351</v>
      </c>
      <c r="G192" s="482">
        <f>Synthèse!F191</f>
        <v>4487679.8290920909</v>
      </c>
      <c r="H192" s="482">
        <f t="shared" si="7"/>
        <v>-5745.7594394441694</v>
      </c>
      <c r="I192" s="260">
        <v>1966162.4949911768</v>
      </c>
      <c r="J192" s="486">
        <f>Synthèse!H191</f>
        <v>2035844.1696578194</v>
      </c>
      <c r="K192" s="486">
        <f t="shared" si="8"/>
        <v>69681.674666642677</v>
      </c>
    </row>
    <row r="193" spans="1:11" s="263" customFormat="1" ht="15" x14ac:dyDescent="0.25">
      <c r="A193" s="86">
        <f>Données!A193</f>
        <v>5722</v>
      </c>
      <c r="B193" s="398" t="str">
        <f>Données!B193</f>
        <v>Grens</v>
      </c>
      <c r="C193" s="260">
        <v>490272.25694843056</v>
      </c>
      <c r="D193" s="477">
        <f>Synthèse!G192</f>
        <v>376573.45700835873</v>
      </c>
      <c r="E193" s="478">
        <f t="shared" si="6"/>
        <v>-113698.79994007183</v>
      </c>
      <c r="F193" s="259">
        <v>438690.25298884802</v>
      </c>
      <c r="G193" s="482">
        <f>Synthèse!F192</f>
        <v>350064.40787783964</v>
      </c>
      <c r="H193" s="482">
        <f t="shared" si="7"/>
        <v>-88625.845111008384</v>
      </c>
      <c r="I193" s="260">
        <v>67438.489030912257</v>
      </c>
      <c r="J193" s="486">
        <f>Synthèse!H192</f>
        <v>60385.759998909576</v>
      </c>
      <c r="K193" s="486">
        <f t="shared" si="8"/>
        <v>-7052.7290320026805</v>
      </c>
    </row>
    <row r="194" spans="1:11" s="263" customFormat="1" ht="15" x14ac:dyDescent="0.25">
      <c r="A194" s="86">
        <f>Données!A194</f>
        <v>5723</v>
      </c>
      <c r="B194" s="398" t="str">
        <f>Données!B194</f>
        <v>Mies</v>
      </c>
      <c r="C194" s="260">
        <v>5191955.1528673219</v>
      </c>
      <c r="D194" s="477">
        <f>Synthèse!G193</f>
        <v>6852433.9970429856</v>
      </c>
      <c r="E194" s="478">
        <f t="shared" si="6"/>
        <v>1660478.8441756638</v>
      </c>
      <c r="F194" s="259">
        <v>3255754.7040794585</v>
      </c>
      <c r="G194" s="482">
        <f>Synthèse!F193</f>
        <v>4302286.2266745334</v>
      </c>
      <c r="H194" s="482">
        <f t="shared" si="7"/>
        <v>1046531.522595075</v>
      </c>
      <c r="I194" s="260">
        <v>440302.99999892304</v>
      </c>
      <c r="J194" s="486">
        <f>Synthèse!H193</f>
        <v>498192.02445721527</v>
      </c>
      <c r="K194" s="486">
        <f t="shared" si="8"/>
        <v>57889.024458292231</v>
      </c>
    </row>
    <row r="195" spans="1:11" s="263" customFormat="1" ht="15" x14ac:dyDescent="0.25">
      <c r="A195" s="86">
        <f>Données!A195</f>
        <v>5724</v>
      </c>
      <c r="B195" s="398" t="str">
        <f>Données!B195</f>
        <v>Nyon</v>
      </c>
      <c r="C195" s="260">
        <v>34899702.043974683</v>
      </c>
      <c r="D195" s="477">
        <f>Synthèse!G194</f>
        <v>30061662.60896581</v>
      </c>
      <c r="E195" s="478">
        <f t="shared" si="6"/>
        <v>-4838039.4350088723</v>
      </c>
      <c r="F195" s="259">
        <v>9189659.7164719068</v>
      </c>
      <c r="G195" s="482">
        <f>Synthèse!F194</f>
        <v>11000123.647327911</v>
      </c>
      <c r="H195" s="482">
        <f t="shared" si="7"/>
        <v>1810463.9308560044</v>
      </c>
      <c r="I195" s="260">
        <v>1827341.6107557134</v>
      </c>
      <c r="J195" s="486">
        <f>Synthèse!H194</f>
        <v>1794028.0756200457</v>
      </c>
      <c r="K195" s="486">
        <f t="shared" si="8"/>
        <v>-33313.535135667771</v>
      </c>
    </row>
    <row r="196" spans="1:11" s="263" customFormat="1" ht="15" x14ac:dyDescent="0.25">
      <c r="A196" s="86">
        <f>Données!A196</f>
        <v>5725</v>
      </c>
      <c r="B196" s="398" t="str">
        <f>Données!B196</f>
        <v>Prangins</v>
      </c>
      <c r="C196" s="260">
        <v>7443262.6507568508</v>
      </c>
      <c r="D196" s="477">
        <f>Synthèse!G195</f>
        <v>8846838.5922283754</v>
      </c>
      <c r="E196" s="478">
        <f t="shared" si="6"/>
        <v>1403575.9414715245</v>
      </c>
      <c r="F196" s="259">
        <v>4620506.769096775</v>
      </c>
      <c r="G196" s="482">
        <f>Synthèse!F195</f>
        <v>5959151.622908935</v>
      </c>
      <c r="H196" s="482">
        <f t="shared" si="7"/>
        <v>1338644.85381216</v>
      </c>
      <c r="I196" s="260">
        <v>404079.90383210359</v>
      </c>
      <c r="J196" s="486">
        <f>Synthèse!H195</f>
        <v>459036.28040247108</v>
      </c>
      <c r="K196" s="486">
        <f t="shared" si="8"/>
        <v>54956.376570367487</v>
      </c>
    </row>
    <row r="197" spans="1:11" s="263" customFormat="1" ht="15" x14ac:dyDescent="0.25">
      <c r="A197" s="86">
        <f>Données!A197</f>
        <v>5726</v>
      </c>
      <c r="B197" s="398" t="str">
        <f>Données!B197</f>
        <v>La Rippe</v>
      </c>
      <c r="C197" s="260">
        <v>1451181.9323535189</v>
      </c>
      <c r="D197" s="477">
        <f>Synthèse!G196</f>
        <v>1176012.3456588578</v>
      </c>
      <c r="E197" s="478">
        <f t="shared" si="6"/>
        <v>-275169.58669466106</v>
      </c>
      <c r="F197" s="259">
        <v>1100874.6841948302</v>
      </c>
      <c r="G197" s="482">
        <f>Synthèse!F196</f>
        <v>1139834.2178236539</v>
      </c>
      <c r="H197" s="482">
        <f t="shared" si="7"/>
        <v>38959.533628823701</v>
      </c>
      <c r="I197" s="260">
        <v>181916.16887230088</v>
      </c>
      <c r="J197" s="486">
        <f>Synthèse!H196</f>
        <v>189296.26261394663</v>
      </c>
      <c r="K197" s="486">
        <f t="shared" si="8"/>
        <v>7380.0937416457455</v>
      </c>
    </row>
    <row r="198" spans="1:11" s="263" customFormat="1" ht="15" x14ac:dyDescent="0.25">
      <c r="A198" s="86">
        <f>Données!A198</f>
        <v>5727</v>
      </c>
      <c r="B198" s="398" t="str">
        <f>Données!B198</f>
        <v>Saint-Cergue</v>
      </c>
      <c r="C198" s="260">
        <v>1916900.3183614374</v>
      </c>
      <c r="D198" s="477">
        <f>Synthèse!G197</f>
        <v>2008344.8644518824</v>
      </c>
      <c r="E198" s="478">
        <f t="shared" si="6"/>
        <v>91444.546090445016</v>
      </c>
      <c r="F198" s="259">
        <v>782762.79382194323</v>
      </c>
      <c r="G198" s="482">
        <f>Synthèse!F197</f>
        <v>793516.28049043566</v>
      </c>
      <c r="H198" s="482">
        <f t="shared" si="7"/>
        <v>10753.486668492435</v>
      </c>
      <c r="I198" s="260">
        <v>329846.74504204118</v>
      </c>
      <c r="J198" s="486">
        <f>Synthèse!H197</f>
        <v>322980.33559129795</v>
      </c>
      <c r="K198" s="486">
        <f t="shared" si="8"/>
        <v>-6866.409450743231</v>
      </c>
    </row>
    <row r="199" spans="1:11" s="263" customFormat="1" ht="15" x14ac:dyDescent="0.25">
      <c r="A199" s="86">
        <f>Données!A199</f>
        <v>5728</v>
      </c>
      <c r="B199" s="398" t="str">
        <f>Données!B199</f>
        <v>Signy-Avenex</v>
      </c>
      <c r="C199" s="260">
        <v>1243068.534763773</v>
      </c>
      <c r="D199" s="477">
        <f>Synthèse!G198</f>
        <v>1750946.8284352547</v>
      </c>
      <c r="E199" s="478">
        <f t="shared" ref="E199:E262" si="9">D199-C199</f>
        <v>507878.29367148178</v>
      </c>
      <c r="F199" s="259">
        <v>867183.96652269817</v>
      </c>
      <c r="G199" s="482">
        <f>Synthèse!F198</f>
        <v>1192466.2256576149</v>
      </c>
      <c r="H199" s="482">
        <f t="shared" ref="H199:H262" si="10">G199-F199</f>
        <v>325282.25913491671</v>
      </c>
      <c r="I199" s="260">
        <v>112804.01297756916</v>
      </c>
      <c r="J199" s="486">
        <f>Synthèse!H198</f>
        <v>129932.30049399802</v>
      </c>
      <c r="K199" s="486">
        <f t="shared" ref="K199:K262" si="11">J199-I199</f>
        <v>17128.287516428856</v>
      </c>
    </row>
    <row r="200" spans="1:11" s="263" customFormat="1" ht="15" x14ac:dyDescent="0.25">
      <c r="A200" s="86">
        <f>Données!A200</f>
        <v>5729</v>
      </c>
      <c r="B200" s="398" t="str">
        <f>Données!B200</f>
        <v>Tannay</v>
      </c>
      <c r="C200" s="260">
        <v>3489446.4958239212</v>
      </c>
      <c r="D200" s="477">
        <f>Synthèse!G199</f>
        <v>5446971.8906785809</v>
      </c>
      <c r="E200" s="478">
        <f t="shared" si="9"/>
        <v>1957525.3948546597</v>
      </c>
      <c r="F200" s="259">
        <v>2159040.1868395973</v>
      </c>
      <c r="G200" s="482">
        <f>Synthèse!F199</f>
        <v>3241221.028555932</v>
      </c>
      <c r="H200" s="482">
        <f t="shared" si="10"/>
        <v>1082180.8417163347</v>
      </c>
      <c r="I200" s="260">
        <v>308127.2514564158</v>
      </c>
      <c r="J200" s="486">
        <f>Synthèse!H199</f>
        <v>377042.47264249751</v>
      </c>
      <c r="K200" s="486">
        <f t="shared" si="11"/>
        <v>68915.221186081704</v>
      </c>
    </row>
    <row r="201" spans="1:11" s="263" customFormat="1" ht="15" x14ac:dyDescent="0.25">
      <c r="A201" s="86">
        <f>Données!A201</f>
        <v>5730</v>
      </c>
      <c r="B201" s="398" t="str">
        <f>Données!B201</f>
        <v>Trélex</v>
      </c>
      <c r="C201" s="260">
        <v>2775662.6266026115</v>
      </c>
      <c r="D201" s="477">
        <f>Synthèse!G200</f>
        <v>2856798.5668188785</v>
      </c>
      <c r="E201" s="478">
        <f t="shared" si="9"/>
        <v>81135.940216267016</v>
      </c>
      <c r="F201" s="259">
        <v>1860039.0470820188</v>
      </c>
      <c r="G201" s="482">
        <f>Synthèse!F200</f>
        <v>2048017.0008770372</v>
      </c>
      <c r="H201" s="482">
        <f t="shared" si="10"/>
        <v>187977.95379501837</v>
      </c>
      <c r="I201" s="260">
        <v>267225.68013529084</v>
      </c>
      <c r="J201" s="486">
        <f>Synthèse!H200</f>
        <v>270846.18503199361</v>
      </c>
      <c r="K201" s="486">
        <f t="shared" si="11"/>
        <v>3620.5048967027687</v>
      </c>
    </row>
    <row r="202" spans="1:11" s="263" customFormat="1" ht="15" x14ac:dyDescent="0.25">
      <c r="A202" s="86">
        <f>Données!A202</f>
        <v>5731</v>
      </c>
      <c r="B202" s="398" t="str">
        <f>Données!B202</f>
        <v>Le Vaud</v>
      </c>
      <c r="C202" s="260">
        <v>1098604.1296442212</v>
      </c>
      <c r="D202" s="477">
        <f>Synthèse!G201</f>
        <v>956296.45064638846</v>
      </c>
      <c r="E202" s="478">
        <f t="shared" si="9"/>
        <v>-142307.6789978327</v>
      </c>
      <c r="F202" s="259">
        <v>925904.98777951568</v>
      </c>
      <c r="G202" s="482">
        <f>Synthèse!F201</f>
        <v>1060599.9587809767</v>
      </c>
      <c r="H202" s="482">
        <f t="shared" si="10"/>
        <v>134694.97100146103</v>
      </c>
      <c r="I202" s="260">
        <v>198821.08544720651</v>
      </c>
      <c r="J202" s="486">
        <f>Synthèse!H201</f>
        <v>207834.5818344538</v>
      </c>
      <c r="K202" s="486">
        <f t="shared" si="11"/>
        <v>9013.4963872472872</v>
      </c>
    </row>
    <row r="203" spans="1:11" s="263" customFormat="1" ht="15" x14ac:dyDescent="0.25">
      <c r="A203" s="86">
        <f>Données!A203</f>
        <v>5732</v>
      </c>
      <c r="B203" s="398" t="str">
        <f>Données!B203</f>
        <v>Vich</v>
      </c>
      <c r="C203" s="260">
        <v>1603595.047832564</v>
      </c>
      <c r="D203" s="477">
        <f>Synthèse!G202</f>
        <v>1490770.5972318756</v>
      </c>
      <c r="E203" s="478">
        <f t="shared" si="9"/>
        <v>-112824.45060068835</v>
      </c>
      <c r="F203" s="259">
        <v>1181893.060161435</v>
      </c>
      <c r="G203" s="482">
        <f>Synthèse!F202</f>
        <v>1347090.4120952112</v>
      </c>
      <c r="H203" s="482">
        <f t="shared" si="10"/>
        <v>165197.35193377617</v>
      </c>
      <c r="I203" s="260">
        <v>190097.49621205183</v>
      </c>
      <c r="J203" s="486">
        <f>Synthèse!H202</f>
        <v>197795.41187859123</v>
      </c>
      <c r="K203" s="486">
        <f t="shared" si="11"/>
        <v>7697.9156665393966</v>
      </c>
    </row>
    <row r="204" spans="1:11" s="263" customFormat="1" ht="15" x14ac:dyDescent="0.25">
      <c r="A204" s="86">
        <f>Données!A204</f>
        <v>5741</v>
      </c>
      <c r="B204" s="398" t="str">
        <f>Données!B204</f>
        <v>L'Abergement</v>
      </c>
      <c r="C204" s="260">
        <v>132819.2592563942</v>
      </c>
      <c r="D204" s="477">
        <f>Synthèse!G203</f>
        <v>143233.8290594538</v>
      </c>
      <c r="E204" s="478">
        <f t="shared" si="9"/>
        <v>10414.569803059596</v>
      </c>
      <c r="F204" s="259">
        <v>-114875.95198427862</v>
      </c>
      <c r="G204" s="482">
        <f>Synthèse!F203</f>
        <v>129498.65706374377</v>
      </c>
      <c r="H204" s="482">
        <f t="shared" si="10"/>
        <v>244374.60904802239</v>
      </c>
      <c r="I204" s="260">
        <v>23244.773866722393</v>
      </c>
      <c r="J204" s="486">
        <f>Synthèse!H203</f>
        <v>33361.522340329575</v>
      </c>
      <c r="K204" s="486">
        <f t="shared" si="11"/>
        <v>10116.748473607182</v>
      </c>
    </row>
    <row r="205" spans="1:11" s="263" customFormat="1" ht="15" x14ac:dyDescent="0.25">
      <c r="A205" s="86">
        <f>Données!A205</f>
        <v>5742</v>
      </c>
      <c r="B205" s="398" t="str">
        <f>Données!B205</f>
        <v>Agiez</v>
      </c>
      <c r="C205" s="260">
        <v>146772.05986695393</v>
      </c>
      <c r="D205" s="477">
        <f>Synthèse!G204</f>
        <v>106318.80726927964</v>
      </c>
      <c r="E205" s="478">
        <f t="shared" si="9"/>
        <v>-40453.252597674291</v>
      </c>
      <c r="F205" s="259">
        <v>-105043.00472767954</v>
      </c>
      <c r="G205" s="482">
        <f>Synthèse!F204</f>
        <v>-92520.844036915252</v>
      </c>
      <c r="H205" s="482">
        <f t="shared" si="10"/>
        <v>12522.160690764285</v>
      </c>
      <c r="I205" s="260">
        <v>28258.024097036745</v>
      </c>
      <c r="J205" s="486">
        <f>Synthèse!H204</f>
        <v>27127.49821357675</v>
      </c>
      <c r="K205" s="486">
        <f t="shared" si="11"/>
        <v>-1130.5258834599954</v>
      </c>
    </row>
    <row r="206" spans="1:11" s="263" customFormat="1" ht="15" x14ac:dyDescent="0.25">
      <c r="A206" s="86">
        <f>Données!A206</f>
        <v>5743</v>
      </c>
      <c r="B206" s="398" t="str">
        <f>Données!B206</f>
        <v>Arnex-sur-Orbe</v>
      </c>
      <c r="C206" s="260">
        <v>333022.58569844265</v>
      </c>
      <c r="D206" s="477">
        <f>Synthèse!G205</f>
        <v>315256.1482460741</v>
      </c>
      <c r="E206" s="478">
        <f t="shared" si="9"/>
        <v>-17766.437452368555</v>
      </c>
      <c r="F206" s="259">
        <v>51300.717220740858</v>
      </c>
      <c r="G206" s="482">
        <f>Synthèse!F205</f>
        <v>-257.51979662559461</v>
      </c>
      <c r="H206" s="482">
        <f t="shared" si="10"/>
        <v>-51558.237017366453</v>
      </c>
      <c r="I206" s="260">
        <v>65220.108332497381</v>
      </c>
      <c r="J206" s="486">
        <f>Synthèse!H205</f>
        <v>59185.593684248917</v>
      </c>
      <c r="K206" s="486">
        <f t="shared" si="11"/>
        <v>-6034.5146482484633</v>
      </c>
    </row>
    <row r="207" spans="1:11" s="263" customFormat="1" ht="15" x14ac:dyDescent="0.25">
      <c r="A207" s="86">
        <f>Données!A207</f>
        <v>5744</v>
      </c>
      <c r="B207" s="398" t="str">
        <f>Données!B207</f>
        <v>Ballaigues</v>
      </c>
      <c r="C207" s="260">
        <v>1048243.5154280323</v>
      </c>
      <c r="D207" s="477">
        <f>Synthèse!G206</f>
        <v>1207488.7608595323</v>
      </c>
      <c r="E207" s="478">
        <f t="shared" si="9"/>
        <v>159245.24543150002</v>
      </c>
      <c r="F207" s="259">
        <v>8279.2043228180846</v>
      </c>
      <c r="G207" s="482">
        <f>Synthèse!F206</f>
        <v>826565.75337105687</v>
      </c>
      <c r="H207" s="482">
        <f t="shared" si="10"/>
        <v>818286.54904823878</v>
      </c>
      <c r="I207" s="260">
        <v>126817.33630864597</v>
      </c>
      <c r="J207" s="486">
        <f>Synthèse!H206</f>
        <v>166093.98717931093</v>
      </c>
      <c r="K207" s="486">
        <f t="shared" si="11"/>
        <v>39276.650870664962</v>
      </c>
    </row>
    <row r="208" spans="1:11" s="263" customFormat="1" ht="15" x14ac:dyDescent="0.25">
      <c r="A208" s="86">
        <f>Données!A208</f>
        <v>5745</v>
      </c>
      <c r="B208" s="398" t="str">
        <f>Données!B208</f>
        <v>Baulmes</v>
      </c>
      <c r="C208" s="260">
        <v>497500.21892909508</v>
      </c>
      <c r="D208" s="477">
        <f>Synthèse!G207</f>
        <v>459426.43911677343</v>
      </c>
      <c r="E208" s="478">
        <f t="shared" si="9"/>
        <v>-38073.779812321649</v>
      </c>
      <c r="F208" s="259">
        <v>-586172.06335506914</v>
      </c>
      <c r="G208" s="482">
        <f>Synthèse!F207</f>
        <v>-279167.46480845276</v>
      </c>
      <c r="H208" s="482">
        <f t="shared" si="10"/>
        <v>307004.59854661638</v>
      </c>
      <c r="I208" s="260">
        <v>84775.700401628448</v>
      </c>
      <c r="J208" s="486">
        <f>Synthèse!H207</f>
        <v>83988.760073771089</v>
      </c>
      <c r="K208" s="486">
        <f t="shared" si="11"/>
        <v>-786.94032785735908</v>
      </c>
    </row>
    <row r="209" spans="1:11" s="263" customFormat="1" ht="15" x14ac:dyDescent="0.25">
      <c r="A209" s="86">
        <f>Données!A209</f>
        <v>5746</v>
      </c>
      <c r="B209" s="398" t="str">
        <f>Données!B209</f>
        <v>Bavois</v>
      </c>
      <c r="C209" s="260">
        <v>649828.29116897588</v>
      </c>
      <c r="D209" s="477">
        <f>Synthèse!G208</f>
        <v>470956.96867508849</v>
      </c>
      <c r="E209" s="478">
        <f t="shared" si="9"/>
        <v>-178871.32249388739</v>
      </c>
      <c r="F209" s="259">
        <v>-50054.562564339954</v>
      </c>
      <c r="G209" s="482">
        <f>Synthèse!F208</f>
        <v>33388.514989063144</v>
      </c>
      <c r="H209" s="482">
        <f t="shared" si="10"/>
        <v>83443.077553403098</v>
      </c>
      <c r="I209" s="260">
        <v>94926.621549108939</v>
      </c>
      <c r="J209" s="486">
        <f>Synthèse!H208</f>
        <v>87928.528630590095</v>
      </c>
      <c r="K209" s="486">
        <f t="shared" si="11"/>
        <v>-6998.0929185188434</v>
      </c>
    </row>
    <row r="210" spans="1:11" s="263" customFormat="1" ht="15" x14ac:dyDescent="0.25">
      <c r="A210" s="86">
        <f>Données!A210</f>
        <v>5747</v>
      </c>
      <c r="B210" s="398" t="str">
        <f>Données!B210</f>
        <v>Bofflens</v>
      </c>
      <c r="C210" s="260">
        <v>106178.03969691315</v>
      </c>
      <c r="D210" s="477">
        <f>Synthèse!G209</f>
        <v>106957.17757019533</v>
      </c>
      <c r="E210" s="478">
        <f t="shared" si="9"/>
        <v>779.13787328217586</v>
      </c>
      <c r="F210" s="259">
        <v>-17381.987412155853</v>
      </c>
      <c r="G210" s="482">
        <f>Synthèse!F209</f>
        <v>6564.224124058921</v>
      </c>
      <c r="H210" s="482">
        <f t="shared" si="10"/>
        <v>23946.211536214774</v>
      </c>
      <c r="I210" s="260">
        <v>17520.524695983389</v>
      </c>
      <c r="J210" s="486">
        <f>Synthèse!H209</f>
        <v>17380.94408302573</v>
      </c>
      <c r="K210" s="486">
        <f t="shared" si="11"/>
        <v>-139.58061295765947</v>
      </c>
    </row>
    <row r="211" spans="1:11" s="263" customFormat="1" ht="15" x14ac:dyDescent="0.25">
      <c r="A211" s="86">
        <f>Données!A211</f>
        <v>5748</v>
      </c>
      <c r="B211" s="398" t="str">
        <f>Données!B211</f>
        <v>Bretonnières</v>
      </c>
      <c r="C211" s="260">
        <v>98914.591759786228</v>
      </c>
      <c r="D211" s="477">
        <f>Synthèse!G210</f>
        <v>98776.298150220129</v>
      </c>
      <c r="E211" s="478">
        <f t="shared" si="9"/>
        <v>-138.29360956609889</v>
      </c>
      <c r="F211" s="259">
        <v>-103559.46474081805</v>
      </c>
      <c r="G211" s="482">
        <f>Synthèse!F210</f>
        <v>-23882.850143367323</v>
      </c>
      <c r="H211" s="482">
        <f t="shared" si="10"/>
        <v>79676.614597450724</v>
      </c>
      <c r="I211" s="260">
        <v>17941.04043864238</v>
      </c>
      <c r="J211" s="486">
        <f>Synthèse!H210</f>
        <v>20354.781193051072</v>
      </c>
      <c r="K211" s="486">
        <f t="shared" si="11"/>
        <v>2413.7407544086927</v>
      </c>
    </row>
    <row r="212" spans="1:11" s="263" customFormat="1" ht="15" x14ac:dyDescent="0.25">
      <c r="A212" s="86">
        <f>Données!A212</f>
        <v>5749</v>
      </c>
      <c r="B212" s="398" t="str">
        <f>Données!B212</f>
        <v>Chavornay</v>
      </c>
      <c r="C212" s="260">
        <v>2640462.567665712</v>
      </c>
      <c r="D212" s="477">
        <f>Synthèse!G211</f>
        <v>2116246.5494591789</v>
      </c>
      <c r="E212" s="478">
        <f t="shared" si="9"/>
        <v>-524216.01820653304</v>
      </c>
      <c r="F212" s="259">
        <v>-1873456.8785898476</v>
      </c>
      <c r="G212" s="482">
        <f>Synthèse!F211</f>
        <v>-1698147.1416141419</v>
      </c>
      <c r="H212" s="482">
        <f t="shared" si="10"/>
        <v>175309.73697570572</v>
      </c>
      <c r="I212" s="260">
        <v>438125.72990610462</v>
      </c>
      <c r="J212" s="486">
        <f>Synthèse!H211</f>
        <v>433395.62403491518</v>
      </c>
      <c r="K212" s="486">
        <f t="shared" si="11"/>
        <v>-4730.1058711894439</v>
      </c>
    </row>
    <row r="213" spans="1:11" s="263" customFormat="1" ht="15" x14ac:dyDescent="0.25">
      <c r="A213" s="86">
        <f>Données!A213</f>
        <v>5750</v>
      </c>
      <c r="B213" s="398" t="str">
        <f>Données!B213</f>
        <v>Les Clées</v>
      </c>
      <c r="C213" s="260">
        <v>91040.701883885573</v>
      </c>
      <c r="D213" s="477">
        <f>Synthèse!G212</f>
        <v>94500.843614239478</v>
      </c>
      <c r="E213" s="478">
        <f t="shared" si="9"/>
        <v>3460.1417303539056</v>
      </c>
      <c r="F213" s="259">
        <v>-15436.607426117029</v>
      </c>
      <c r="G213" s="482">
        <f>Synthèse!F212</f>
        <v>-11285.875794186606</v>
      </c>
      <c r="H213" s="482">
        <f t="shared" si="10"/>
        <v>4150.7316319304227</v>
      </c>
      <c r="I213" s="260">
        <v>19284.943568448591</v>
      </c>
      <c r="J213" s="486">
        <f>Synthèse!H212</f>
        <v>16766.212525964838</v>
      </c>
      <c r="K213" s="486">
        <f t="shared" si="11"/>
        <v>-2518.7310424837524</v>
      </c>
    </row>
    <row r="214" spans="1:11" s="263" customFormat="1" ht="15" x14ac:dyDescent="0.25">
      <c r="A214" s="86">
        <f>Données!A214</f>
        <v>5752</v>
      </c>
      <c r="B214" s="398" t="str">
        <f>Données!B214</f>
        <v>Croy</v>
      </c>
      <c r="C214" s="260">
        <v>171564.68918571249</v>
      </c>
      <c r="D214" s="477">
        <f>Synthèse!G213</f>
        <v>144490.18492711548</v>
      </c>
      <c r="E214" s="478">
        <f t="shared" si="9"/>
        <v>-27074.504258597008</v>
      </c>
      <c r="F214" s="259">
        <v>-65865.090614797751</v>
      </c>
      <c r="G214" s="482">
        <f>Synthèse!F213</f>
        <v>-40904.883088859788</v>
      </c>
      <c r="H214" s="482">
        <f t="shared" si="10"/>
        <v>24960.207525937964</v>
      </c>
      <c r="I214" s="260">
        <v>29342.378998817963</v>
      </c>
      <c r="J214" s="486">
        <f>Synthèse!H213</f>
        <v>30746.985693369912</v>
      </c>
      <c r="K214" s="486">
        <f t="shared" si="11"/>
        <v>1404.6066945519487</v>
      </c>
    </row>
    <row r="215" spans="1:11" s="263" customFormat="1" ht="15" x14ac:dyDescent="0.25">
      <c r="A215" s="86">
        <f>Données!A215</f>
        <v>5754</v>
      </c>
      <c r="B215" s="398" t="str">
        <f>Données!B215</f>
        <v>Juriens</v>
      </c>
      <c r="C215" s="260">
        <v>129638.52496707001</v>
      </c>
      <c r="D215" s="477">
        <f>Synthèse!G214</f>
        <v>263125.00710198039</v>
      </c>
      <c r="E215" s="478">
        <f t="shared" si="9"/>
        <v>133486.48213491036</v>
      </c>
      <c r="F215" s="259">
        <v>-137147.55426731938</v>
      </c>
      <c r="G215" s="482">
        <f>Synthèse!F214</f>
        <v>-85566.62939504112</v>
      </c>
      <c r="H215" s="482">
        <f t="shared" si="10"/>
        <v>51580.924872278265</v>
      </c>
      <c r="I215" s="260">
        <v>25388.746062189311</v>
      </c>
      <c r="J215" s="486">
        <f>Synthèse!H214</f>
        <v>26189.478981938471</v>
      </c>
      <c r="K215" s="486">
        <f t="shared" si="11"/>
        <v>800.73291974915992</v>
      </c>
    </row>
    <row r="216" spans="1:11" s="263" customFormat="1" ht="15" x14ac:dyDescent="0.25">
      <c r="A216" s="86">
        <f>Données!A216</f>
        <v>5755</v>
      </c>
      <c r="B216" s="398" t="str">
        <f>Données!B216</f>
        <v>Lignerolle</v>
      </c>
      <c r="C216" s="260">
        <v>275014.24101760483</v>
      </c>
      <c r="D216" s="477">
        <f>Synthèse!G215</f>
        <v>179012.72310549355</v>
      </c>
      <c r="E216" s="478">
        <f t="shared" si="9"/>
        <v>-96001.517912111274</v>
      </c>
      <c r="F216" s="259">
        <v>-674215.09839432943</v>
      </c>
      <c r="G216" s="482">
        <f>Synthèse!F215</f>
        <v>-113566.47064955608</v>
      </c>
      <c r="H216" s="482">
        <f t="shared" si="10"/>
        <v>560648.6277447734</v>
      </c>
      <c r="I216" s="260">
        <v>28155.095566841152</v>
      </c>
      <c r="J216" s="486">
        <f>Synthèse!H215</f>
        <v>33019.61528280843</v>
      </c>
      <c r="K216" s="486">
        <f t="shared" si="11"/>
        <v>4864.5197159672789</v>
      </c>
    </row>
    <row r="217" spans="1:11" s="263" customFormat="1" ht="15" x14ac:dyDescent="0.25">
      <c r="A217" s="86">
        <f>Données!A217</f>
        <v>5756</v>
      </c>
      <c r="B217" s="398" t="str">
        <f>Données!B217</f>
        <v>Montcherand</v>
      </c>
      <c r="C217" s="260">
        <v>284336.5170782975</v>
      </c>
      <c r="D217" s="477">
        <f>Synthèse!G216</f>
        <v>217107.42315853699</v>
      </c>
      <c r="E217" s="478">
        <f t="shared" si="9"/>
        <v>-67229.093919760518</v>
      </c>
      <c r="F217" s="259">
        <v>7955.0445800824091</v>
      </c>
      <c r="G217" s="482">
        <f>Synthèse!F216</f>
        <v>137029.07887375893</v>
      </c>
      <c r="H217" s="482">
        <f t="shared" si="10"/>
        <v>129074.03429367652</v>
      </c>
      <c r="I217" s="260">
        <v>20374.359905926198</v>
      </c>
      <c r="J217" s="486">
        <f>Synthèse!H216</f>
        <v>20656.922458870442</v>
      </c>
      <c r="K217" s="486">
        <f t="shared" si="11"/>
        <v>282.56255294424409</v>
      </c>
    </row>
    <row r="218" spans="1:11" s="263" customFormat="1" ht="15" x14ac:dyDescent="0.25">
      <c r="A218" s="86">
        <f>Données!A218</f>
        <v>5757</v>
      </c>
      <c r="B218" s="398" t="str">
        <f>Données!B218</f>
        <v>Orbe</v>
      </c>
      <c r="C218" s="260">
        <v>4448225.2603133628</v>
      </c>
      <c r="D218" s="477">
        <f>Synthèse!G217</f>
        <v>4300223.9921736792</v>
      </c>
      <c r="E218" s="478">
        <f t="shared" si="9"/>
        <v>-148001.26813968364</v>
      </c>
      <c r="F218" s="259">
        <v>-4003981.5199459298</v>
      </c>
      <c r="G218" s="482">
        <f>Synthèse!F217</f>
        <v>-2775661.6395592396</v>
      </c>
      <c r="H218" s="482">
        <f t="shared" si="10"/>
        <v>1228319.8803866901</v>
      </c>
      <c r="I218" s="260">
        <v>263169.33988608036</v>
      </c>
      <c r="J218" s="486">
        <f>Synthèse!H217</f>
        <v>256995.44501888737</v>
      </c>
      <c r="K218" s="486">
        <f t="shared" si="11"/>
        <v>-6173.8948671929829</v>
      </c>
    </row>
    <row r="219" spans="1:11" s="263" customFormat="1" ht="15" x14ac:dyDescent="0.25">
      <c r="A219" s="86">
        <f>Données!A219</f>
        <v>5758</v>
      </c>
      <c r="B219" s="398" t="str">
        <f>Données!B219</f>
        <v>La Praz</v>
      </c>
      <c r="C219" s="260">
        <v>75347.059761317345</v>
      </c>
      <c r="D219" s="477">
        <f>Synthèse!G218</f>
        <v>53623.360050972828</v>
      </c>
      <c r="E219" s="478">
        <f t="shared" si="9"/>
        <v>-21723.699710344517</v>
      </c>
      <c r="F219" s="259">
        <v>-53390.979421067561</v>
      </c>
      <c r="G219" s="482">
        <f>Synthèse!F218</f>
        <v>-57324.700756035003</v>
      </c>
      <c r="H219" s="482">
        <f t="shared" si="10"/>
        <v>-3933.7213349674421</v>
      </c>
      <c r="I219" s="260">
        <v>13499.050977464547</v>
      </c>
      <c r="J219" s="486">
        <f>Synthèse!H218</f>
        <v>13557.581969518971</v>
      </c>
      <c r="K219" s="486">
        <f t="shared" si="11"/>
        <v>58.530992054424132</v>
      </c>
    </row>
    <row r="220" spans="1:11" s="263" customFormat="1" ht="15" x14ac:dyDescent="0.25">
      <c r="A220" s="86">
        <f>Données!A220</f>
        <v>5759</v>
      </c>
      <c r="B220" s="398" t="str">
        <f>Données!B220</f>
        <v>Premier</v>
      </c>
      <c r="C220" s="260">
        <v>98022.861678343761</v>
      </c>
      <c r="D220" s="477">
        <f>Synthèse!G219</f>
        <v>87962.733543995564</v>
      </c>
      <c r="E220" s="478">
        <f t="shared" si="9"/>
        <v>-10060.128134348197</v>
      </c>
      <c r="F220" s="259">
        <v>-101323.89472112508</v>
      </c>
      <c r="G220" s="482">
        <f>Synthèse!F219</f>
        <v>-67232.627195549387</v>
      </c>
      <c r="H220" s="482">
        <f t="shared" si="10"/>
        <v>34091.267525575691</v>
      </c>
      <c r="I220" s="260">
        <v>16704.73676016969</v>
      </c>
      <c r="J220" s="486">
        <f>Synthèse!H219</f>
        <v>17206.955323463975</v>
      </c>
      <c r="K220" s="486">
        <f t="shared" si="11"/>
        <v>502.21856329428556</v>
      </c>
    </row>
    <row r="221" spans="1:11" s="263" customFormat="1" ht="15" x14ac:dyDescent="0.25">
      <c r="A221" s="86">
        <f>Données!A221</f>
        <v>5760</v>
      </c>
      <c r="B221" s="398" t="str">
        <f>Données!B221</f>
        <v>Rances</v>
      </c>
      <c r="C221" s="260">
        <v>241722.59812888809</v>
      </c>
      <c r="D221" s="477">
        <f>Synthèse!G220</f>
        <v>260929.92028844915</v>
      </c>
      <c r="E221" s="478">
        <f t="shared" si="9"/>
        <v>19207.322159561067</v>
      </c>
      <c r="F221" s="259">
        <v>-225524.98294265015</v>
      </c>
      <c r="G221" s="482">
        <f>Synthèse!F220</f>
        <v>35902.095108083275</v>
      </c>
      <c r="H221" s="482">
        <f t="shared" si="10"/>
        <v>261427.07805073343</v>
      </c>
      <c r="I221" s="260">
        <v>40264.345249722763</v>
      </c>
      <c r="J221" s="486">
        <f>Synthèse!H220</f>
        <v>49637.771880461965</v>
      </c>
      <c r="K221" s="486">
        <f t="shared" si="11"/>
        <v>9373.4266307392027</v>
      </c>
    </row>
    <row r="222" spans="1:11" s="263" customFormat="1" ht="15" x14ac:dyDescent="0.25">
      <c r="A222" s="86">
        <f>Données!A222</f>
        <v>5761</v>
      </c>
      <c r="B222" s="398" t="str">
        <f>Données!B222</f>
        <v>Romainmôtier-Envy</v>
      </c>
      <c r="C222" s="260">
        <v>263214.16388492344</v>
      </c>
      <c r="D222" s="477">
        <f>Synthèse!G221</f>
        <v>215824.09619962066</v>
      </c>
      <c r="E222" s="478">
        <f t="shared" si="9"/>
        <v>-47390.067685302784</v>
      </c>
      <c r="F222" s="259">
        <v>-349542.4457369335</v>
      </c>
      <c r="G222" s="482">
        <f>Synthèse!F221</f>
        <v>-138857.97271225177</v>
      </c>
      <c r="H222" s="482">
        <f t="shared" si="10"/>
        <v>210684.47302468173</v>
      </c>
      <c r="I222" s="260">
        <v>37814.187331148714</v>
      </c>
      <c r="J222" s="486">
        <f>Synthèse!H221</f>
        <v>43564.592486681184</v>
      </c>
      <c r="K222" s="486">
        <f t="shared" si="11"/>
        <v>5750.4051555324695</v>
      </c>
    </row>
    <row r="223" spans="1:11" s="263" customFormat="1" ht="15" x14ac:dyDescent="0.25">
      <c r="A223" s="86">
        <f>Données!A223</f>
        <v>5762</v>
      </c>
      <c r="B223" s="398" t="str">
        <f>Données!B223</f>
        <v>Sergey</v>
      </c>
      <c r="C223" s="260">
        <v>55071.704551880626</v>
      </c>
      <c r="D223" s="477">
        <f>Synthèse!G222</f>
        <v>50257.594070603278</v>
      </c>
      <c r="E223" s="478">
        <f t="shared" si="9"/>
        <v>-4814.1104812773483</v>
      </c>
      <c r="F223" s="259">
        <v>-43752.812680604271</v>
      </c>
      <c r="G223" s="482">
        <f>Synthèse!F222</f>
        <v>-20131.641047329438</v>
      </c>
      <c r="H223" s="482">
        <f t="shared" si="10"/>
        <v>23621.171633274833</v>
      </c>
      <c r="I223" s="260">
        <v>11894.478480723237</v>
      </c>
      <c r="J223" s="486">
        <f>Synthèse!H222</f>
        <v>11361.971832150881</v>
      </c>
      <c r="K223" s="486">
        <f t="shared" si="11"/>
        <v>-532.50664857235643</v>
      </c>
    </row>
    <row r="224" spans="1:11" s="263" customFormat="1" ht="15" x14ac:dyDescent="0.25">
      <c r="A224" s="86">
        <f>Données!A224</f>
        <v>5763</v>
      </c>
      <c r="B224" s="398" t="str">
        <f>Données!B224</f>
        <v>Valeyres-sous-Rances</v>
      </c>
      <c r="C224" s="260">
        <v>325893.87889889599</v>
      </c>
      <c r="D224" s="477">
        <f>Synthèse!G223</f>
        <v>279735.78748322942</v>
      </c>
      <c r="E224" s="478">
        <f t="shared" si="9"/>
        <v>-46158.091415666568</v>
      </c>
      <c r="F224" s="259">
        <v>59093.479011147225</v>
      </c>
      <c r="G224" s="482">
        <f>Synthèse!F223</f>
        <v>207804.09137640038</v>
      </c>
      <c r="H224" s="482">
        <f t="shared" si="10"/>
        <v>148710.61236525315</v>
      </c>
      <c r="I224" s="260">
        <v>64620.899647146041</v>
      </c>
      <c r="J224" s="486">
        <f>Synthèse!H223</f>
        <v>68099.966211249426</v>
      </c>
      <c r="K224" s="486">
        <f t="shared" si="11"/>
        <v>3479.0665641033847</v>
      </c>
    </row>
    <row r="225" spans="1:11" s="263" customFormat="1" ht="15" x14ac:dyDescent="0.25">
      <c r="A225" s="86">
        <f>Données!A225</f>
        <v>5764</v>
      </c>
      <c r="B225" s="398" t="str">
        <f>Données!B225</f>
        <v>Vallorbe</v>
      </c>
      <c r="C225" s="260">
        <v>2101248.4702559989</v>
      </c>
      <c r="D225" s="477">
        <f>Synthèse!G224</f>
        <v>2032815.2580481544</v>
      </c>
      <c r="E225" s="478">
        <f t="shared" si="9"/>
        <v>-68433.212207844481</v>
      </c>
      <c r="F225" s="259">
        <v>-3595158.2974534612</v>
      </c>
      <c r="G225" s="482">
        <f>Synthèse!F224</f>
        <v>-1993210.4996977511</v>
      </c>
      <c r="H225" s="482">
        <f t="shared" si="10"/>
        <v>1601947.7977557101</v>
      </c>
      <c r="I225" s="260">
        <v>263219.91918322857</v>
      </c>
      <c r="J225" s="486">
        <f>Synthèse!H224</f>
        <v>250766.5269045434</v>
      </c>
      <c r="K225" s="486">
        <f t="shared" si="11"/>
        <v>-12453.392278685176</v>
      </c>
    </row>
    <row r="226" spans="1:11" s="263" customFormat="1" ht="15" x14ac:dyDescent="0.25">
      <c r="A226" s="86">
        <f>Données!A226</f>
        <v>5765</v>
      </c>
      <c r="B226" s="398" t="str">
        <f>Données!B226</f>
        <v>Vaulion</v>
      </c>
      <c r="C226" s="260">
        <v>230347.10464511072</v>
      </c>
      <c r="D226" s="477">
        <f>Synthèse!G225</f>
        <v>127647.10340348937</v>
      </c>
      <c r="E226" s="478">
        <f t="shared" si="9"/>
        <v>-102700.00124162136</v>
      </c>
      <c r="F226" s="259">
        <v>-316949.87012920808</v>
      </c>
      <c r="G226" s="482">
        <f>Synthèse!F225</f>
        <v>-204671.50735410667</v>
      </c>
      <c r="H226" s="482">
        <f t="shared" si="10"/>
        <v>112278.36277510141</v>
      </c>
      <c r="I226" s="260">
        <v>35658.951019999069</v>
      </c>
      <c r="J226" s="486">
        <f>Synthèse!H225</f>
        <v>28963.300013985361</v>
      </c>
      <c r="K226" s="486">
        <f t="shared" si="11"/>
        <v>-6695.651006013708</v>
      </c>
    </row>
    <row r="227" spans="1:11" s="263" customFormat="1" ht="15" x14ac:dyDescent="0.25">
      <c r="A227" s="86">
        <f>Données!A227</f>
        <v>5766</v>
      </c>
      <c r="B227" s="398" t="str">
        <f>Données!B227</f>
        <v>Vuiteboeuf</v>
      </c>
      <c r="C227" s="260">
        <v>261607.48060806651</v>
      </c>
      <c r="D227" s="477">
        <f>Synthèse!G226</f>
        <v>274929.47377819568</v>
      </c>
      <c r="E227" s="478">
        <f t="shared" si="9"/>
        <v>13321.993170129164</v>
      </c>
      <c r="F227" s="259">
        <v>-139303.48186505341</v>
      </c>
      <c r="G227" s="482">
        <f>Synthèse!F226</f>
        <v>-78144.46901756135</v>
      </c>
      <c r="H227" s="482">
        <f t="shared" si="10"/>
        <v>61159.012847492064</v>
      </c>
      <c r="I227" s="260">
        <v>50613.450057788214</v>
      </c>
      <c r="J227" s="486">
        <f>Synthèse!H226</f>
        <v>46752.111151313191</v>
      </c>
      <c r="K227" s="486">
        <f t="shared" si="11"/>
        <v>-3861.3389064750227</v>
      </c>
    </row>
    <row r="228" spans="1:11" s="263" customFormat="1" ht="15" x14ac:dyDescent="0.25">
      <c r="A228" s="86">
        <f>Données!A228</f>
        <v>5785</v>
      </c>
      <c r="B228" s="398" t="str">
        <f>Données!B228</f>
        <v>Corcelles-le-Jorat</v>
      </c>
      <c r="C228" s="260">
        <v>321989.18625184492</v>
      </c>
      <c r="D228" s="477">
        <f>Synthèse!G227</f>
        <v>198262.77486739651</v>
      </c>
      <c r="E228" s="478">
        <f t="shared" si="9"/>
        <v>-123726.41138444841</v>
      </c>
      <c r="F228" s="259">
        <v>135894.43471057439</v>
      </c>
      <c r="G228" s="482">
        <f>Synthèse!F227</f>
        <v>55042.535732934746</v>
      </c>
      <c r="H228" s="482">
        <f t="shared" si="10"/>
        <v>-80851.898977639648</v>
      </c>
      <c r="I228" s="260">
        <v>55693.138131055079</v>
      </c>
      <c r="J228" s="486">
        <f>Synthèse!H227</f>
        <v>47031.809117417448</v>
      </c>
      <c r="K228" s="486">
        <f t="shared" si="11"/>
        <v>-8661.3290136376309</v>
      </c>
    </row>
    <row r="229" spans="1:11" s="263" customFormat="1" ht="15" x14ac:dyDescent="0.25">
      <c r="A229" s="86">
        <f>Données!A229</f>
        <v>5790</v>
      </c>
      <c r="B229" s="398" t="str">
        <f>Données!B229</f>
        <v>Maracon</v>
      </c>
      <c r="C229" s="260">
        <v>226262.32295344945</v>
      </c>
      <c r="D229" s="477">
        <f>Synthèse!G228</f>
        <v>203382.19363565996</v>
      </c>
      <c r="E229" s="478">
        <f t="shared" si="9"/>
        <v>-22880.129317789484</v>
      </c>
      <c r="F229" s="259">
        <v>-122921.21846010647</v>
      </c>
      <c r="G229" s="482">
        <f>Synthèse!F228</f>
        <v>21002.647771828983</v>
      </c>
      <c r="H229" s="482">
        <f t="shared" si="10"/>
        <v>143923.86623193545</v>
      </c>
      <c r="I229" s="260">
        <v>41599.874709148615</v>
      </c>
      <c r="J229" s="486">
        <f>Synthèse!H228</f>
        <v>49256.960306335706</v>
      </c>
      <c r="K229" s="486">
        <f t="shared" si="11"/>
        <v>7657.0855971870915</v>
      </c>
    </row>
    <row r="230" spans="1:11" s="263" customFormat="1" ht="15" x14ac:dyDescent="0.25">
      <c r="A230" s="86">
        <f>Données!A230</f>
        <v>5792</v>
      </c>
      <c r="B230" s="398" t="str">
        <f>Données!B230</f>
        <v>Montpreveyres</v>
      </c>
      <c r="C230" s="260">
        <v>313059.66932811058</v>
      </c>
      <c r="D230" s="477">
        <f>Synthèse!G229</f>
        <v>245084.39004574789</v>
      </c>
      <c r="E230" s="478">
        <f t="shared" si="9"/>
        <v>-67975.279282362695</v>
      </c>
      <c r="F230" s="259">
        <v>-202076.79571142222</v>
      </c>
      <c r="G230" s="482">
        <f>Synthèse!F229</f>
        <v>-2960.1439787676791</v>
      </c>
      <c r="H230" s="482">
        <f t="shared" si="10"/>
        <v>199116.65173265454</v>
      </c>
      <c r="I230" s="260">
        <v>54879.643652610772</v>
      </c>
      <c r="J230" s="486">
        <f>Synthèse!H229</f>
        <v>58207.758620299959</v>
      </c>
      <c r="K230" s="486">
        <f t="shared" si="11"/>
        <v>3328.1149676891873</v>
      </c>
    </row>
    <row r="231" spans="1:11" s="263" customFormat="1" ht="15" x14ac:dyDescent="0.25">
      <c r="A231" s="86">
        <f>Données!A231</f>
        <v>5798</v>
      </c>
      <c r="B231" s="398" t="str">
        <f>Données!B231</f>
        <v>Ropraz</v>
      </c>
      <c r="C231" s="260">
        <v>271097.52636909019</v>
      </c>
      <c r="D231" s="477">
        <f>Synthèse!G230</f>
        <v>227062.20907722897</v>
      </c>
      <c r="E231" s="478">
        <f t="shared" si="9"/>
        <v>-44035.317291861225</v>
      </c>
      <c r="F231" s="259">
        <v>-27777.062285496737</v>
      </c>
      <c r="G231" s="482">
        <f>Synthèse!F230</f>
        <v>16995.102848937735</v>
      </c>
      <c r="H231" s="482">
        <f t="shared" si="10"/>
        <v>44772.165134434472</v>
      </c>
      <c r="I231" s="260">
        <v>49654.29208399108</v>
      </c>
      <c r="J231" s="486">
        <f>Synthèse!H230</f>
        <v>48816.836957458749</v>
      </c>
      <c r="K231" s="486">
        <f t="shared" si="11"/>
        <v>-837.45512653233163</v>
      </c>
    </row>
    <row r="232" spans="1:11" s="263" customFormat="1" ht="15" x14ac:dyDescent="0.25">
      <c r="A232" s="86">
        <f>Données!A232</f>
        <v>5799</v>
      </c>
      <c r="B232" s="398" t="str">
        <f>Données!B232</f>
        <v>Servion</v>
      </c>
      <c r="C232" s="260">
        <v>1308143.3694986226</v>
      </c>
      <c r="D232" s="477">
        <f>Synthèse!G231</f>
        <v>1274602.6276317155</v>
      </c>
      <c r="E232" s="478">
        <f t="shared" si="9"/>
        <v>-33540.741866907105</v>
      </c>
      <c r="F232" s="259">
        <v>-1206.7793164220639</v>
      </c>
      <c r="G232" s="482">
        <f>Synthèse!F231</f>
        <v>286831.24168724846</v>
      </c>
      <c r="H232" s="482">
        <f t="shared" si="10"/>
        <v>288038.02100367052</v>
      </c>
      <c r="I232" s="260">
        <v>216435.88500291258</v>
      </c>
      <c r="J232" s="486">
        <f>Synthèse!H231</f>
        <v>219632.39762833202</v>
      </c>
      <c r="K232" s="486">
        <f t="shared" si="11"/>
        <v>3196.5126254194474</v>
      </c>
    </row>
    <row r="233" spans="1:11" s="263" customFormat="1" ht="15" x14ac:dyDescent="0.25">
      <c r="A233" s="86">
        <f>Données!A233</f>
        <v>5803</v>
      </c>
      <c r="B233" s="398" t="str">
        <f>Données!B233</f>
        <v>Vulliens</v>
      </c>
      <c r="C233" s="260">
        <v>307851.69976177462</v>
      </c>
      <c r="D233" s="477">
        <f>Synthèse!G232</f>
        <v>261210.22645594279</v>
      </c>
      <c r="E233" s="478">
        <f t="shared" si="9"/>
        <v>-46641.473305831838</v>
      </c>
      <c r="F233" s="259">
        <v>-26991.290360599407</v>
      </c>
      <c r="G233" s="482">
        <f>Synthèse!F232</f>
        <v>-70365.073830320558</v>
      </c>
      <c r="H233" s="482">
        <f t="shared" si="10"/>
        <v>-43373.783469721151</v>
      </c>
      <c r="I233" s="260">
        <v>59402.327334770991</v>
      </c>
      <c r="J233" s="486">
        <f>Synthèse!H232</f>
        <v>49718.132079581381</v>
      </c>
      <c r="K233" s="486">
        <f t="shared" si="11"/>
        <v>-9684.1952551896102</v>
      </c>
    </row>
    <row r="234" spans="1:11" s="263" customFormat="1" ht="15" x14ac:dyDescent="0.25">
      <c r="A234" s="86">
        <f>Données!A234</f>
        <v>5804</v>
      </c>
      <c r="B234" s="398" t="str">
        <f>Données!B234</f>
        <v>Jorat-Menthue</v>
      </c>
      <c r="C234" s="260">
        <v>880076.88051528682</v>
      </c>
      <c r="D234" s="477">
        <f>Synthèse!G233</f>
        <v>629859.77718099137</v>
      </c>
      <c r="E234" s="478">
        <f t="shared" si="9"/>
        <v>-250217.10333429545</v>
      </c>
      <c r="F234" s="259">
        <v>-475188.29049051867</v>
      </c>
      <c r="G234" s="482">
        <f>Synthèse!F233</f>
        <v>-75982.87385056424</v>
      </c>
      <c r="H234" s="482">
        <f t="shared" si="10"/>
        <v>399205.41663995443</v>
      </c>
      <c r="I234" s="260">
        <v>145941.53181589875</v>
      </c>
      <c r="J234" s="486">
        <f>Synthèse!H233</f>
        <v>135393.54485594848</v>
      </c>
      <c r="K234" s="486">
        <f t="shared" si="11"/>
        <v>-10547.986959950271</v>
      </c>
    </row>
    <row r="235" spans="1:11" s="263" customFormat="1" ht="15" x14ac:dyDescent="0.25">
      <c r="A235" s="86">
        <f>Données!A235</f>
        <v>5805</v>
      </c>
      <c r="B235" s="398" t="str">
        <f>Données!B235</f>
        <v>Oron</v>
      </c>
      <c r="C235" s="260">
        <v>2910028.3620816292</v>
      </c>
      <c r="D235" s="477">
        <f>Synthèse!G234</f>
        <v>2529947.9302541241</v>
      </c>
      <c r="E235" s="478">
        <f t="shared" si="9"/>
        <v>-380080.43182750512</v>
      </c>
      <c r="F235" s="259">
        <v>-2083574.3101946255</v>
      </c>
      <c r="G235" s="482">
        <f>Synthèse!F234</f>
        <v>-1544604.810059723</v>
      </c>
      <c r="H235" s="482">
        <f t="shared" si="10"/>
        <v>538969.50013490254</v>
      </c>
      <c r="I235" s="260">
        <v>535088.06299504777</v>
      </c>
      <c r="J235" s="486">
        <f>Synthèse!H234</f>
        <v>522153.60498308286</v>
      </c>
      <c r="K235" s="486">
        <f t="shared" si="11"/>
        <v>-12934.458011964918</v>
      </c>
    </row>
    <row r="236" spans="1:11" s="263" customFormat="1" ht="15" x14ac:dyDescent="0.25">
      <c r="A236" s="86">
        <f>Données!A236</f>
        <v>5806</v>
      </c>
      <c r="B236" s="398" t="str">
        <f>Données!B236</f>
        <v>Jorat-Mézières</v>
      </c>
      <c r="C236" s="260">
        <v>1601932.2369976649</v>
      </c>
      <c r="D236" s="477">
        <f>Synthèse!G235</f>
        <v>1571549.7333083199</v>
      </c>
      <c r="E236" s="478">
        <f t="shared" si="9"/>
        <v>-30382.503689344972</v>
      </c>
      <c r="F236" s="259">
        <v>-453622.74598024134</v>
      </c>
      <c r="G236" s="482">
        <f>Synthèse!F235</f>
        <v>54147.608350038528</v>
      </c>
      <c r="H236" s="482">
        <f t="shared" si="10"/>
        <v>507770.35433027986</v>
      </c>
      <c r="I236" s="260">
        <v>285070.94840080297</v>
      </c>
      <c r="J236" s="486">
        <f>Synthèse!H235</f>
        <v>310931.80263070384</v>
      </c>
      <c r="K236" s="486">
        <f t="shared" si="11"/>
        <v>25860.85422990087</v>
      </c>
    </row>
    <row r="237" spans="1:11" s="263" customFormat="1" ht="15" x14ac:dyDescent="0.25">
      <c r="A237" s="86">
        <f>Données!A237</f>
        <v>5812</v>
      </c>
      <c r="B237" s="398" t="str">
        <f>Données!B237</f>
        <v>Champtauroz</v>
      </c>
      <c r="C237" s="260">
        <v>50001.041785326248</v>
      </c>
      <c r="D237" s="477">
        <f>Synthèse!G236</f>
        <v>65091.264722756503</v>
      </c>
      <c r="E237" s="478">
        <f t="shared" si="9"/>
        <v>15090.222937430255</v>
      </c>
      <c r="F237" s="259">
        <v>-97434.512186793494</v>
      </c>
      <c r="G237" s="482">
        <f>Synthèse!F236</f>
        <v>-61222.908305382996</v>
      </c>
      <c r="H237" s="482">
        <f t="shared" si="10"/>
        <v>36211.603881410498</v>
      </c>
      <c r="I237" s="260">
        <v>7732.9482427000021</v>
      </c>
      <c r="J237" s="486">
        <f>Synthèse!H236</f>
        <v>10958.302011180198</v>
      </c>
      <c r="K237" s="486">
        <f t="shared" si="11"/>
        <v>3225.3537684801959</v>
      </c>
    </row>
    <row r="238" spans="1:11" s="263" customFormat="1" ht="15" x14ac:dyDescent="0.25">
      <c r="A238" s="86">
        <f>Données!A238</f>
        <v>5813</v>
      </c>
      <c r="B238" s="398" t="str">
        <f>Données!B238</f>
        <v>Chevroux</v>
      </c>
      <c r="C238" s="260">
        <v>248130.54161162622</v>
      </c>
      <c r="D238" s="477">
        <f>Synthèse!G237</f>
        <v>285627.12573107507</v>
      </c>
      <c r="E238" s="478">
        <f t="shared" si="9"/>
        <v>37496.584119448846</v>
      </c>
      <c r="F238" s="259">
        <v>-241955.76966368087</v>
      </c>
      <c r="G238" s="482">
        <f>Synthèse!F237</f>
        <v>122701.53856665193</v>
      </c>
      <c r="H238" s="482">
        <f t="shared" si="10"/>
        <v>364657.3082303328</v>
      </c>
      <c r="I238" s="260">
        <v>47160.072858172294</v>
      </c>
      <c r="J238" s="486">
        <f>Synthèse!H237</f>
        <v>52742.771277785847</v>
      </c>
      <c r="K238" s="486">
        <f t="shared" si="11"/>
        <v>5582.6984196135527</v>
      </c>
    </row>
    <row r="239" spans="1:11" s="263" customFormat="1" ht="15" x14ac:dyDescent="0.25">
      <c r="A239" s="86">
        <f>Données!A239</f>
        <v>5816</v>
      </c>
      <c r="B239" s="398" t="str">
        <f>Données!B239</f>
        <v>Corcelles-près-Payerne</v>
      </c>
      <c r="C239" s="260">
        <v>1061134.7584526592</v>
      </c>
      <c r="D239" s="477">
        <f>Synthèse!G238</f>
        <v>981258.119131885</v>
      </c>
      <c r="E239" s="478">
        <f t="shared" si="9"/>
        <v>-79876.639320774237</v>
      </c>
      <c r="F239" s="259">
        <v>-1073186.12331518</v>
      </c>
      <c r="G239" s="482">
        <f>Synthèse!F238</f>
        <v>-894933.95763735403</v>
      </c>
      <c r="H239" s="482">
        <f t="shared" si="10"/>
        <v>178252.16567782592</v>
      </c>
      <c r="I239" s="260">
        <v>187101.38395875233</v>
      </c>
      <c r="J239" s="486">
        <f>Synthèse!H238</f>
        <v>195802.97758529044</v>
      </c>
      <c r="K239" s="486">
        <f t="shared" si="11"/>
        <v>8701.593626538117</v>
      </c>
    </row>
    <row r="240" spans="1:11" s="263" customFormat="1" ht="15" x14ac:dyDescent="0.25">
      <c r="A240" s="86">
        <f>Données!A240</f>
        <v>5817</v>
      </c>
      <c r="B240" s="398" t="str">
        <f>Données!B240</f>
        <v>Grandcour</v>
      </c>
      <c r="C240" s="260">
        <v>346344.64855533477</v>
      </c>
      <c r="D240" s="477">
        <f>Synthèse!G239</f>
        <v>401176.6442433612</v>
      </c>
      <c r="E240" s="478">
        <f t="shared" si="9"/>
        <v>54831.995688026422</v>
      </c>
      <c r="F240" s="259">
        <v>-341095.36294642749</v>
      </c>
      <c r="G240" s="482">
        <f>Synthèse!F239</f>
        <v>-118985.26648130076</v>
      </c>
      <c r="H240" s="482">
        <f t="shared" si="10"/>
        <v>222110.09646512673</v>
      </c>
      <c r="I240" s="260">
        <v>68138.528749301884</v>
      </c>
      <c r="J240" s="486">
        <f>Synthèse!H239</f>
        <v>78445.189442369883</v>
      </c>
      <c r="K240" s="486">
        <f t="shared" si="11"/>
        <v>10306.660693067999</v>
      </c>
    </row>
    <row r="241" spans="1:11" s="263" customFormat="1" ht="15" x14ac:dyDescent="0.25">
      <c r="A241" s="86">
        <f>Données!A241</f>
        <v>5819</v>
      </c>
      <c r="B241" s="398" t="str">
        <f>Données!B241</f>
        <v>Henniez</v>
      </c>
      <c r="C241" s="260">
        <v>187920.16594741817</v>
      </c>
      <c r="D241" s="477">
        <f>Synthèse!G240</f>
        <v>210650.914760302</v>
      </c>
      <c r="E241" s="478">
        <f t="shared" si="9"/>
        <v>22730.74881288383</v>
      </c>
      <c r="F241" s="259">
        <v>-61476.328606737661</v>
      </c>
      <c r="G241" s="482">
        <f>Synthèse!F240</f>
        <v>-42130.273634733574</v>
      </c>
      <c r="H241" s="482">
        <f t="shared" si="10"/>
        <v>19346.054972004087</v>
      </c>
      <c r="I241" s="260">
        <v>35181.790827443117</v>
      </c>
      <c r="J241" s="486">
        <f>Synthèse!H240</f>
        <v>29954.759621053978</v>
      </c>
      <c r="K241" s="486">
        <f t="shared" si="11"/>
        <v>-5227.0312063891397</v>
      </c>
    </row>
    <row r="242" spans="1:11" s="263" customFormat="1" ht="15" x14ac:dyDescent="0.25">
      <c r="A242" s="86">
        <f>Données!A242</f>
        <v>5821</v>
      </c>
      <c r="B242" s="398" t="str">
        <f>Données!B242</f>
        <v>Missy</v>
      </c>
      <c r="C242" s="260">
        <v>130946.63685992185</v>
      </c>
      <c r="D242" s="477">
        <f>Synthèse!G241</f>
        <v>137844.53541484749</v>
      </c>
      <c r="E242" s="478">
        <f t="shared" si="9"/>
        <v>6897.8985549256322</v>
      </c>
      <c r="F242" s="259">
        <v>-103112.02665817508</v>
      </c>
      <c r="G242" s="482">
        <f>Synthèse!F241</f>
        <v>-103931.97780839234</v>
      </c>
      <c r="H242" s="482">
        <f t="shared" si="10"/>
        <v>-819.95115021726815</v>
      </c>
      <c r="I242" s="260">
        <v>24451.217086156714</v>
      </c>
      <c r="J242" s="486">
        <f>Synthèse!H241</f>
        <v>25047.788994824175</v>
      </c>
      <c r="K242" s="486">
        <f t="shared" si="11"/>
        <v>596.57190866746168</v>
      </c>
    </row>
    <row r="243" spans="1:11" s="263" customFormat="1" ht="15" x14ac:dyDescent="0.25">
      <c r="A243" s="86">
        <f>Données!A243</f>
        <v>5822</v>
      </c>
      <c r="B243" s="398" t="str">
        <f>Données!B243</f>
        <v>Payerne</v>
      </c>
      <c r="C243" s="260">
        <v>4294369.9983692151</v>
      </c>
      <c r="D243" s="477">
        <f>Synthèse!G242</f>
        <v>3665996.4781699362</v>
      </c>
      <c r="E243" s="478">
        <f t="shared" si="9"/>
        <v>-628373.52019927884</v>
      </c>
      <c r="F243" s="259">
        <v>-7160448.1142143486</v>
      </c>
      <c r="G243" s="482">
        <f>Synthèse!F242</f>
        <v>-5481270.4540603468</v>
      </c>
      <c r="H243" s="482">
        <f t="shared" si="10"/>
        <v>1679177.6601540018</v>
      </c>
      <c r="I243" s="260">
        <v>737591.27380736195</v>
      </c>
      <c r="J243" s="486">
        <f>Synthèse!H242</f>
        <v>673528.54312590335</v>
      </c>
      <c r="K243" s="486">
        <f t="shared" si="11"/>
        <v>-64062.730681458605</v>
      </c>
    </row>
    <row r="244" spans="1:11" s="263" customFormat="1" ht="15" x14ac:dyDescent="0.25">
      <c r="A244" s="86">
        <f>Données!A244</f>
        <v>5827</v>
      </c>
      <c r="B244" s="398" t="str">
        <f>Données!B244</f>
        <v>Trey</v>
      </c>
      <c r="C244" s="260">
        <v>102877.41620673917</v>
      </c>
      <c r="D244" s="477">
        <f>Synthèse!G243</f>
        <v>114511.77765396997</v>
      </c>
      <c r="E244" s="478">
        <f t="shared" si="9"/>
        <v>11634.361447230796</v>
      </c>
      <c r="F244" s="259">
        <v>-163369.37682019651</v>
      </c>
      <c r="G244" s="482">
        <f>Synthèse!F243</f>
        <v>-58903.197113029397</v>
      </c>
      <c r="H244" s="482">
        <f t="shared" si="10"/>
        <v>104466.17970716712</v>
      </c>
      <c r="I244" s="260">
        <v>19269.090970385281</v>
      </c>
      <c r="J244" s="486">
        <f>Synthèse!H243</f>
        <v>23259.216939809936</v>
      </c>
      <c r="K244" s="486">
        <f t="shared" si="11"/>
        <v>3990.1259694246546</v>
      </c>
    </row>
    <row r="245" spans="1:11" s="263" customFormat="1" ht="15" x14ac:dyDescent="0.25">
      <c r="A245" s="86">
        <f>Données!A245</f>
        <v>5828</v>
      </c>
      <c r="B245" s="398" t="str">
        <f>Données!B245</f>
        <v>Treytorrens (Payerne)</v>
      </c>
      <c r="C245" s="260">
        <v>36437.252880957225</v>
      </c>
      <c r="D245" s="477">
        <f>Synthèse!G244</f>
        <v>44319.614102070453</v>
      </c>
      <c r="E245" s="478">
        <f t="shared" si="9"/>
        <v>7882.3612211132277</v>
      </c>
      <c r="F245" s="259">
        <v>-80110.423932091348</v>
      </c>
      <c r="G245" s="482">
        <f>Synthèse!F244</f>
        <v>-17499.843223772768</v>
      </c>
      <c r="H245" s="482">
        <f t="shared" si="10"/>
        <v>62610.580708318579</v>
      </c>
      <c r="I245" s="260">
        <v>7145.9201025730245</v>
      </c>
      <c r="J245" s="486">
        <f>Synthèse!H244</f>
        <v>8673.3669443436302</v>
      </c>
      <c r="K245" s="486">
        <f t="shared" si="11"/>
        <v>1527.4468417706057</v>
      </c>
    </row>
    <row r="246" spans="1:11" s="263" customFormat="1" ht="15" x14ac:dyDescent="0.25">
      <c r="A246" s="86">
        <f>Données!A246</f>
        <v>5830</v>
      </c>
      <c r="B246" s="398" t="str">
        <f>Données!B246</f>
        <v>Villarzel</v>
      </c>
      <c r="C246" s="260">
        <v>222942.56279242318</v>
      </c>
      <c r="D246" s="477">
        <f>Synthèse!G245</f>
        <v>177113.83577196347</v>
      </c>
      <c r="E246" s="478">
        <f t="shared" si="9"/>
        <v>-45828.727020459715</v>
      </c>
      <c r="F246" s="259">
        <v>-139465.37809414699</v>
      </c>
      <c r="G246" s="482">
        <f>Synthèse!F245</f>
        <v>-73169.28483393669</v>
      </c>
      <c r="H246" s="482">
        <f t="shared" si="10"/>
        <v>66296.093260210298</v>
      </c>
      <c r="I246" s="260">
        <v>39520.561737623386</v>
      </c>
      <c r="J246" s="486">
        <f>Synthèse!H245</f>
        <v>37992.349705029003</v>
      </c>
      <c r="K246" s="486">
        <f t="shared" si="11"/>
        <v>-1528.2120325943833</v>
      </c>
    </row>
    <row r="247" spans="1:11" s="263" customFormat="1" ht="15" x14ac:dyDescent="0.25">
      <c r="A247" s="86">
        <f>Données!A247</f>
        <v>5831</v>
      </c>
      <c r="B247" s="398" t="str">
        <f>Données!B247</f>
        <v>Valbroye</v>
      </c>
      <c r="C247" s="260">
        <v>1475826.9075138685</v>
      </c>
      <c r="D247" s="477">
        <f>Synthèse!G246</f>
        <v>1735583.8002871908</v>
      </c>
      <c r="E247" s="478">
        <f t="shared" si="9"/>
        <v>259756.8927733223</v>
      </c>
      <c r="F247" s="259">
        <v>-1616842.3828190553</v>
      </c>
      <c r="G247" s="482">
        <f>Synthèse!F246</f>
        <v>-855689.43739850307</v>
      </c>
      <c r="H247" s="482">
        <f t="shared" si="10"/>
        <v>761152.94542055228</v>
      </c>
      <c r="I247" s="260">
        <v>261109.48862425482</v>
      </c>
      <c r="J247" s="486">
        <f>Synthèse!H246</f>
        <v>262676.95612217684</v>
      </c>
      <c r="K247" s="486">
        <f t="shared" si="11"/>
        <v>1567.4674979220144</v>
      </c>
    </row>
    <row r="248" spans="1:11" s="263" customFormat="1" ht="15" x14ac:dyDescent="0.25">
      <c r="A248" s="86">
        <f>Données!A248</f>
        <v>5841</v>
      </c>
      <c r="B248" s="398" t="str">
        <f>Données!B248</f>
        <v>Château-d'Oex</v>
      </c>
      <c r="C248" s="260">
        <v>2401762.3184608277</v>
      </c>
      <c r="D248" s="477">
        <f>Synthèse!G247</f>
        <v>2559579.9106216622</v>
      </c>
      <c r="E248" s="478">
        <f t="shared" si="9"/>
        <v>157817.59216083447</v>
      </c>
      <c r="F248" s="259">
        <v>-2448689.613057741</v>
      </c>
      <c r="G248" s="482">
        <f>Synthèse!F247</f>
        <v>-69219.951783868484</v>
      </c>
      <c r="H248" s="482">
        <f t="shared" si="10"/>
        <v>2379469.6612738725</v>
      </c>
      <c r="I248" s="260">
        <v>332635.97178505512</v>
      </c>
      <c r="J248" s="486">
        <f>Synthèse!H247</f>
        <v>367738.83679459384</v>
      </c>
      <c r="K248" s="486">
        <f t="shared" si="11"/>
        <v>35102.865009538713</v>
      </c>
    </row>
    <row r="249" spans="1:11" s="263" customFormat="1" ht="15" x14ac:dyDescent="0.25">
      <c r="A249" s="86">
        <f>Données!A249</f>
        <v>5842</v>
      </c>
      <c r="B249" s="398" t="str">
        <f>Données!B249</f>
        <v>Rossinière</v>
      </c>
      <c r="C249" s="260">
        <v>247881.84913167791</v>
      </c>
      <c r="D249" s="477">
        <f>Synthèse!G248</f>
        <v>242277.71789295194</v>
      </c>
      <c r="E249" s="478">
        <f t="shared" si="9"/>
        <v>-5604.1312387259677</v>
      </c>
      <c r="F249" s="259">
        <v>-439331.01040622295</v>
      </c>
      <c r="G249" s="482">
        <f>Synthèse!F248</f>
        <v>1196.8822889025323</v>
      </c>
      <c r="H249" s="482">
        <f t="shared" si="10"/>
        <v>440527.89269512548</v>
      </c>
      <c r="I249" s="260">
        <v>45355.391899022026</v>
      </c>
      <c r="J249" s="486">
        <f>Synthèse!H248</f>
        <v>49972.452162163769</v>
      </c>
      <c r="K249" s="486">
        <f t="shared" si="11"/>
        <v>4617.0602631417423</v>
      </c>
    </row>
    <row r="250" spans="1:11" s="263" customFormat="1" ht="15" x14ac:dyDescent="0.25">
      <c r="A250" s="86">
        <f>Données!A250</f>
        <v>5843</v>
      </c>
      <c r="B250" s="398" t="str">
        <f>Données!B250</f>
        <v>Rougemont</v>
      </c>
      <c r="C250" s="260">
        <v>3844645.3763237428</v>
      </c>
      <c r="D250" s="477">
        <f>Synthèse!G249</f>
        <v>3409776.293722949</v>
      </c>
      <c r="E250" s="478">
        <f t="shared" si="9"/>
        <v>-434869.0826007938</v>
      </c>
      <c r="F250" s="259">
        <v>1613916.4438868575</v>
      </c>
      <c r="G250" s="482">
        <f>Synthèse!F249</f>
        <v>1616499.6950659894</v>
      </c>
      <c r="H250" s="482">
        <f t="shared" si="10"/>
        <v>2583.2511791319121</v>
      </c>
      <c r="I250" s="260">
        <v>203286.17322827954</v>
      </c>
      <c r="J250" s="486">
        <f>Synthèse!H249</f>
        <v>179992.8064898584</v>
      </c>
      <c r="K250" s="486">
        <f t="shared" si="11"/>
        <v>-23293.366738421144</v>
      </c>
    </row>
    <row r="251" spans="1:11" s="263" customFormat="1" ht="15" x14ac:dyDescent="0.25">
      <c r="A251" s="86">
        <f>Données!A251</f>
        <v>5851</v>
      </c>
      <c r="B251" s="398" t="str">
        <f>Données!B251</f>
        <v>Allaman</v>
      </c>
      <c r="C251" s="260">
        <v>422619.99793361069</v>
      </c>
      <c r="D251" s="477">
        <f>Synthèse!G250</f>
        <v>644977.54936156305</v>
      </c>
      <c r="E251" s="478">
        <f t="shared" si="9"/>
        <v>222357.55142795236</v>
      </c>
      <c r="F251" s="259">
        <v>410182.27052528388</v>
      </c>
      <c r="G251" s="482">
        <f>Synthèse!F250</f>
        <v>415081.46869528654</v>
      </c>
      <c r="H251" s="482">
        <f t="shared" si="10"/>
        <v>4899.1981700026663</v>
      </c>
      <c r="I251" s="260">
        <v>69062.264882175048</v>
      </c>
      <c r="J251" s="486">
        <f>Synthèse!H250</f>
        <v>66324.491825831967</v>
      </c>
      <c r="K251" s="486">
        <f t="shared" si="11"/>
        <v>-2737.7730563430814</v>
      </c>
    </row>
    <row r="252" spans="1:11" s="263" customFormat="1" ht="15" x14ac:dyDescent="0.25">
      <c r="A252" s="86">
        <f>Données!A252</f>
        <v>5852</v>
      </c>
      <c r="B252" s="398" t="str">
        <f>Données!B252</f>
        <v>Bursinel</v>
      </c>
      <c r="C252" s="260">
        <v>1002815.8507867656</v>
      </c>
      <c r="D252" s="477">
        <f>Synthèse!G251</f>
        <v>709740.58030794212</v>
      </c>
      <c r="E252" s="478">
        <f t="shared" si="9"/>
        <v>-293075.27047882346</v>
      </c>
      <c r="F252" s="259">
        <v>718813.05484437314</v>
      </c>
      <c r="G252" s="482">
        <f>Synthèse!F251</f>
        <v>619828.40039091918</v>
      </c>
      <c r="H252" s="482">
        <f t="shared" si="10"/>
        <v>-98984.654453453957</v>
      </c>
      <c r="I252" s="260">
        <v>94382.177187022142</v>
      </c>
      <c r="J252" s="486">
        <f>Synthèse!H251</f>
        <v>86971.825318002782</v>
      </c>
      <c r="K252" s="486">
        <f t="shared" si="11"/>
        <v>-7410.3518690193596</v>
      </c>
    </row>
    <row r="253" spans="1:11" s="263" customFormat="1" ht="15" x14ac:dyDescent="0.25">
      <c r="A253" s="86">
        <f>Données!A253</f>
        <v>5853</v>
      </c>
      <c r="B253" s="398" t="str">
        <f>Données!B253</f>
        <v>Bursins</v>
      </c>
      <c r="C253" s="260">
        <v>1035809.467102922</v>
      </c>
      <c r="D253" s="477">
        <f>Synthèse!G252</f>
        <v>1114170.8239034934</v>
      </c>
      <c r="E253" s="478">
        <f t="shared" si="9"/>
        <v>78361.356800571317</v>
      </c>
      <c r="F253" s="259">
        <v>704246.76972662122</v>
      </c>
      <c r="G253" s="482">
        <f>Synthèse!F252</f>
        <v>814074.60409617657</v>
      </c>
      <c r="H253" s="482">
        <f t="shared" si="10"/>
        <v>109827.83436955535</v>
      </c>
      <c r="I253" s="260">
        <v>120030.75247183537</v>
      </c>
      <c r="J253" s="486">
        <f>Synthèse!H252</f>
        <v>124565.51207704426</v>
      </c>
      <c r="K253" s="486">
        <f t="shared" si="11"/>
        <v>4534.759605208892</v>
      </c>
    </row>
    <row r="254" spans="1:11" s="263" customFormat="1" ht="15" x14ac:dyDescent="0.25">
      <c r="A254" s="86">
        <f>Données!A254</f>
        <v>5854</v>
      </c>
      <c r="B254" s="398" t="str">
        <f>Données!B254</f>
        <v>Burtigny</v>
      </c>
      <c r="C254" s="260">
        <v>217841.81110596919</v>
      </c>
      <c r="D254" s="477">
        <f>Synthèse!G253</f>
        <v>234409.35219515368</v>
      </c>
      <c r="E254" s="478">
        <f t="shared" si="9"/>
        <v>16567.541089184495</v>
      </c>
      <c r="F254" s="259">
        <v>-81534.569436403282</v>
      </c>
      <c r="G254" s="482">
        <f>Synthèse!F253</f>
        <v>121631.04561306557</v>
      </c>
      <c r="H254" s="482">
        <f t="shared" si="10"/>
        <v>203165.61504946885</v>
      </c>
      <c r="I254" s="260">
        <v>33593.581807249138</v>
      </c>
      <c r="J254" s="486">
        <f>Synthèse!H253</f>
        <v>46436.391783096777</v>
      </c>
      <c r="K254" s="486">
        <f t="shared" si="11"/>
        <v>12842.809975847638</v>
      </c>
    </row>
    <row r="255" spans="1:11" s="263" customFormat="1" ht="15" x14ac:dyDescent="0.25">
      <c r="A255" s="86">
        <f>Données!A255</f>
        <v>5855</v>
      </c>
      <c r="B255" s="398" t="str">
        <f>Données!B255</f>
        <v>Dully</v>
      </c>
      <c r="C255" s="260">
        <v>3210518.087392644</v>
      </c>
      <c r="D255" s="477">
        <f>Synthèse!G254</f>
        <v>2747627.7627562354</v>
      </c>
      <c r="E255" s="478">
        <f t="shared" si="9"/>
        <v>-462890.32463640859</v>
      </c>
      <c r="F255" s="259">
        <v>1770670.0522068823</v>
      </c>
      <c r="G255" s="482">
        <f>Synthèse!F254</f>
        <v>1504557.4441758515</v>
      </c>
      <c r="H255" s="482">
        <f t="shared" si="10"/>
        <v>-266112.60803103074</v>
      </c>
      <c r="I255" s="260">
        <v>180305.14226546002</v>
      </c>
      <c r="J255" s="486">
        <f>Synthèse!H254</f>
        <v>153773.62104474823</v>
      </c>
      <c r="K255" s="486">
        <f t="shared" si="11"/>
        <v>-26531.521220711787</v>
      </c>
    </row>
    <row r="256" spans="1:11" s="263" customFormat="1" ht="15" x14ac:dyDescent="0.25">
      <c r="A256" s="86">
        <f>Données!A256</f>
        <v>5856</v>
      </c>
      <c r="B256" s="398" t="str">
        <f>Données!B256</f>
        <v>Essertines-sur-Rolle</v>
      </c>
      <c r="C256" s="260">
        <v>681767.99383247539</v>
      </c>
      <c r="D256" s="477">
        <f>Synthèse!G255</f>
        <v>533293.83212294593</v>
      </c>
      <c r="E256" s="478">
        <f t="shared" si="9"/>
        <v>-148474.16170952946</v>
      </c>
      <c r="F256" s="259">
        <v>592338.77456294443</v>
      </c>
      <c r="G256" s="482">
        <f>Synthèse!F255</f>
        <v>607003.27054496098</v>
      </c>
      <c r="H256" s="482">
        <f t="shared" si="10"/>
        <v>14664.495982016553</v>
      </c>
      <c r="I256" s="260">
        <v>109095.29859106937</v>
      </c>
      <c r="J256" s="486">
        <f>Synthèse!H255</f>
        <v>110563.2137529958</v>
      </c>
      <c r="K256" s="486">
        <f t="shared" si="11"/>
        <v>1467.9151619264303</v>
      </c>
    </row>
    <row r="257" spans="1:11" s="263" customFormat="1" ht="15" x14ac:dyDescent="0.25">
      <c r="A257" s="86">
        <f>Données!A257</f>
        <v>5857</v>
      </c>
      <c r="B257" s="398" t="str">
        <f>Données!B257</f>
        <v>Gilly</v>
      </c>
      <c r="C257" s="260">
        <v>1568081.3958783688</v>
      </c>
      <c r="D257" s="477">
        <f>Synthèse!G256</f>
        <v>1497105.7099583689</v>
      </c>
      <c r="E257" s="478">
        <f t="shared" si="9"/>
        <v>-70975.685919999843</v>
      </c>
      <c r="F257" s="259">
        <v>1300883.3307934604</v>
      </c>
      <c r="G257" s="482">
        <f>Synthèse!F256</f>
        <v>1377583.2259450459</v>
      </c>
      <c r="H257" s="482">
        <f t="shared" si="10"/>
        <v>76699.895151585573</v>
      </c>
      <c r="I257" s="260">
        <v>227629.96584868699</v>
      </c>
      <c r="J257" s="486">
        <f>Synthèse!H256</f>
        <v>231546.83972828419</v>
      </c>
      <c r="K257" s="486">
        <f t="shared" si="11"/>
        <v>3916.8738795972022</v>
      </c>
    </row>
    <row r="258" spans="1:11" s="263" customFormat="1" ht="15" x14ac:dyDescent="0.25">
      <c r="A258" s="86">
        <f>Données!A258</f>
        <v>5858</v>
      </c>
      <c r="B258" s="398" t="str">
        <f>Données!B258</f>
        <v>Luins</v>
      </c>
      <c r="C258" s="260">
        <v>818468.91070685931</v>
      </c>
      <c r="D258" s="477">
        <f>Synthèse!G257</f>
        <v>832358.07960883609</v>
      </c>
      <c r="E258" s="478">
        <f t="shared" si="9"/>
        <v>13889.16890197678</v>
      </c>
      <c r="F258" s="259">
        <v>694814.75318383495</v>
      </c>
      <c r="G258" s="482">
        <f>Synthèse!F257</f>
        <v>711177.35003904591</v>
      </c>
      <c r="H258" s="482">
        <f t="shared" si="10"/>
        <v>16362.596855210955</v>
      </c>
      <c r="I258" s="260">
        <v>104714.83133503064</v>
      </c>
      <c r="J258" s="486">
        <f>Synthèse!H257</f>
        <v>103761.63523681567</v>
      </c>
      <c r="K258" s="486">
        <f t="shared" si="11"/>
        <v>-953.19609821497579</v>
      </c>
    </row>
    <row r="259" spans="1:11" s="263" customFormat="1" ht="15" x14ac:dyDescent="0.25">
      <c r="A259" s="86">
        <f>Données!A259</f>
        <v>5859</v>
      </c>
      <c r="B259" s="398" t="str">
        <f>Données!B259</f>
        <v>Mont-sur-Rolle</v>
      </c>
      <c r="C259" s="260">
        <v>2807899.5196483806</v>
      </c>
      <c r="D259" s="477">
        <f>Synthèse!G258</f>
        <v>2864066.2690790654</v>
      </c>
      <c r="E259" s="478">
        <f t="shared" si="9"/>
        <v>56166.749430684838</v>
      </c>
      <c r="F259" s="259">
        <v>2109804.9572329796</v>
      </c>
      <c r="G259" s="482">
        <f>Synthèse!F258</f>
        <v>2278001.2739526741</v>
      </c>
      <c r="H259" s="482">
        <f t="shared" si="10"/>
        <v>168196.31671969453</v>
      </c>
      <c r="I259" s="260">
        <v>414338.70605599892</v>
      </c>
      <c r="J259" s="486">
        <f>Synthèse!H258</f>
        <v>433443.31038382626</v>
      </c>
      <c r="K259" s="486">
        <f t="shared" si="11"/>
        <v>19104.604327827343</v>
      </c>
    </row>
    <row r="260" spans="1:11" s="263" customFormat="1" ht="15" x14ac:dyDescent="0.25">
      <c r="A260" s="86">
        <f>Données!A260</f>
        <v>5860</v>
      </c>
      <c r="B260" s="398" t="str">
        <f>Données!B260</f>
        <v>Perroy</v>
      </c>
      <c r="C260" s="260">
        <v>2626799.884191114</v>
      </c>
      <c r="D260" s="477">
        <f>Synthèse!G259</f>
        <v>2980035.9644711204</v>
      </c>
      <c r="E260" s="478">
        <f t="shared" si="9"/>
        <v>353236.0802800064</v>
      </c>
      <c r="F260" s="259">
        <v>1807080.7812333768</v>
      </c>
      <c r="G260" s="482">
        <f>Synthèse!F259</f>
        <v>2217716.6581886215</v>
      </c>
      <c r="H260" s="482">
        <f t="shared" si="10"/>
        <v>410635.87695524469</v>
      </c>
      <c r="I260" s="260">
        <v>271567.07306409802</v>
      </c>
      <c r="J260" s="486">
        <f>Synthèse!H259</f>
        <v>293868.3077594433</v>
      </c>
      <c r="K260" s="486">
        <f t="shared" si="11"/>
        <v>22301.23469534528</v>
      </c>
    </row>
    <row r="261" spans="1:11" s="263" customFormat="1" ht="15" x14ac:dyDescent="0.25">
      <c r="A261" s="86">
        <f>Données!A261</f>
        <v>5861</v>
      </c>
      <c r="B261" s="398" t="str">
        <f>Données!B261</f>
        <v>Rolle</v>
      </c>
      <c r="C261" s="260">
        <v>18958156.103000596</v>
      </c>
      <c r="D261" s="477">
        <f>Synthèse!G260</f>
        <v>25970365.679122303</v>
      </c>
      <c r="E261" s="478">
        <f t="shared" si="9"/>
        <v>7012209.5761217065</v>
      </c>
      <c r="F261" s="259">
        <v>10156807.896486778</v>
      </c>
      <c r="G261" s="482">
        <f>Synthèse!F260</f>
        <v>14535585.600963542</v>
      </c>
      <c r="H261" s="482">
        <f t="shared" si="10"/>
        <v>4378777.7044767644</v>
      </c>
      <c r="I261" s="260">
        <v>1390646.8167758686</v>
      </c>
      <c r="J261" s="486">
        <f>Synthèse!H260</f>
        <v>1623626.5475472149</v>
      </c>
      <c r="K261" s="486">
        <f t="shared" si="11"/>
        <v>232979.73077134625</v>
      </c>
    </row>
    <row r="262" spans="1:11" s="263" customFormat="1" ht="15" x14ac:dyDescent="0.25">
      <c r="A262" s="86">
        <f>Données!A262</f>
        <v>5862</v>
      </c>
      <c r="B262" s="398" t="str">
        <f>Données!B262</f>
        <v>Tartegnin</v>
      </c>
      <c r="C262" s="260">
        <v>120493.27755178236</v>
      </c>
      <c r="D262" s="477">
        <f>Synthèse!G261</f>
        <v>203556.85056468146</v>
      </c>
      <c r="E262" s="478">
        <f t="shared" si="9"/>
        <v>83063.573012899098</v>
      </c>
      <c r="F262" s="259">
        <v>55897.236944080767</v>
      </c>
      <c r="G262" s="482">
        <f>Synthèse!F261</f>
        <v>124912.78960399059</v>
      </c>
      <c r="H262" s="482">
        <f t="shared" si="10"/>
        <v>69015.552659909823</v>
      </c>
      <c r="I262" s="260">
        <v>25399.184938268831</v>
      </c>
      <c r="J262" s="486">
        <f>Synthèse!H261</f>
        <v>31701.503948270387</v>
      </c>
      <c r="K262" s="486">
        <f t="shared" si="11"/>
        <v>6302.3190100015563</v>
      </c>
    </row>
    <row r="263" spans="1:11" s="263" customFormat="1" ht="15" x14ac:dyDescent="0.25">
      <c r="A263" s="86">
        <f>Données!A263</f>
        <v>5863</v>
      </c>
      <c r="B263" s="398" t="str">
        <f>Données!B263</f>
        <v>Vinzel</v>
      </c>
      <c r="C263" s="260">
        <v>437076.87342722033</v>
      </c>
      <c r="D263" s="477">
        <f>Synthèse!G262</f>
        <v>443813.53647317213</v>
      </c>
      <c r="E263" s="478">
        <f t="shared" ref="E263:E305" si="12">D263-C263</f>
        <v>6736.6630459518055</v>
      </c>
      <c r="F263" s="259">
        <v>372211.14007520908</v>
      </c>
      <c r="G263" s="482">
        <f>Synthèse!F262</f>
        <v>405707.39073812583</v>
      </c>
      <c r="H263" s="482">
        <f t="shared" ref="H263:H305" si="13">G263-F263</f>
        <v>33496.250662916747</v>
      </c>
      <c r="I263" s="260">
        <v>61082.429901912052</v>
      </c>
      <c r="J263" s="486">
        <f>Synthèse!H262</f>
        <v>61666.490683768665</v>
      </c>
      <c r="K263" s="486">
        <f t="shared" ref="K263:K305" si="14">J263-I263</f>
        <v>584.06078185661318</v>
      </c>
    </row>
    <row r="264" spans="1:11" s="263" customFormat="1" ht="15" x14ac:dyDescent="0.25">
      <c r="A264" s="86">
        <f>Données!A264</f>
        <v>5871</v>
      </c>
      <c r="B264" s="398" t="str">
        <f>Données!B264</f>
        <v>L'Abbaye</v>
      </c>
      <c r="C264" s="260">
        <v>1082999.4493742674</v>
      </c>
      <c r="D264" s="477">
        <f>Synthèse!G263</f>
        <v>981220.55944967945</v>
      </c>
      <c r="E264" s="478">
        <f t="shared" si="12"/>
        <v>-101778.88992458791</v>
      </c>
      <c r="F264" s="259">
        <v>-135373.99394409743</v>
      </c>
      <c r="G264" s="482">
        <f>Synthèse!F263</f>
        <v>65015.678681130637</v>
      </c>
      <c r="H264" s="482">
        <f t="shared" si="13"/>
        <v>200389.67262522806</v>
      </c>
      <c r="I264" s="260">
        <v>155841.81832175713</v>
      </c>
      <c r="J264" s="486">
        <f>Synthèse!H263</f>
        <v>151997.43533398141</v>
      </c>
      <c r="K264" s="486">
        <f t="shared" si="14"/>
        <v>-3844.3829877757234</v>
      </c>
    </row>
    <row r="265" spans="1:11" s="263" customFormat="1" ht="15" x14ac:dyDescent="0.25">
      <c r="A265" s="86">
        <f>Données!A265</f>
        <v>5872</v>
      </c>
      <c r="B265" s="398" t="str">
        <f>Données!B265</f>
        <v>Le Chenit</v>
      </c>
      <c r="C265" s="260">
        <v>7516352.5254265564</v>
      </c>
      <c r="D265" s="477">
        <f>Synthèse!G264</f>
        <v>8020428.0840602983</v>
      </c>
      <c r="E265" s="478">
        <f t="shared" si="12"/>
        <v>504075.55863374192</v>
      </c>
      <c r="F265" s="259">
        <v>1334297.8029996166</v>
      </c>
      <c r="G265" s="482">
        <f>Synthèse!F264</f>
        <v>4403818.9292779323</v>
      </c>
      <c r="H265" s="482">
        <f t="shared" si="13"/>
        <v>3069521.1262783157</v>
      </c>
      <c r="I265" s="260">
        <v>693823.09713235823</v>
      </c>
      <c r="J265" s="486">
        <f>Synthèse!H264</f>
        <v>786316.72691626637</v>
      </c>
      <c r="K265" s="486">
        <f t="shared" si="14"/>
        <v>92493.629783908138</v>
      </c>
    </row>
    <row r="266" spans="1:11" s="263" customFormat="1" ht="15" x14ac:dyDescent="0.25">
      <c r="A266" s="86">
        <f>Données!A266</f>
        <v>5873</v>
      </c>
      <c r="B266" s="398" t="str">
        <f>Données!B266</f>
        <v>Le Lieu</v>
      </c>
      <c r="C266" s="260">
        <v>814236.1888927645</v>
      </c>
      <c r="D266" s="477">
        <f>Synthèse!G265</f>
        <v>797755.28903750586</v>
      </c>
      <c r="E266" s="478">
        <f t="shared" si="12"/>
        <v>-16480.899855258642</v>
      </c>
      <c r="F266" s="259">
        <v>-428140.8636530576</v>
      </c>
      <c r="G266" s="482">
        <f>Synthèse!F265</f>
        <v>410872.3323791757</v>
      </c>
      <c r="H266" s="482">
        <f t="shared" si="13"/>
        <v>839013.1960322333</v>
      </c>
      <c r="I266" s="260">
        <v>96041.394619758503</v>
      </c>
      <c r="J266" s="486">
        <f>Synthèse!H265</f>
        <v>107636.82736354202</v>
      </c>
      <c r="K266" s="486">
        <f t="shared" si="14"/>
        <v>11595.432743783516</v>
      </c>
    </row>
    <row r="267" spans="1:11" s="263" customFormat="1" ht="15" x14ac:dyDescent="0.25">
      <c r="A267" s="86">
        <f>Données!A267</f>
        <v>5882</v>
      </c>
      <c r="B267" s="398" t="str">
        <f>Données!B267</f>
        <v>Chardonne</v>
      </c>
      <c r="C267" s="260">
        <v>3778502.3040583511</v>
      </c>
      <c r="D267" s="477">
        <f>Synthèse!G266</f>
        <v>4664865.9851686759</v>
      </c>
      <c r="E267" s="478">
        <f t="shared" si="12"/>
        <v>886363.6811103248</v>
      </c>
      <c r="F267" s="259">
        <v>2179674.9264754197</v>
      </c>
      <c r="G267" s="482">
        <f>Synthèse!F266</f>
        <v>2922365.6137980451</v>
      </c>
      <c r="H267" s="482">
        <f t="shared" si="13"/>
        <v>742690.68732262542</v>
      </c>
      <c r="I267" s="260">
        <v>231498.88108384336</v>
      </c>
      <c r="J267" s="486">
        <f>Synthèse!H266</f>
        <v>238068.97686790174</v>
      </c>
      <c r="K267" s="486">
        <f t="shared" si="14"/>
        <v>6570.0957840583869</v>
      </c>
    </row>
    <row r="268" spans="1:11" s="263" customFormat="1" ht="15" x14ac:dyDescent="0.25">
      <c r="A268" s="86">
        <f>Données!A268</f>
        <v>5883</v>
      </c>
      <c r="B268" s="398" t="str">
        <f>Données!B268</f>
        <v>Corseaux</v>
      </c>
      <c r="C268" s="260">
        <v>4024806.9164949637</v>
      </c>
      <c r="D268" s="477">
        <f>Synthèse!G267</f>
        <v>4195340.079059938</v>
      </c>
      <c r="E268" s="478">
        <f t="shared" si="12"/>
        <v>170533.16256497428</v>
      </c>
      <c r="F268" s="259">
        <v>2635946.8514592755</v>
      </c>
      <c r="G268" s="482">
        <f>Synthèse!F267</f>
        <v>2873302.7774199578</v>
      </c>
      <c r="H268" s="482">
        <f t="shared" si="13"/>
        <v>237355.92596068233</v>
      </c>
      <c r="I268" s="260">
        <v>217071.05269615201</v>
      </c>
      <c r="J268" s="486">
        <f>Synthèse!H267</f>
        <v>213487.65408749648</v>
      </c>
      <c r="K268" s="486">
        <f t="shared" si="14"/>
        <v>-3583.3986086555233</v>
      </c>
    </row>
    <row r="269" spans="1:11" s="263" customFormat="1" ht="15" x14ac:dyDescent="0.25">
      <c r="A269" s="86">
        <f>Données!A269</f>
        <v>5884</v>
      </c>
      <c r="B269" s="398" t="str">
        <f>Données!B269</f>
        <v>Corsier-sur-Vevey</v>
      </c>
      <c r="C269" s="260">
        <v>2187084.5445544389</v>
      </c>
      <c r="D269" s="477">
        <f>Synthèse!G268</f>
        <v>2178438.0159254232</v>
      </c>
      <c r="E269" s="478">
        <f t="shared" si="12"/>
        <v>-8646.5286290156655</v>
      </c>
      <c r="F269" s="259">
        <v>-631558.40129250148</v>
      </c>
      <c r="G269" s="482">
        <f>Synthèse!F268</f>
        <v>835707.51554646855</v>
      </c>
      <c r="H269" s="482">
        <f t="shared" si="13"/>
        <v>1467265.91683897</v>
      </c>
      <c r="I269" s="260">
        <v>157868.56100321462</v>
      </c>
      <c r="J269" s="486">
        <f>Synthèse!H268</f>
        <v>151121.79771919997</v>
      </c>
      <c r="K269" s="486">
        <f t="shared" si="14"/>
        <v>-6746.7632840146543</v>
      </c>
    </row>
    <row r="270" spans="1:11" s="263" customFormat="1" ht="15" x14ac:dyDescent="0.25">
      <c r="A270" s="86">
        <f>Données!A270</f>
        <v>5885</v>
      </c>
      <c r="B270" s="398" t="str">
        <f>Données!B270</f>
        <v>Jongny</v>
      </c>
      <c r="C270" s="260">
        <v>1693135.3967362829</v>
      </c>
      <c r="D270" s="477">
        <f>Synthèse!G269</f>
        <v>1715457.4134666815</v>
      </c>
      <c r="E270" s="478">
        <f t="shared" si="12"/>
        <v>22322.016730398638</v>
      </c>
      <c r="F270" s="259">
        <v>1199960.4590197303</v>
      </c>
      <c r="G270" s="482">
        <f>Synthèse!F269</f>
        <v>1566088.2067928938</v>
      </c>
      <c r="H270" s="482">
        <f t="shared" si="13"/>
        <v>366127.74777316349</v>
      </c>
      <c r="I270" s="260">
        <v>110066.44088232538</v>
      </c>
      <c r="J270" s="486">
        <f>Synthèse!H269</f>
        <v>122845.1130069163</v>
      </c>
      <c r="K270" s="486">
        <f t="shared" si="14"/>
        <v>12778.672124590928</v>
      </c>
    </row>
    <row r="271" spans="1:11" s="263" customFormat="1" ht="15" x14ac:dyDescent="0.25">
      <c r="A271" s="86">
        <f>Données!A271</f>
        <v>5886</v>
      </c>
      <c r="B271" s="398" t="str">
        <f>Données!B271</f>
        <v>Montreux</v>
      </c>
      <c r="C271" s="260">
        <v>27048804.826698348</v>
      </c>
      <c r="D271" s="477">
        <f>Synthèse!G270</f>
        <v>25085136.034260496</v>
      </c>
      <c r="E271" s="478">
        <f t="shared" si="12"/>
        <v>-1963668.7924378514</v>
      </c>
      <c r="F271" s="259">
        <v>-8578411.5030303597</v>
      </c>
      <c r="G271" s="482">
        <f>Synthèse!F270</f>
        <v>-1849909.7676024698</v>
      </c>
      <c r="H271" s="482">
        <f t="shared" si="13"/>
        <v>6728501.73542789</v>
      </c>
      <c r="I271" s="260">
        <v>1417587.0416191486</v>
      </c>
      <c r="J271" s="486">
        <f>Synthèse!H270</f>
        <v>1360864.711821733</v>
      </c>
      <c r="K271" s="486">
        <f t="shared" si="14"/>
        <v>-56722.329797415528</v>
      </c>
    </row>
    <row r="272" spans="1:11" s="263" customFormat="1" ht="15" x14ac:dyDescent="0.25">
      <c r="A272" s="86">
        <f>Données!A272</f>
        <v>5889</v>
      </c>
      <c r="B272" s="398" t="str">
        <f>Données!B272</f>
        <v>La Tour-de-Peilz</v>
      </c>
      <c r="C272" s="260">
        <v>13070739.758721873</v>
      </c>
      <c r="D272" s="477">
        <f>Synthèse!G271</f>
        <v>11930998.90492302</v>
      </c>
      <c r="E272" s="478">
        <f t="shared" si="12"/>
        <v>-1139740.8537988532</v>
      </c>
      <c r="F272" s="259">
        <v>5965670.1537680458</v>
      </c>
      <c r="G272" s="482">
        <f>Synthèse!F271</f>
        <v>6213272.7709005708</v>
      </c>
      <c r="H272" s="482">
        <f t="shared" si="13"/>
        <v>247602.61713252496</v>
      </c>
      <c r="I272" s="260">
        <v>872324.93620260607</v>
      </c>
      <c r="J272" s="486">
        <f>Synthèse!H271</f>
        <v>836949.554180242</v>
      </c>
      <c r="K272" s="486">
        <f t="shared" si="14"/>
        <v>-35375.382022364065</v>
      </c>
    </row>
    <row r="273" spans="1:11" s="263" customFormat="1" ht="15" x14ac:dyDescent="0.25">
      <c r="A273" s="86">
        <f>Données!A273</f>
        <v>5890</v>
      </c>
      <c r="B273" s="398" t="str">
        <f>Données!B273</f>
        <v>Vevey</v>
      </c>
      <c r="C273" s="260">
        <v>15931114.44996376</v>
      </c>
      <c r="D273" s="477">
        <f>Synthèse!G272</f>
        <v>14517562.114146868</v>
      </c>
      <c r="E273" s="478">
        <f t="shared" si="12"/>
        <v>-1413552.3358168919</v>
      </c>
      <c r="F273" s="259">
        <v>-3167868.1282731853</v>
      </c>
      <c r="G273" s="482">
        <f>Synthèse!F272</f>
        <v>2647934.7576137353</v>
      </c>
      <c r="H273" s="482">
        <f t="shared" si="13"/>
        <v>5815802.8858869206</v>
      </c>
      <c r="I273" s="260">
        <v>1110834.0743694247</v>
      </c>
      <c r="J273" s="486">
        <f>Synthèse!H272</f>
        <v>1115360.6129284808</v>
      </c>
      <c r="K273" s="486">
        <f t="shared" si="14"/>
        <v>4526.53855905612</v>
      </c>
    </row>
    <row r="274" spans="1:11" s="263" customFormat="1" ht="15" x14ac:dyDescent="0.25">
      <c r="A274" s="86">
        <f>Données!A274</f>
        <v>5891</v>
      </c>
      <c r="B274" s="398" t="str">
        <f>Données!B274</f>
        <v>Veytaux</v>
      </c>
      <c r="C274" s="260">
        <v>798917.5027145081</v>
      </c>
      <c r="D274" s="477">
        <f>Synthèse!G273</f>
        <v>776967.9075774448</v>
      </c>
      <c r="E274" s="478">
        <f t="shared" si="12"/>
        <v>-21949.595137063297</v>
      </c>
      <c r="F274" s="259">
        <v>262106.28047147219</v>
      </c>
      <c r="G274" s="482">
        <f>Synthèse!F273</f>
        <v>548966.39305611316</v>
      </c>
      <c r="H274" s="482">
        <f t="shared" si="13"/>
        <v>286860.11258464097</v>
      </c>
      <c r="I274" s="260">
        <v>56830.789847713218</v>
      </c>
      <c r="J274" s="486">
        <f>Synthèse!H273</f>
        <v>48520.548280985247</v>
      </c>
      <c r="K274" s="486">
        <f t="shared" si="14"/>
        <v>-8310.2415667279711</v>
      </c>
    </row>
    <row r="275" spans="1:11" s="263" customFormat="1" ht="15" x14ac:dyDescent="0.25">
      <c r="A275" s="86">
        <f>Données!A275</f>
        <v>5892</v>
      </c>
      <c r="B275" s="398" t="str">
        <f>Données!B275</f>
        <v>Blonay-Saint-Légier</v>
      </c>
      <c r="C275" s="260">
        <v>15372305.128163241</v>
      </c>
      <c r="D275" s="477">
        <f>Synthèse!G274</f>
        <v>14673487.013320627</v>
      </c>
      <c r="E275" s="478">
        <f t="shared" si="12"/>
        <v>-698818.11484261416</v>
      </c>
      <c r="F275" s="259">
        <v>4903911.2892067935</v>
      </c>
      <c r="G275" s="482">
        <f>Synthèse!F274</f>
        <v>7265756.0016032783</v>
      </c>
      <c r="H275" s="482">
        <f t="shared" si="13"/>
        <v>2361844.7123964848</v>
      </c>
      <c r="I275" s="260">
        <v>896526.50563557749</v>
      </c>
      <c r="J275" s="486">
        <f>Synthèse!H274</f>
        <v>884811.5395484718</v>
      </c>
      <c r="K275" s="486">
        <f t="shared" si="14"/>
        <v>-11714.966087105684</v>
      </c>
    </row>
    <row r="276" spans="1:11" s="263" customFormat="1" ht="15" x14ac:dyDescent="0.25">
      <c r="A276" s="86">
        <f>Données!A276</f>
        <v>5902</v>
      </c>
      <c r="B276" s="398" t="str">
        <f>Données!B276</f>
        <v>Belmont-sur-Yverdon</v>
      </c>
      <c r="C276" s="260">
        <v>255356.76077556648</v>
      </c>
      <c r="D276" s="477">
        <f>Synthèse!G275</f>
        <v>179908.68242566753</v>
      </c>
      <c r="E276" s="478">
        <f t="shared" si="12"/>
        <v>-75448.078349898948</v>
      </c>
      <c r="F276" s="259">
        <v>42420.295669763349</v>
      </c>
      <c r="G276" s="482">
        <f>Synthèse!F275</f>
        <v>-5412.1850149089878</v>
      </c>
      <c r="H276" s="482">
        <f t="shared" si="13"/>
        <v>-47832.480684672337</v>
      </c>
      <c r="I276" s="260">
        <v>36975.948575247086</v>
      </c>
      <c r="J276" s="486">
        <f>Synthèse!H275</f>
        <v>35907.581758896646</v>
      </c>
      <c r="K276" s="486">
        <f t="shared" si="14"/>
        <v>-1068.3668163504408</v>
      </c>
    </row>
    <row r="277" spans="1:11" s="263" customFormat="1" ht="15" x14ac:dyDescent="0.25">
      <c r="A277" s="86">
        <f>Données!A277</f>
        <v>5903</v>
      </c>
      <c r="B277" s="398" t="str">
        <f>Données!B277</f>
        <v>Bioley-Magnoux</v>
      </c>
      <c r="C277" s="260">
        <v>84297.915577715961</v>
      </c>
      <c r="D277" s="477">
        <f>Synthèse!G276</f>
        <v>92867.235079635109</v>
      </c>
      <c r="E277" s="478">
        <f t="shared" si="12"/>
        <v>8569.319501919148</v>
      </c>
      <c r="F277" s="259">
        <v>-187182.4592605705</v>
      </c>
      <c r="G277" s="482">
        <f>Synthèse!F276</f>
        <v>-29221.081544814355</v>
      </c>
      <c r="H277" s="482">
        <f t="shared" si="13"/>
        <v>157961.37771575613</v>
      </c>
      <c r="I277" s="260">
        <v>15527.234974707026</v>
      </c>
      <c r="J277" s="486">
        <f>Synthèse!H276</f>
        <v>18860.420879859219</v>
      </c>
      <c r="K277" s="486">
        <f t="shared" si="14"/>
        <v>3333.1859051521933</v>
      </c>
    </row>
    <row r="278" spans="1:11" s="263" customFormat="1" ht="15" x14ac:dyDescent="0.25">
      <c r="A278" s="86">
        <f>Données!A278</f>
        <v>5904</v>
      </c>
      <c r="B278" s="398" t="str">
        <f>Données!B278</f>
        <v>Chamblon</v>
      </c>
      <c r="C278" s="260">
        <v>363179.60977222293</v>
      </c>
      <c r="D278" s="477">
        <f>Synthèse!G277</f>
        <v>290652.79807033075</v>
      </c>
      <c r="E278" s="478">
        <f t="shared" si="12"/>
        <v>-72526.811701892177</v>
      </c>
      <c r="F278" s="259">
        <v>274581.16069922596</v>
      </c>
      <c r="G278" s="482">
        <f>Synthèse!F277</f>
        <v>140360.81222143315</v>
      </c>
      <c r="H278" s="482">
        <f t="shared" si="13"/>
        <v>-134220.34847779281</v>
      </c>
      <c r="I278" s="260">
        <v>28056.728298196562</v>
      </c>
      <c r="J278" s="486">
        <f>Synthèse!H277</f>
        <v>22293.635890703292</v>
      </c>
      <c r="K278" s="486">
        <f t="shared" si="14"/>
        <v>-5763.09240749327</v>
      </c>
    </row>
    <row r="279" spans="1:11" s="263" customFormat="1" ht="15" x14ac:dyDescent="0.25">
      <c r="A279" s="86">
        <f>Données!A279</f>
        <v>5905</v>
      </c>
      <c r="B279" s="398" t="str">
        <f>Données!B279</f>
        <v>Champvent</v>
      </c>
      <c r="C279" s="260">
        <v>387376.37048031169</v>
      </c>
      <c r="D279" s="477">
        <f>Synthèse!G278</f>
        <v>354090.95319673885</v>
      </c>
      <c r="E279" s="478">
        <f t="shared" si="12"/>
        <v>-33285.417283572839</v>
      </c>
      <c r="F279" s="259">
        <v>27564.163895903446</v>
      </c>
      <c r="G279" s="482">
        <f>Synthèse!F278</f>
        <v>45375.308655359724</v>
      </c>
      <c r="H279" s="482">
        <f t="shared" si="13"/>
        <v>17811.144759456278</v>
      </c>
      <c r="I279" s="260">
        <v>68418.796288856916</v>
      </c>
      <c r="J279" s="486">
        <f>Synthèse!H278</f>
        <v>65267.220935834906</v>
      </c>
      <c r="K279" s="486">
        <f t="shared" si="14"/>
        <v>-3151.5753530220099</v>
      </c>
    </row>
    <row r="280" spans="1:11" s="263" customFormat="1" ht="15" x14ac:dyDescent="0.25">
      <c r="A280" s="86">
        <f>Données!A280</f>
        <v>5907</v>
      </c>
      <c r="B280" s="398" t="str">
        <f>Données!B280</f>
        <v>Chavannes-le-Chêne</v>
      </c>
      <c r="C280" s="260">
        <v>162558.07801747436</v>
      </c>
      <c r="D280" s="477">
        <f>Synthèse!G279</f>
        <v>132770.40309488561</v>
      </c>
      <c r="E280" s="478">
        <f t="shared" si="12"/>
        <v>-29787.674922588747</v>
      </c>
      <c r="F280" s="259">
        <v>-13104.32324196276</v>
      </c>
      <c r="G280" s="482">
        <f>Synthèse!F279</f>
        <v>-33714.861760677944</v>
      </c>
      <c r="H280" s="482">
        <f t="shared" si="13"/>
        <v>-20610.538518715184</v>
      </c>
      <c r="I280" s="260">
        <v>31317.491699957762</v>
      </c>
      <c r="J280" s="486">
        <f>Synthèse!H279</f>
        <v>25487.531149481692</v>
      </c>
      <c r="K280" s="486">
        <f t="shared" si="14"/>
        <v>-5829.9605504760693</v>
      </c>
    </row>
    <row r="281" spans="1:11" s="263" customFormat="1" ht="15" x14ac:dyDescent="0.25">
      <c r="A281" s="86">
        <f>Données!A281</f>
        <v>5908</v>
      </c>
      <c r="B281" s="398" t="str">
        <f>Données!B281</f>
        <v>Chêne-Pâquier</v>
      </c>
      <c r="C281" s="260">
        <v>100657.38978678432</v>
      </c>
      <c r="D281" s="477">
        <f>Synthèse!G280</f>
        <v>69462.699498214293</v>
      </c>
      <c r="E281" s="478">
        <f t="shared" si="12"/>
        <v>-31194.690288570026</v>
      </c>
      <c r="F281" s="259">
        <v>7400.9029166845867</v>
      </c>
      <c r="G281" s="482">
        <f>Synthèse!F280</f>
        <v>6476.5942334834399</v>
      </c>
      <c r="H281" s="482">
        <f t="shared" si="13"/>
        <v>-924.30868320114678</v>
      </c>
      <c r="I281" s="260">
        <v>20651.409312057593</v>
      </c>
      <c r="J281" s="486">
        <f>Synthèse!H280</f>
        <v>15011.693547857922</v>
      </c>
      <c r="K281" s="486">
        <f t="shared" si="14"/>
        <v>-5639.715764199671</v>
      </c>
    </row>
    <row r="282" spans="1:11" s="263" customFormat="1" ht="15" x14ac:dyDescent="0.25">
      <c r="A282" s="86">
        <f>Données!A282</f>
        <v>5909</v>
      </c>
      <c r="B282" s="398" t="str">
        <f>Données!B282</f>
        <v>Cheseaux-Noréaz</v>
      </c>
      <c r="C282" s="260">
        <v>688693.50062062067</v>
      </c>
      <c r="D282" s="477">
        <f>Synthèse!G281</f>
        <v>505372.53022532037</v>
      </c>
      <c r="E282" s="478">
        <f t="shared" si="12"/>
        <v>-183320.9703953003</v>
      </c>
      <c r="F282" s="259">
        <v>631675.3026138061</v>
      </c>
      <c r="G282" s="482">
        <f>Synthèse!F281</f>
        <v>536094.368452886</v>
      </c>
      <c r="H282" s="482">
        <f t="shared" si="13"/>
        <v>-95580.934160920093</v>
      </c>
      <c r="I282" s="260">
        <v>50768.066992223925</v>
      </c>
      <c r="J282" s="486">
        <f>Synthèse!H281</f>
        <v>40337.669243166842</v>
      </c>
      <c r="K282" s="486">
        <f t="shared" si="14"/>
        <v>-10430.397749057083</v>
      </c>
    </row>
    <row r="283" spans="1:11" s="263" customFormat="1" ht="15" x14ac:dyDescent="0.25">
      <c r="A283" s="86">
        <f>Données!A283</f>
        <v>5910</v>
      </c>
      <c r="B283" s="398" t="str">
        <f>Données!B283</f>
        <v>Cronay</v>
      </c>
      <c r="C283" s="260">
        <v>140479.66932826876</v>
      </c>
      <c r="D283" s="477">
        <f>Synthèse!G282</f>
        <v>195673.82817592146</v>
      </c>
      <c r="E283" s="478">
        <f t="shared" si="12"/>
        <v>55194.158847652696</v>
      </c>
      <c r="F283" s="259">
        <v>-151568.49035773752</v>
      </c>
      <c r="G283" s="482">
        <f>Synthèse!F282</f>
        <v>-67903.063420712628</v>
      </c>
      <c r="H283" s="482">
        <f t="shared" si="13"/>
        <v>83665.426937024895</v>
      </c>
      <c r="I283" s="260">
        <v>31322.708408097868</v>
      </c>
      <c r="J283" s="486">
        <f>Synthèse!H282</f>
        <v>32043.526060154938</v>
      </c>
      <c r="K283" s="486">
        <f t="shared" si="14"/>
        <v>720.81765205707052</v>
      </c>
    </row>
    <row r="284" spans="1:11" s="263" customFormat="1" ht="15" x14ac:dyDescent="0.25">
      <c r="A284" s="86">
        <f>Données!A284</f>
        <v>5911</v>
      </c>
      <c r="B284" s="398" t="str">
        <f>Données!B284</f>
        <v>Cuarny</v>
      </c>
      <c r="C284" s="260">
        <v>102311.58497450544</v>
      </c>
      <c r="D284" s="477">
        <f>Synthèse!G283</f>
        <v>104219.90354906124</v>
      </c>
      <c r="E284" s="478">
        <f t="shared" si="12"/>
        <v>1908.3185745558003</v>
      </c>
      <c r="F284" s="259">
        <v>3814.9479653711605</v>
      </c>
      <c r="G284" s="482">
        <f>Synthèse!F283</f>
        <v>26031.139084712951</v>
      </c>
      <c r="H284" s="482">
        <f t="shared" si="13"/>
        <v>22216.191119341791</v>
      </c>
      <c r="I284" s="260">
        <v>21913.01718604302</v>
      </c>
      <c r="J284" s="486">
        <f>Synthèse!H283</f>
        <v>23220.361752251643</v>
      </c>
      <c r="K284" s="486">
        <f t="shared" si="14"/>
        <v>1307.3445662086233</v>
      </c>
    </row>
    <row r="285" spans="1:11" s="263" customFormat="1" ht="15" x14ac:dyDescent="0.25">
      <c r="A285" s="86">
        <f>Données!A285</f>
        <v>5912</v>
      </c>
      <c r="B285" s="398" t="str">
        <f>Données!B285</f>
        <v>Démoret</v>
      </c>
      <c r="C285" s="260">
        <v>70774.187685527868</v>
      </c>
      <c r="D285" s="477">
        <f>Synthèse!G284</f>
        <v>56104.482540493707</v>
      </c>
      <c r="E285" s="478">
        <f t="shared" si="12"/>
        <v>-14669.705145034161</v>
      </c>
      <c r="F285" s="259">
        <v>-37176.620279124312</v>
      </c>
      <c r="G285" s="482">
        <f>Synthèse!F284</f>
        <v>-80389.278437929606</v>
      </c>
      <c r="H285" s="482">
        <f t="shared" si="13"/>
        <v>-43212.658158805294</v>
      </c>
      <c r="I285" s="260">
        <v>12856.214114530878</v>
      </c>
      <c r="J285" s="486">
        <f>Synthèse!H284</f>
        <v>9053.6751448721716</v>
      </c>
      <c r="K285" s="486">
        <f t="shared" si="14"/>
        <v>-3802.5389696587063</v>
      </c>
    </row>
    <row r="286" spans="1:11" s="263" customFormat="1" ht="15" x14ac:dyDescent="0.25">
      <c r="A286" s="86">
        <f>Données!A286</f>
        <v>5913</v>
      </c>
      <c r="B286" s="398" t="str">
        <f>Données!B286</f>
        <v>Donneloye</v>
      </c>
      <c r="C286" s="260">
        <v>336277.10567923944</v>
      </c>
      <c r="D286" s="477">
        <f>Synthèse!G285</f>
        <v>346934.48383079114</v>
      </c>
      <c r="E286" s="478">
        <f t="shared" si="12"/>
        <v>10657.378151551704</v>
      </c>
      <c r="F286" s="259">
        <v>-156759.39499264117</v>
      </c>
      <c r="G286" s="482">
        <f>Synthèse!F285</f>
        <v>-164707.88119693595</v>
      </c>
      <c r="H286" s="482">
        <f t="shared" si="13"/>
        <v>-7948.4862042947789</v>
      </c>
      <c r="I286" s="260">
        <v>62199.845707053595</v>
      </c>
      <c r="J286" s="486">
        <f>Synthèse!H285</f>
        <v>66233.194555802824</v>
      </c>
      <c r="K286" s="486">
        <f t="shared" si="14"/>
        <v>4033.3488487492286</v>
      </c>
    </row>
    <row r="287" spans="1:11" s="263" customFormat="1" ht="15" x14ac:dyDescent="0.25">
      <c r="A287" s="86">
        <f>Données!A287</f>
        <v>5914</v>
      </c>
      <c r="B287" s="398" t="str">
        <f>Données!B287</f>
        <v>Ependes</v>
      </c>
      <c r="C287" s="260">
        <v>179844.7771841897</v>
      </c>
      <c r="D287" s="477">
        <f>Synthèse!G286</f>
        <v>134127.1846642301</v>
      </c>
      <c r="E287" s="478">
        <f t="shared" si="12"/>
        <v>-45717.592519959609</v>
      </c>
      <c r="F287" s="259">
        <v>-65386.88626089436</v>
      </c>
      <c r="G287" s="482">
        <f>Synthèse!F286</f>
        <v>-36188.933326902596</v>
      </c>
      <c r="H287" s="482">
        <f t="shared" si="13"/>
        <v>29197.952933991764</v>
      </c>
      <c r="I287" s="260">
        <v>13780.088369881649</v>
      </c>
      <c r="J287" s="486">
        <f>Synthèse!H286</f>
        <v>11596.483306738981</v>
      </c>
      <c r="K287" s="486">
        <f t="shared" si="14"/>
        <v>-2183.6050631426679</v>
      </c>
    </row>
    <row r="288" spans="1:11" s="263" customFormat="1" ht="15" x14ac:dyDescent="0.25">
      <c r="A288" s="86">
        <f>Données!A288</f>
        <v>5919</v>
      </c>
      <c r="B288" s="398" t="str">
        <f>Données!B288</f>
        <v>Mathod</v>
      </c>
      <c r="C288" s="260">
        <v>451130.5371775502</v>
      </c>
      <c r="D288" s="477">
        <f>Synthèse!G287</f>
        <v>390709.33255476016</v>
      </c>
      <c r="E288" s="478">
        <f t="shared" si="12"/>
        <v>-60421.204622790043</v>
      </c>
      <c r="F288" s="259">
        <v>-52951.525906832598</v>
      </c>
      <c r="G288" s="482">
        <f>Synthèse!F287</f>
        <v>56741.928778419096</v>
      </c>
      <c r="H288" s="482">
        <f t="shared" si="13"/>
        <v>109693.45468525169</v>
      </c>
      <c r="I288" s="260">
        <v>27869.71252267891</v>
      </c>
      <c r="J288" s="486">
        <f>Synthèse!H287</f>
        <v>24611.640089560562</v>
      </c>
      <c r="K288" s="486">
        <f t="shared" si="14"/>
        <v>-3258.0724331183483</v>
      </c>
    </row>
    <row r="289" spans="1:11" s="263" customFormat="1" ht="15" x14ac:dyDescent="0.25">
      <c r="A289" s="86">
        <f>Données!A289</f>
        <v>5921</v>
      </c>
      <c r="B289" s="398" t="str">
        <f>Données!B289</f>
        <v>Molondin</v>
      </c>
      <c r="C289" s="260">
        <v>94888.521598595835</v>
      </c>
      <c r="D289" s="477">
        <f>Synthèse!G288</f>
        <v>75156.847979787708</v>
      </c>
      <c r="E289" s="478">
        <f t="shared" si="12"/>
        <v>-19731.673618808127</v>
      </c>
      <c r="F289" s="259">
        <v>-142840.63407661236</v>
      </c>
      <c r="G289" s="482">
        <f>Synthèse!F288</f>
        <v>-115884.58822670129</v>
      </c>
      <c r="H289" s="482">
        <f t="shared" si="13"/>
        <v>26956.045849911068</v>
      </c>
      <c r="I289" s="260">
        <v>17876.7641458496</v>
      </c>
      <c r="J289" s="486">
        <f>Synthèse!H288</f>
        <v>15268.877450307329</v>
      </c>
      <c r="K289" s="486">
        <f t="shared" si="14"/>
        <v>-2607.8866955422709</v>
      </c>
    </row>
    <row r="290" spans="1:11" s="263" customFormat="1" ht="15" x14ac:dyDescent="0.25">
      <c r="A290" s="86">
        <f>Données!A290</f>
        <v>5922</v>
      </c>
      <c r="B290" s="398" t="str">
        <f>Données!B290</f>
        <v>Montagny-près-Yverdon</v>
      </c>
      <c r="C290" s="260">
        <v>629894.03093154565</v>
      </c>
      <c r="D290" s="477">
        <f>Synthèse!G289</f>
        <v>652855.77541477571</v>
      </c>
      <c r="E290" s="478">
        <f t="shared" si="12"/>
        <v>22961.744483230053</v>
      </c>
      <c r="F290" s="259">
        <v>371516.14217553305</v>
      </c>
      <c r="G290" s="482">
        <f>Synthèse!F289</f>
        <v>665096.39394981647</v>
      </c>
      <c r="H290" s="482">
        <f t="shared" si="13"/>
        <v>293580.25177428342</v>
      </c>
      <c r="I290" s="260">
        <v>99111.838499397854</v>
      </c>
      <c r="J290" s="486">
        <f>Synthèse!H289</f>
        <v>114113.25947023471</v>
      </c>
      <c r="K290" s="486">
        <f t="shared" si="14"/>
        <v>15001.420970836858</v>
      </c>
    </row>
    <row r="291" spans="1:11" s="263" customFormat="1" ht="15" x14ac:dyDescent="0.25">
      <c r="A291" s="86">
        <f>Données!A291</f>
        <v>5923</v>
      </c>
      <c r="B291" s="398" t="str">
        <f>Données!B291</f>
        <v>Oppens</v>
      </c>
      <c r="C291" s="260">
        <v>86148.491868333964</v>
      </c>
      <c r="D291" s="477">
        <f>Synthèse!G290</f>
        <v>64714.871452652238</v>
      </c>
      <c r="E291" s="478">
        <f t="shared" si="12"/>
        <v>-21433.620415681726</v>
      </c>
      <c r="F291" s="259">
        <v>-109587.04019433045</v>
      </c>
      <c r="G291" s="482">
        <f>Synthèse!F290</f>
        <v>-80067.62684378821</v>
      </c>
      <c r="H291" s="482">
        <f t="shared" si="13"/>
        <v>29519.413350542236</v>
      </c>
      <c r="I291" s="260">
        <v>15164.97887810722</v>
      </c>
      <c r="J291" s="486">
        <f>Synthèse!H290</f>
        <v>13506.256205902097</v>
      </c>
      <c r="K291" s="486">
        <f t="shared" si="14"/>
        <v>-1658.7226722051237</v>
      </c>
    </row>
    <row r="292" spans="1:11" s="263" customFormat="1" ht="15" x14ac:dyDescent="0.25">
      <c r="A292" s="86">
        <f>Données!A292</f>
        <v>5924</v>
      </c>
      <c r="B292" s="398" t="str">
        <f>Données!B292</f>
        <v>Orges</v>
      </c>
      <c r="C292" s="260">
        <v>272190.33670361171</v>
      </c>
      <c r="D292" s="477">
        <f>Synthèse!G291</f>
        <v>166052.87530714297</v>
      </c>
      <c r="E292" s="478">
        <f t="shared" si="12"/>
        <v>-106137.46139646875</v>
      </c>
      <c r="F292" s="259">
        <v>124554.00309132246</v>
      </c>
      <c r="G292" s="482">
        <f>Synthèse!F291</f>
        <v>-5788.7912418838241</v>
      </c>
      <c r="H292" s="482">
        <f t="shared" si="13"/>
        <v>-130342.79433320629</v>
      </c>
      <c r="I292" s="260">
        <v>39637.03637622291</v>
      </c>
      <c r="J292" s="486">
        <f>Synthèse!H291</f>
        <v>35340.36525133314</v>
      </c>
      <c r="K292" s="486">
        <f t="shared" si="14"/>
        <v>-4296.67112488977</v>
      </c>
    </row>
    <row r="293" spans="1:11" s="263" customFormat="1" ht="15" x14ac:dyDescent="0.25">
      <c r="A293" s="86">
        <f>Données!A293</f>
        <v>5925</v>
      </c>
      <c r="B293" s="398" t="str">
        <f>Données!B293</f>
        <v>Orzens</v>
      </c>
      <c r="C293" s="260">
        <v>154407.9280766127</v>
      </c>
      <c r="D293" s="477">
        <f>Synthèse!G292</f>
        <v>80575.887018786438</v>
      </c>
      <c r="E293" s="478">
        <f t="shared" si="12"/>
        <v>-73832.041057826267</v>
      </c>
      <c r="F293" s="259">
        <v>-8322.4626468858041</v>
      </c>
      <c r="G293" s="482">
        <f>Synthèse!F292</f>
        <v>-51767.201733641705</v>
      </c>
      <c r="H293" s="482">
        <f t="shared" si="13"/>
        <v>-43444.739086755901</v>
      </c>
      <c r="I293" s="260">
        <v>18546.109525913307</v>
      </c>
      <c r="J293" s="486">
        <f>Synthèse!H292</f>
        <v>15802.305785419094</v>
      </c>
      <c r="K293" s="486">
        <f t="shared" si="14"/>
        <v>-2743.8037404942133</v>
      </c>
    </row>
    <row r="294" spans="1:11" s="263" customFormat="1" ht="15" x14ac:dyDescent="0.25">
      <c r="A294" s="86">
        <f>Données!A294</f>
        <v>5926</v>
      </c>
      <c r="B294" s="398" t="str">
        <f>Données!B294</f>
        <v>Pomy</v>
      </c>
      <c r="C294" s="260">
        <v>488430.07869085245</v>
      </c>
      <c r="D294" s="477">
        <f>Synthèse!G293</f>
        <v>369348.76194687077</v>
      </c>
      <c r="E294" s="478">
        <f t="shared" si="12"/>
        <v>-119081.31674398168</v>
      </c>
      <c r="F294" s="259">
        <v>213952.75973451376</v>
      </c>
      <c r="G294" s="482">
        <f>Synthèse!F293</f>
        <v>94877.928301129665</v>
      </c>
      <c r="H294" s="482">
        <f t="shared" si="13"/>
        <v>-119074.8314333841</v>
      </c>
      <c r="I294" s="260">
        <v>35388.356446657897</v>
      </c>
      <c r="J294" s="486">
        <f>Synthèse!H293</f>
        <v>31608.015227907697</v>
      </c>
      <c r="K294" s="486">
        <f t="shared" si="14"/>
        <v>-3780.3412187501999</v>
      </c>
    </row>
    <row r="295" spans="1:11" s="263" customFormat="1" ht="15" x14ac:dyDescent="0.25">
      <c r="A295" s="86">
        <f>Données!A295</f>
        <v>5928</v>
      </c>
      <c r="B295" s="398" t="str">
        <f>Données!B295</f>
        <v>Rovray</v>
      </c>
      <c r="C295" s="260">
        <v>85200.738719890607</v>
      </c>
      <c r="D295" s="477">
        <f>Synthèse!G294</f>
        <v>59477.014856214708</v>
      </c>
      <c r="E295" s="478">
        <f t="shared" si="12"/>
        <v>-25723.723863675899</v>
      </c>
      <c r="F295" s="259">
        <v>2478.0263372933841</v>
      </c>
      <c r="G295" s="482">
        <f>Synthèse!F294</f>
        <v>-18420.408542814868</v>
      </c>
      <c r="H295" s="482">
        <f t="shared" si="13"/>
        <v>-20898.434880108252</v>
      </c>
      <c r="I295" s="260">
        <v>17685.570691999823</v>
      </c>
      <c r="J295" s="486">
        <f>Synthèse!H294</f>
        <v>15469.055347746966</v>
      </c>
      <c r="K295" s="486">
        <f t="shared" si="14"/>
        <v>-2216.5153442528572</v>
      </c>
    </row>
    <row r="296" spans="1:11" s="263" customFormat="1" ht="15" x14ac:dyDescent="0.25">
      <c r="A296" s="86">
        <f>Données!A296</f>
        <v>5929</v>
      </c>
      <c r="B296" s="398" t="str">
        <f>Données!B296</f>
        <v>Suchy</v>
      </c>
      <c r="C296" s="260">
        <v>337360.89613798511</v>
      </c>
      <c r="D296" s="477">
        <f>Synthèse!G295</f>
        <v>302261.83684112027</v>
      </c>
      <c r="E296" s="478">
        <f t="shared" si="12"/>
        <v>-35099.059296864842</v>
      </c>
      <c r="F296" s="259">
        <v>79425.822506839933</v>
      </c>
      <c r="G296" s="482">
        <f>Synthèse!F295</f>
        <v>114865.8934695737</v>
      </c>
      <c r="H296" s="482">
        <f t="shared" si="13"/>
        <v>35440.070962733764</v>
      </c>
      <c r="I296" s="260">
        <v>25631.720623856607</v>
      </c>
      <c r="J296" s="486">
        <f>Synthèse!H295</f>
        <v>25495.216335306257</v>
      </c>
      <c r="K296" s="486">
        <f t="shared" si="14"/>
        <v>-136.50428855034988</v>
      </c>
    </row>
    <row r="297" spans="1:11" s="263" customFormat="1" ht="15" x14ac:dyDescent="0.25">
      <c r="A297" s="86">
        <f>Données!A297</f>
        <v>5930</v>
      </c>
      <c r="B297" s="398" t="str">
        <f>Données!B297</f>
        <v>Suscévaz</v>
      </c>
      <c r="C297" s="260">
        <v>86730.629515236898</v>
      </c>
      <c r="D297" s="477">
        <f>Synthèse!G296</f>
        <v>91241.0643125512</v>
      </c>
      <c r="E297" s="478">
        <f t="shared" si="12"/>
        <v>4510.4347973143012</v>
      </c>
      <c r="F297" s="259">
        <v>-24947.021481807562</v>
      </c>
      <c r="G297" s="482">
        <f>Synthèse!F296</f>
        <v>-19650.155640807483</v>
      </c>
      <c r="H297" s="482">
        <f t="shared" si="13"/>
        <v>5296.8658410000789</v>
      </c>
      <c r="I297" s="260">
        <v>7459.8030061031932</v>
      </c>
      <c r="J297" s="486">
        <f>Synthèse!H296</f>
        <v>6784.9706714237118</v>
      </c>
      <c r="K297" s="486">
        <f t="shared" si="14"/>
        <v>-674.83233467948139</v>
      </c>
    </row>
    <row r="298" spans="1:11" s="263" customFormat="1" ht="15" x14ac:dyDescent="0.25">
      <c r="A298" s="86">
        <f>Données!A298</f>
        <v>5931</v>
      </c>
      <c r="B298" s="398" t="str">
        <f>Données!B298</f>
        <v>Treycovagnes</v>
      </c>
      <c r="C298" s="260">
        <v>272322.80756278709</v>
      </c>
      <c r="D298" s="477">
        <f>Synthèse!G297</f>
        <v>293381.70289984863</v>
      </c>
      <c r="E298" s="478">
        <f t="shared" si="12"/>
        <v>21058.895337061549</v>
      </c>
      <c r="F298" s="259">
        <v>44817.987502762902</v>
      </c>
      <c r="G298" s="482">
        <f>Synthèse!F297</f>
        <v>46409.436789466301</v>
      </c>
      <c r="H298" s="482">
        <f t="shared" si="13"/>
        <v>1591.4492867033987</v>
      </c>
      <c r="I298" s="260">
        <v>19889.879003172638</v>
      </c>
      <c r="J298" s="486">
        <f>Synthèse!H297</f>
        <v>19244.66831181449</v>
      </c>
      <c r="K298" s="486">
        <f t="shared" si="14"/>
        <v>-645.21069135814832</v>
      </c>
    </row>
    <row r="299" spans="1:11" s="263" customFormat="1" ht="15" x14ac:dyDescent="0.25">
      <c r="A299" s="86">
        <f>Données!A299</f>
        <v>5932</v>
      </c>
      <c r="B299" s="398" t="str">
        <f>Données!B299</f>
        <v>Ursins</v>
      </c>
      <c r="C299" s="260">
        <v>99563.00613911821</v>
      </c>
      <c r="D299" s="477">
        <f>Synthèse!G298</f>
        <v>102293.60475974903</v>
      </c>
      <c r="E299" s="478">
        <f t="shared" si="12"/>
        <v>2730.5986206308153</v>
      </c>
      <c r="F299" s="259">
        <v>-14193.772412322403</v>
      </c>
      <c r="G299" s="482">
        <f>Synthèse!F298</f>
        <v>51086.707432755138</v>
      </c>
      <c r="H299" s="482">
        <f t="shared" si="13"/>
        <v>65280.479845077542</v>
      </c>
      <c r="I299" s="260">
        <v>21517.627076912271</v>
      </c>
      <c r="J299" s="486">
        <f>Synthèse!H298</f>
        <v>24312.469093856671</v>
      </c>
      <c r="K299" s="486">
        <f t="shared" si="14"/>
        <v>2794.8420169443998</v>
      </c>
    </row>
    <row r="300" spans="1:11" s="263" customFormat="1" ht="15" x14ac:dyDescent="0.25">
      <c r="A300" s="86">
        <f>Données!A300</f>
        <v>5933</v>
      </c>
      <c r="B300" s="398" t="str">
        <f>Données!B300</f>
        <v>Valeyres-sous-Montagny</v>
      </c>
      <c r="C300" s="260">
        <v>366258.79689777159</v>
      </c>
      <c r="D300" s="477">
        <f>Synthèse!G299</f>
        <v>328366.87074247352</v>
      </c>
      <c r="E300" s="478">
        <f t="shared" si="12"/>
        <v>-37891.926155298075</v>
      </c>
      <c r="F300" s="259">
        <v>-49592.347180777229</v>
      </c>
      <c r="G300" s="482">
        <f>Synthèse!F299</f>
        <v>150152.63528751931</v>
      </c>
      <c r="H300" s="482">
        <f t="shared" si="13"/>
        <v>199744.98246829654</v>
      </c>
      <c r="I300" s="260">
        <v>70835.397451530705</v>
      </c>
      <c r="J300" s="486">
        <f>Synthèse!H299</f>
        <v>71073.153694518114</v>
      </c>
      <c r="K300" s="486">
        <f t="shared" si="14"/>
        <v>237.75624298740877</v>
      </c>
    </row>
    <row r="301" spans="1:11" s="263" customFormat="1" ht="15" x14ac:dyDescent="0.25">
      <c r="A301" s="86">
        <f>Données!A301</f>
        <v>5934</v>
      </c>
      <c r="B301" s="398" t="str">
        <f>Données!B301</f>
        <v>Valeyres-sous-Ursins</v>
      </c>
      <c r="C301" s="260">
        <v>128508.59334917724</v>
      </c>
      <c r="D301" s="477">
        <f>Synthèse!G300</f>
        <v>325859.00877214572</v>
      </c>
      <c r="E301" s="478">
        <f t="shared" si="12"/>
        <v>197350.41542296848</v>
      </c>
      <c r="F301" s="259">
        <v>21151.974815173759</v>
      </c>
      <c r="G301" s="482">
        <f>Synthèse!F300</f>
        <v>291347.06436530873</v>
      </c>
      <c r="H301" s="482">
        <f t="shared" si="13"/>
        <v>270195.08955013496</v>
      </c>
      <c r="I301" s="260">
        <v>24209.234303999248</v>
      </c>
      <c r="J301" s="486">
        <f>Synthèse!H300</f>
        <v>41324.567324646137</v>
      </c>
      <c r="K301" s="486">
        <f t="shared" si="14"/>
        <v>17115.333020646889</v>
      </c>
    </row>
    <row r="302" spans="1:11" s="263" customFormat="1" ht="15" x14ac:dyDescent="0.25">
      <c r="A302" s="86">
        <f>Données!A302</f>
        <v>5935</v>
      </c>
      <c r="B302" s="398" t="str">
        <f>Données!B302</f>
        <v>Villars-Epeney</v>
      </c>
      <c r="C302" s="260">
        <v>71772.255927794962</v>
      </c>
      <c r="D302" s="477">
        <f>Synthèse!G301</f>
        <v>147733.97993536069</v>
      </c>
      <c r="E302" s="478">
        <f t="shared" si="12"/>
        <v>75961.724007565732</v>
      </c>
      <c r="F302" s="259">
        <v>47012.981619847298</v>
      </c>
      <c r="G302" s="482">
        <f>Synthèse!F301</f>
        <v>117286.68528940406</v>
      </c>
      <c r="H302" s="482">
        <f t="shared" si="13"/>
        <v>70273.703669556766</v>
      </c>
      <c r="I302" s="260">
        <v>12281.889989159423</v>
      </c>
      <c r="J302" s="486">
        <f>Synthèse!H301</f>
        <v>16148.138314514428</v>
      </c>
      <c r="K302" s="486">
        <f t="shared" si="14"/>
        <v>3866.2483253550054</v>
      </c>
    </row>
    <row r="303" spans="1:11" s="263" customFormat="1" ht="15" x14ac:dyDescent="0.25">
      <c r="A303" s="86">
        <f>Données!A303</f>
        <v>5937</v>
      </c>
      <c r="B303" s="398" t="str">
        <f>Données!B303</f>
        <v>Vugelles-La Mothe</v>
      </c>
      <c r="C303" s="260">
        <v>54552.341070277624</v>
      </c>
      <c r="D303" s="477">
        <f>Synthèse!G302</f>
        <v>47930.065449125774</v>
      </c>
      <c r="E303" s="478">
        <f t="shared" si="12"/>
        <v>-6622.2756211518499</v>
      </c>
      <c r="F303" s="259">
        <v>-41937.600995616369</v>
      </c>
      <c r="G303" s="482">
        <f>Synthèse!F302</f>
        <v>-23321.165252579623</v>
      </c>
      <c r="H303" s="482">
        <f t="shared" si="13"/>
        <v>18616.435743036745</v>
      </c>
      <c r="I303" s="260">
        <v>10035.211543241869</v>
      </c>
      <c r="J303" s="486">
        <f>Synthèse!H302</f>
        <v>10122.565016108765</v>
      </c>
      <c r="K303" s="486">
        <f t="shared" si="14"/>
        <v>87.353472866896482</v>
      </c>
    </row>
    <row r="304" spans="1:11" s="263" customFormat="1" ht="15" x14ac:dyDescent="0.25">
      <c r="A304" s="86">
        <f>Données!A304</f>
        <v>5938</v>
      </c>
      <c r="B304" s="398" t="str">
        <f>Données!B304</f>
        <v>Yverdon-les-Bains</v>
      </c>
      <c r="C304" s="260">
        <v>14998465.624360442</v>
      </c>
      <c r="D304" s="477">
        <f>Synthèse!G303</f>
        <v>13357585.001480591</v>
      </c>
      <c r="E304" s="478">
        <f t="shared" si="12"/>
        <v>-1640880.6228798516</v>
      </c>
      <c r="F304" s="259">
        <v>-32348019.383975025</v>
      </c>
      <c r="G304" s="482">
        <f>Synthèse!F303</f>
        <v>-19602342.597213931</v>
      </c>
      <c r="H304" s="482">
        <f t="shared" si="13"/>
        <v>12745676.786761094</v>
      </c>
      <c r="I304" s="260">
        <v>1028080.9140641214</v>
      </c>
      <c r="J304" s="486">
        <f>Synthèse!H303</f>
        <v>921231.52043841477</v>
      </c>
      <c r="K304" s="486">
        <f t="shared" si="14"/>
        <v>-106849.39362570667</v>
      </c>
    </row>
    <row r="305" spans="1:11" s="263" customFormat="1" ht="15" x14ac:dyDescent="0.25">
      <c r="A305" s="86">
        <f>Données!A305</f>
        <v>5939</v>
      </c>
      <c r="B305" s="398" t="str">
        <f>Données!B305</f>
        <v>Yvonand</v>
      </c>
      <c r="C305" s="260">
        <v>1715164.549063236</v>
      </c>
      <c r="D305" s="477">
        <f>Synthèse!G304</f>
        <v>1878370.2223110544</v>
      </c>
      <c r="E305" s="478">
        <f t="shared" si="12"/>
        <v>163205.67324781837</v>
      </c>
      <c r="F305" s="259">
        <v>-1236187.5321574206</v>
      </c>
      <c r="G305" s="482">
        <f>Synthèse!F304</f>
        <v>-765876.84606208443</v>
      </c>
      <c r="H305" s="482">
        <f t="shared" si="13"/>
        <v>470310.68609533622</v>
      </c>
      <c r="I305" s="260">
        <v>289720.63304200745</v>
      </c>
      <c r="J305" s="486">
        <f>Synthèse!H304</f>
        <v>291521.49352642416</v>
      </c>
      <c r="K305" s="486">
        <f t="shared" si="14"/>
        <v>1800.860484416713</v>
      </c>
    </row>
    <row r="306" spans="1:11" s="263" customFormat="1" ht="15" x14ac:dyDescent="0.25">
      <c r="A306" s="25"/>
      <c r="B306" s="19">
        <v>300</v>
      </c>
      <c r="C306" s="261">
        <f>SUM(C6:C305)</f>
        <v>810939700.00000107</v>
      </c>
      <c r="D306" s="479" t="s">
        <v>527</v>
      </c>
      <c r="E306" s="479" t="s">
        <v>527</v>
      </c>
      <c r="F306" s="261">
        <f>SUM(F6:F305)</f>
        <v>450000.00000032457</v>
      </c>
      <c r="G306" s="483" t="s">
        <v>527</v>
      </c>
      <c r="H306" s="483" t="s">
        <v>527</v>
      </c>
      <c r="I306" s="261">
        <f>SUM(I6:I305)</f>
        <v>71025442.000000045</v>
      </c>
      <c r="J306" s="487" t="s">
        <v>527</v>
      </c>
      <c r="K306" s="487" t="s">
        <v>527</v>
      </c>
    </row>
    <row r="307" spans="1:11" s="263" customFormat="1" ht="15" x14ac:dyDescent="0.25">
      <c r="A307" s="264"/>
      <c r="B307" s="264"/>
      <c r="C307" s="264"/>
      <c r="D307" s="216"/>
      <c r="E307" s="264"/>
      <c r="F307" s="264"/>
      <c r="G307" s="264"/>
      <c r="H307" s="264"/>
      <c r="I307" s="262"/>
      <c r="J307" s="5"/>
      <c r="K307" s="264"/>
    </row>
    <row r="308" spans="1:11" s="263" customFormat="1" ht="15" x14ac:dyDescent="0.25">
      <c r="A308" s="264"/>
      <c r="B308" s="264"/>
      <c r="C308" s="264"/>
      <c r="D308" s="264"/>
      <c r="E308" s="264"/>
      <c r="F308" s="264"/>
      <c r="G308" s="264"/>
      <c r="H308" s="264"/>
      <c r="I308" s="262"/>
      <c r="J308" s="5"/>
      <c r="K308" s="264"/>
    </row>
    <row r="309" spans="1:11" s="263" customFormat="1" ht="15" x14ac:dyDescent="0.25">
      <c r="A309" s="264"/>
      <c r="B309" s="264"/>
      <c r="C309" s="264"/>
      <c r="D309" s="264"/>
      <c r="E309" s="264"/>
      <c r="F309" s="264"/>
      <c r="G309" s="264"/>
      <c r="H309" s="264"/>
      <c r="I309" s="262"/>
      <c r="J309" s="264"/>
      <c r="K309" s="264"/>
    </row>
    <row r="310" spans="1:11" s="263" customFormat="1" ht="15" x14ac:dyDescent="0.25">
      <c r="A310" s="264"/>
      <c r="B310" s="264"/>
      <c r="C310" s="264"/>
      <c r="D310" s="264"/>
      <c r="E310" s="264"/>
      <c r="F310" s="264"/>
      <c r="G310" s="264"/>
      <c r="H310" s="264"/>
      <c r="I310" s="236"/>
      <c r="J310" s="264"/>
      <c r="K310" s="264"/>
    </row>
  </sheetData>
  <sheetProtection sheet="1" objects="1" scenarios="1"/>
  <mergeCells count="5">
    <mergeCell ref="I4:K4"/>
    <mergeCell ref="A4:A5"/>
    <mergeCell ref="B4:B5"/>
    <mergeCell ref="C4:E4"/>
    <mergeCell ref="F4:H4"/>
  </mergeCells>
  <hyperlinks>
    <hyperlink ref="C1" location="Synthèse!A1" display="← Précédent" xr:uid="{D046A632-CF30-4412-9AE7-773599330617}"/>
    <hyperlink ref="D1" location="'Table des matières'!A1" display="Table des             matières" xr:uid="{312CF942-877A-4E96-8B85-400AB3A21C9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11</vt:i4>
      </vt:variant>
    </vt:vector>
  </HeadingPairs>
  <TitlesOfParts>
    <vt:vector size="28" baseType="lpstr">
      <vt:lpstr>Table des matières</vt:lpstr>
      <vt:lpstr>Paramètres</vt:lpstr>
      <vt:lpstr>Recherche</vt:lpstr>
      <vt:lpstr>Données</vt:lpstr>
      <vt:lpstr>VPI</vt:lpstr>
      <vt:lpstr>PCS</vt:lpstr>
      <vt:lpstr>Ecrêtage</vt:lpstr>
      <vt:lpstr>Péréquation directe</vt:lpstr>
      <vt:lpstr>Population</vt:lpstr>
      <vt:lpstr>Solidarité</vt:lpstr>
      <vt:lpstr>DT</vt:lpstr>
      <vt:lpstr>Effort</vt:lpstr>
      <vt:lpstr>Aide</vt:lpstr>
      <vt:lpstr>Taux</vt:lpstr>
      <vt:lpstr>Facture policière</vt:lpstr>
      <vt:lpstr>Synthèse</vt:lpstr>
      <vt:lpstr>Décompte vs acomptes</vt:lpstr>
      <vt:lpstr>DT!Impression_des_titres</vt:lpstr>
      <vt:lpstr>Effort!Impression_des_titres</vt:lpstr>
      <vt:lpstr>'Facture policière'!Impression_des_titres</vt:lpstr>
      <vt:lpstr>PCS!Impression_des_titres</vt:lpstr>
      <vt:lpstr>Synthèse!Impression_des_titres</vt:lpstr>
      <vt:lpstr>Taux!Impression_des_titres</vt:lpstr>
      <vt:lpstr>'Facture policière'!Zone_d_impression</vt:lpstr>
      <vt:lpstr>'Péréquation directe'!Zone_d_impression</vt:lpstr>
      <vt:lpstr>Recherche!Zone_d_impression</vt:lpstr>
      <vt:lpstr>Synthèse!Zone_d_impression</vt:lpstr>
      <vt:lpstr>Taux!Zone_d_impression</vt:lpstr>
    </vt:vector>
  </TitlesOfParts>
  <Manager>fabio.cappelletti@vd.ch</Manager>
  <Company>Etat de Vaud / ASFiCo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fabio.cappelletti@vd.ch</dc:creator>
  <cp:lastModifiedBy>Ramos Da Veiga Mylena</cp:lastModifiedBy>
  <cp:lastPrinted>2023-03-16T10:25:55Z</cp:lastPrinted>
  <dcterms:created xsi:type="dcterms:W3CDTF">2005-06-06T00:37:42Z</dcterms:created>
  <dcterms:modified xsi:type="dcterms:W3CDTF">2023-03-16T13:27:39Z</dcterms:modified>
</cp:coreProperties>
</file>